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bookViews>
    <workbookView xWindow="-105" yWindow="-105" windowWidth="23250" windowHeight="12570" tabRatio="898" firstSheet="9" activeTab="17"/>
  </bookViews>
  <sheets>
    <sheet name="Index" sheetId="69" r:id="rId1"/>
    <sheet name="Sources of Funding" sheetId="77" r:id="rId2"/>
    <sheet name="Dist Allocation and Sub Plan" sheetId="78" r:id="rId3"/>
    <sheet name="List of Key deliverables" sheetId="86" r:id="rId4"/>
    <sheet name="Summary Table" sheetId="80" r:id="rId5"/>
    <sheet name="Budget Summary I" sheetId="76" r:id="rId6"/>
    <sheet name="Budget Summary II" sheetId="1" r:id="rId7"/>
    <sheet name="NUHM Summary" sheetId="67" r:id="rId8"/>
    <sheet name="1.SD Facility Based Annex" sheetId="16" r:id="rId9"/>
    <sheet name="2.SD Community Based Annex" sheetId="2" r:id="rId10"/>
    <sheet name="3.Community Intervention Annexn" sheetId="81" r:id="rId11"/>
    <sheet name="3-A. CI Sub-Annex" sheetId="3" r:id="rId12"/>
    <sheet name="4.Untied grants Annex" sheetId="60" r:id="rId13"/>
    <sheet name="5.Infrastructure Annex" sheetId="4" r:id="rId14"/>
    <sheet name="6.Procurement Annex" sheetId="82" r:id="rId15"/>
    <sheet name="6-A. Proc. Sub-Annex" sheetId="15" r:id="rId16"/>
    <sheet name="7.Referral Transport Annex" sheetId="5" r:id="rId17"/>
    <sheet name="8.Human Resources (SD) Annex" sheetId="6" r:id="rId18"/>
    <sheet name="9.Training Annex" sheetId="83" r:id="rId19"/>
    <sheet name="9-A.Training Sub-Annex" sheetId="7" r:id="rId20"/>
    <sheet name="10.Review Research &amp; Surveillen" sheetId="8" r:id="rId21"/>
    <sheet name="11.IEC-BCC Annex" sheetId="85" r:id="rId22"/>
    <sheet name="11-A. IEC Sub-Annex" sheetId="12" r:id="rId23"/>
    <sheet name="12.Printing Annex" sheetId="84" r:id="rId24"/>
    <sheet name="12-A. Print Sub-Annex" sheetId="13" r:id="rId25"/>
    <sheet name="13.Quality Assurance Annex" sheetId="9" r:id="rId26"/>
    <sheet name="14.Drug warehouse &amp;Logistic Anx" sheetId="10" r:id="rId27"/>
    <sheet name="15.PPP Annex" sheetId="11" r:id="rId28"/>
    <sheet name="16.PM Annex" sheetId="47" r:id="rId29"/>
    <sheet name="16-A. PM sub Annex" sheetId="49" r:id="rId30"/>
    <sheet name="17.IT Initiatives_SD" sheetId="58" r:id="rId31"/>
    <sheet name="18.Innovation" sheetId="56" r:id="rId32"/>
    <sheet name="NUHM-Non Metro Abst" sheetId="65" r:id="rId33"/>
    <sheet name="NUHM Metro Abst" sheetId="66" r:id="rId34"/>
    <sheet name="Ab1. RMNCH+A" sheetId="38" r:id="rId35"/>
    <sheet name="Ab2. NIDDCP" sheetId="37" r:id="rId36"/>
    <sheet name="Ab3. ASHA" sheetId="27" r:id="rId37"/>
    <sheet name="Ab4. HMIS-MCTS" sheetId="61" r:id="rId38"/>
    <sheet name="Abs5. Blood services &amp; Disorder" sheetId="45" r:id="rId39"/>
    <sheet name="Abs6. CPHC" sheetId="54" r:id="rId40"/>
    <sheet name="Abs7. AYUSH" sheetId="35" r:id="rId41"/>
    <sheet name="Abs8. IDSP" sheetId="40" r:id="rId42"/>
    <sheet name="Abs9. NVBDCP" sheetId="30" r:id="rId43"/>
    <sheet name="Abs10. NLEP" sheetId="20" r:id="rId44"/>
    <sheet name="Abs11. NTEP" sheetId="41" r:id="rId45"/>
    <sheet name="Abs12. NVHCP" sheetId="68" r:id="rId46"/>
    <sheet name="Abs13. NRCP" sheetId="70" r:id="rId47"/>
    <sheet name="Abs14. PPCL" sheetId="75" r:id="rId48"/>
    <sheet name="Abs15. NPCB" sheetId="31" r:id="rId49"/>
    <sheet name="Abs16. NMHP" sheetId="23" r:id="rId50"/>
    <sheet name="Abs17. NPHCE" sheetId="42" r:id="rId51"/>
    <sheet name="Abs18. NTCP" sheetId="32" r:id="rId52"/>
    <sheet name="Abs19. NPCDCS" sheetId="24" r:id="rId53"/>
    <sheet name="Abs20. PMNDP" sheetId="53" r:id="rId54"/>
    <sheet name="Abs21. NPCCHH" sheetId="71" r:id="rId55"/>
    <sheet name="Abs22. NPPCD" sheetId="43" r:id="rId56"/>
    <sheet name="Abs23. NPPCF" sheetId="44" r:id="rId57"/>
    <sheet name="Abs24. NOHP" sheetId="33" r:id="rId58"/>
    <sheet name="Abs25. NPPC" sheetId="26" r:id="rId59"/>
    <sheet name="Abs26. Burns &amp; Injury" sheetId="34" r:id="rId60"/>
    <sheet name="Capex Expenditure" sheetId="72" r:id="rId61"/>
    <sheet name="ABST" sheetId="87" r:id="rId62"/>
    <sheet name="GABST" sheetId="88" r:id="rId63"/>
  </sheets>
  <externalReferences>
    <externalReference r:id="rId64"/>
  </externalReferences>
  <definedNames>
    <definedName name="_Fill" localSheetId="8" hidden="1">#REF!</definedName>
    <definedName name="_Fill" localSheetId="22" hidden="1">#REF!</definedName>
    <definedName name="_Fill" localSheetId="24" hidden="1">#REF!</definedName>
    <definedName name="_Fill" localSheetId="15" hidden="1">#REF!</definedName>
    <definedName name="_Fill" localSheetId="34" hidden="1">#REF!</definedName>
    <definedName name="_Fill" localSheetId="42" hidden="1">#REF!</definedName>
    <definedName name="_Fill" hidden="1">#REF!</definedName>
    <definedName name="_xlnm._FilterDatabase" localSheetId="8" hidden="1">'1.SD Facility Based Annex'!$A$6:$IQ$115</definedName>
    <definedName name="_xlnm._FilterDatabase" localSheetId="20" hidden="1">'10.Review Research &amp; Surveillen'!$A$6:$R$62</definedName>
    <definedName name="_xlnm._FilterDatabase" localSheetId="21" hidden="1">'11.IEC-BCC Annex'!$A$6:$BA$42</definedName>
    <definedName name="_xlnm._FilterDatabase" localSheetId="22" hidden="1">'11-A. IEC Sub-Annex'!$A$4:$BE$106</definedName>
    <definedName name="_xlnm._FilterDatabase" localSheetId="23" hidden="1">'12.Printing Annex'!$A$6:$BA$45</definedName>
    <definedName name="_xlnm._FilterDatabase" localSheetId="24" hidden="1">'12-A. Print Sub-Annex'!$A$4:$BD$109</definedName>
    <definedName name="_xlnm._FilterDatabase" localSheetId="25" hidden="1">'13.Quality Assurance Annex'!$A$6:$R$35</definedName>
    <definedName name="_xlnm._FilterDatabase" localSheetId="26" hidden="1">'14.Drug warehouse &amp;Logistic Anx'!$A$6:$R$32</definedName>
    <definedName name="_xlnm._FilterDatabase" localSheetId="27" hidden="1">'15.PPP Annex'!$A$6:$R$65</definedName>
    <definedName name="_xlnm._FilterDatabase" localSheetId="28" hidden="1">'16.PM Annex'!$A$6:$Q$142</definedName>
    <definedName name="_xlnm._FilterDatabase" localSheetId="29" hidden="1">'16-A. PM sub Annex'!$A$5:$BD$178</definedName>
    <definedName name="_xlnm._FilterDatabase" localSheetId="30" hidden="1" xml:space="preserve">                                                                                                                                                '17.IT Initiatives_SD'!$A$6:$R$17</definedName>
    <definedName name="_xlnm._FilterDatabase" localSheetId="31" hidden="1">'18.Innovation'!$A$6:$R$31</definedName>
    <definedName name="_xlnm._FilterDatabase" localSheetId="9" hidden="1">'2.SD Community Based Annex'!$A$6:$R$65</definedName>
    <definedName name="_xlnm._FilterDatabase" localSheetId="10" hidden="1">'3.Community Intervention Annexn'!$7:$56</definedName>
    <definedName name="_xlnm._FilterDatabase" localSheetId="11" hidden="1">'3-A. CI Sub-Annex'!$A$4:$S$132</definedName>
    <definedName name="_xlnm._FilterDatabase" localSheetId="12" hidden="1">'4.Untied grants Annex'!$A$6:$R$15</definedName>
    <definedName name="_xlnm._FilterDatabase" localSheetId="13" hidden="1">'5.Infrastructure Annex'!$A$6:$R$98</definedName>
    <definedName name="_xlnm._FilterDatabase" localSheetId="14" hidden="1">'6.Procurement Annex'!$A$6:$BA$87</definedName>
    <definedName name="_xlnm._FilterDatabase" localSheetId="15" hidden="1">'6-A. Proc. Sub-Annex'!$A$4:$BC$280</definedName>
    <definedName name="_xlnm._FilterDatabase" localSheetId="16" hidden="1">'7.Referral Transport Annex'!$A$6:$S$29</definedName>
    <definedName name="_xlnm._FilterDatabase" localSheetId="17" hidden="1">'8.Human Resources (SD) Annex'!$A$6:$S$175</definedName>
    <definedName name="_xlnm._FilterDatabase" localSheetId="18" hidden="1">'9.Training Annex'!$A$6:$BA$64</definedName>
    <definedName name="_xlnm._FilterDatabase" localSheetId="19" hidden="1">'9-A.Training Sub-Annex'!$A$4:$BD$283</definedName>
    <definedName name="_xlnm._FilterDatabase" localSheetId="34" hidden="1">'Ab1. RMNCH+A'!$A$5:$M$481</definedName>
    <definedName name="_xlnm._FilterDatabase" localSheetId="35" hidden="1">'Ab2. NIDDCP'!$A$5:$M$20</definedName>
    <definedName name="_xlnm._FilterDatabase" localSheetId="36" hidden="1">'Ab3. ASHA'!$A$5:$M$107</definedName>
    <definedName name="_xlnm._FilterDatabase" localSheetId="37" hidden="1">'Ab4. HMIS-MCTS'!$A$5:$M$28</definedName>
    <definedName name="_xlnm._FilterDatabase" localSheetId="43" hidden="1">'Abs10. NLEP'!$A$5:$M$48</definedName>
    <definedName name="_xlnm._FilterDatabase" localSheetId="44" hidden="1">'Abs11. NTEP'!$A$5:$M$63</definedName>
    <definedName name="_xlnm._FilterDatabase" localSheetId="45" hidden="1">'Abs12. NVHCP'!$A$5:$M$44</definedName>
    <definedName name="_xlnm._FilterDatabase" localSheetId="46" hidden="1">'Abs13. NRCP'!$A$5:$M$16</definedName>
    <definedName name="_xlnm._FilterDatabase" localSheetId="47" hidden="1">'Abs14. PPCL'!$A$5:$M$17</definedName>
    <definedName name="_xlnm._FilterDatabase" localSheetId="48" hidden="1">'Abs15. NPCB'!$A$5:$M$43</definedName>
    <definedName name="_xlnm._FilterDatabase" localSheetId="49" hidden="1">'Abs16. NMHP'!$A$5:$M$33</definedName>
    <definedName name="_xlnm._FilterDatabase" localSheetId="50" hidden="1">'Abs17. NPHCE'!$A$5:$M$33</definedName>
    <definedName name="_xlnm._FilterDatabase" localSheetId="51" hidden="1">'Abs18. NTCP'!$A$5:$M$35</definedName>
    <definedName name="_xlnm._FilterDatabase" localSheetId="52" hidden="1">'Abs19. NPCDCS'!$A$5:$M$73</definedName>
    <definedName name="_xlnm._FilterDatabase" localSheetId="53" hidden="1">'Abs20. PMNDP'!$A$5:$M$23</definedName>
    <definedName name="_xlnm._FilterDatabase" localSheetId="54" hidden="1">'Abs21. NPCCHH'!$A$5:$M$21</definedName>
    <definedName name="_xlnm._FilterDatabase" localSheetId="55" hidden="1">'Abs22. NPPCD'!$A$5:$M$21</definedName>
    <definedName name="_xlnm._FilterDatabase" localSheetId="56" hidden="1">'Abs23. NPPCF'!$A$5:$M$22</definedName>
    <definedName name="_xlnm._FilterDatabase" localSheetId="57" hidden="1">'Abs24. NOHP'!$A$5:$M$14</definedName>
    <definedName name="_xlnm._FilterDatabase" localSheetId="58" hidden="1">'Abs25. NPPC'!$A$5:$M$23</definedName>
    <definedName name="_xlnm._FilterDatabase" localSheetId="59" hidden="1">'Abs26. Burns &amp; Injury'!$A$5:$M$10</definedName>
    <definedName name="_xlnm._FilterDatabase" localSheetId="38" hidden="1">'Abs5. Blood services &amp; Disorder'!$A$5:$M$32</definedName>
    <definedName name="_xlnm._FilterDatabase" localSheetId="39" hidden="1">'Abs6. CPHC'!$A$5:$R$36</definedName>
    <definedName name="_xlnm._FilterDatabase" localSheetId="40" hidden="1">'Abs7. AYUSH'!$A$5:$M$13</definedName>
    <definedName name="_xlnm._FilterDatabase" localSheetId="41" hidden="1">'Abs8. IDSP'!$A$5:$M$35</definedName>
    <definedName name="_xlnm._FilterDatabase" localSheetId="42" hidden="1">'Abs9. NVBDCP'!$A$5:$M$133</definedName>
    <definedName name="_xlnm._FilterDatabase" localSheetId="5" hidden="1">'Budget Summary I'!$A$5:$AN$52</definedName>
    <definedName name="_xlnm._FilterDatabase" localSheetId="6" hidden="1">'Budget Summary II'!$A$4:$M$59</definedName>
    <definedName name="_xlnm._FilterDatabase" localSheetId="60" hidden="1">'Capex Expenditure'!$A$4:$R$291</definedName>
    <definedName name="_xlnm._FilterDatabase" localSheetId="33" hidden="1">'NUHM Metro Abst'!$A$6:$Q$281</definedName>
    <definedName name="_xlnm._FilterDatabase" localSheetId="7" hidden="1">'NUHM Summary'!$A$6:$M$274</definedName>
    <definedName name="_xlnm._FilterDatabase" localSheetId="32" hidden="1">'NUHM-Non Metro Abst'!$A$6:$Q$274</definedName>
    <definedName name="_Key1" localSheetId="8" hidden="1">#REF!</definedName>
    <definedName name="_Key1" localSheetId="22" hidden="1">#REF!</definedName>
    <definedName name="_Key1" localSheetId="24" hidden="1">#REF!</definedName>
    <definedName name="_Key1" localSheetId="15" hidden="1">#REF!</definedName>
    <definedName name="_Key1" localSheetId="34" hidden="1">#REF!</definedName>
    <definedName name="_Key1" localSheetId="42" hidden="1">#REF!</definedName>
    <definedName name="_Key1" hidden="1">#REF!</definedName>
    <definedName name="_Sort" localSheetId="8" hidden="1">#REF!</definedName>
    <definedName name="_Sort" localSheetId="22" hidden="1">#REF!</definedName>
    <definedName name="_Sort" localSheetId="24" hidden="1">#REF!</definedName>
    <definedName name="_Sort" localSheetId="15" hidden="1">#REF!</definedName>
    <definedName name="_Sort" localSheetId="34" hidden="1">#REF!</definedName>
    <definedName name="_Sort" localSheetId="42" hidden="1">#REF!</definedName>
    <definedName name="_Sort" hidden="1">#REF!</definedName>
    <definedName name="_Toc22639849" localSheetId="0">Index!$G$31</definedName>
    <definedName name="_Toc22639861" localSheetId="0">Index!$G$24</definedName>
    <definedName name="_Toc22639862" localSheetId="0">Index!$G$25</definedName>
    <definedName name="A96\">'6-A. Proc. Sub-Annex'!$3:$4</definedName>
    <definedName name="data" localSheetId="8">#REF!</definedName>
    <definedName name="data" localSheetId="22">#REF!</definedName>
    <definedName name="data" localSheetId="24">#REF!</definedName>
    <definedName name="data" localSheetId="15">#REF!</definedName>
    <definedName name="data" localSheetId="34">#REF!</definedName>
    <definedName name="data" localSheetId="42">#REF!</definedName>
    <definedName name="data">#REF!</definedName>
    <definedName name="_xlnm.Database" localSheetId="8">#REF!</definedName>
    <definedName name="_xlnm.Database" localSheetId="22">#REF!</definedName>
    <definedName name="_xlnm.Database" localSheetId="24">#REF!</definedName>
    <definedName name="_xlnm.Database" localSheetId="15">#REF!</definedName>
    <definedName name="_xlnm.Database" localSheetId="34">#REF!</definedName>
    <definedName name="_xlnm.Database" localSheetId="42">#REF!</definedName>
    <definedName name="_xlnm.Database">#REF!</definedName>
  </definedNames>
  <calcPr calcId="145621"/>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9" i="65" l="1"/>
  <c r="N106" i="6" l="1"/>
  <c r="O77" i="82" l="1"/>
  <c r="O9" i="82"/>
  <c r="O17" i="82"/>
  <c r="O25" i="82"/>
  <c r="P7" i="15"/>
  <c r="P159" i="6"/>
  <c r="P154" i="6"/>
  <c r="P109" i="6"/>
  <c r="P28" i="6"/>
  <c r="P10" i="6"/>
  <c r="O10" i="6"/>
  <c r="O22" i="2"/>
  <c r="N154" i="6"/>
  <c r="N10" i="6"/>
  <c r="J44" i="1"/>
  <c r="N80" i="7"/>
  <c r="N77" i="7"/>
  <c r="N138" i="6"/>
  <c r="N159" i="6"/>
  <c r="N56" i="15"/>
  <c r="N28" i="6"/>
  <c r="O28" i="6"/>
  <c r="N67" i="15"/>
  <c r="M17" i="9"/>
  <c r="M20" i="9"/>
  <c r="M23" i="9"/>
  <c r="M11" i="2"/>
  <c r="O8" i="82" l="1"/>
  <c r="K272" i="66"/>
  <c r="L272" i="66" s="1"/>
  <c r="N272" i="66" s="1"/>
  <c r="K244" i="66"/>
  <c r="L244" i="66" s="1"/>
  <c r="N244" i="66" s="1"/>
  <c r="K167" i="66"/>
  <c r="L167" i="66" s="1"/>
  <c r="N167" i="66" s="1"/>
  <c r="K165" i="66"/>
  <c r="L165" i="66" s="1"/>
  <c r="N165" i="66" s="1"/>
  <c r="K160" i="66"/>
  <c r="L160" i="66" s="1"/>
  <c r="N160" i="66" s="1"/>
  <c r="L159" i="66"/>
  <c r="L158" i="66"/>
  <c r="N158" i="66" s="1"/>
  <c r="L157" i="66"/>
  <c r="N157" i="66" s="1"/>
  <c r="N156" i="66" s="1"/>
  <c r="L156" i="66"/>
  <c r="L155" i="66"/>
  <c r="N155" i="66" s="1"/>
  <c r="K154" i="66"/>
  <c r="L154" i="66" s="1"/>
  <c r="N154" i="66" s="1"/>
  <c r="K151" i="66"/>
  <c r="L151" i="66" s="1"/>
  <c r="N151" i="66" s="1"/>
  <c r="K149" i="66"/>
  <c r="L149" i="66" s="1"/>
  <c r="N149" i="66" s="1"/>
  <c r="K146" i="66"/>
  <c r="L146" i="66" s="1"/>
  <c r="N146" i="66" s="1"/>
  <c r="K144" i="66"/>
  <c r="L144" i="66" s="1"/>
  <c r="N144" i="66" s="1"/>
  <c r="L143" i="66"/>
  <c r="N143" i="66" s="1"/>
  <c r="K143" i="66"/>
  <c r="K141" i="66"/>
  <c r="L141" i="66" s="1"/>
  <c r="N141" i="66" s="1"/>
  <c r="K140" i="66"/>
  <c r="L140" i="66" s="1"/>
  <c r="N140" i="66" s="1"/>
  <c r="K139" i="66"/>
  <c r="L139" i="66" s="1"/>
  <c r="N139" i="66" s="1"/>
  <c r="K136" i="66"/>
  <c r="L136" i="66" s="1"/>
  <c r="N136" i="66" s="1"/>
  <c r="K135" i="66"/>
  <c r="L135" i="66" s="1"/>
  <c r="N135" i="66" s="1"/>
  <c r="K133" i="66"/>
  <c r="L133" i="66" s="1"/>
  <c r="N133" i="66" s="1"/>
  <c r="M132" i="66"/>
  <c r="K132" i="66"/>
  <c r="L132" i="66" s="1"/>
  <c r="N132" i="66" s="1"/>
  <c r="K131" i="66"/>
  <c r="L131" i="66" s="1"/>
  <c r="N131" i="66" s="1"/>
  <c r="K129" i="66" l="1"/>
  <c r="L129" i="66" s="1"/>
  <c r="N129" i="66" s="1"/>
  <c r="K128" i="66"/>
  <c r="L128" i="66" s="1"/>
  <c r="N128" i="66" s="1"/>
  <c r="K127" i="66"/>
  <c r="L127" i="66" s="1"/>
  <c r="N127" i="66" s="1"/>
  <c r="M124" i="66"/>
  <c r="K124" i="66"/>
  <c r="L124" i="66" s="1"/>
  <c r="N124" i="66" s="1"/>
  <c r="K123" i="66"/>
  <c r="L123" i="66" s="1"/>
  <c r="N123" i="66" s="1"/>
  <c r="L272" i="65"/>
  <c r="K272" i="65"/>
  <c r="K244" i="65"/>
  <c r="L244" i="65" s="1"/>
  <c r="K241" i="65"/>
  <c r="L241" i="65" s="1"/>
  <c r="K167" i="65"/>
  <c r="L167" i="65" s="1"/>
  <c r="K164" i="65"/>
  <c r="L164" i="65" s="1"/>
  <c r="L160" i="65"/>
  <c r="L128" i="65"/>
  <c r="M127" i="65"/>
  <c r="O145" i="49" l="1"/>
  <c r="O175" i="6"/>
  <c r="M175" i="6"/>
  <c r="N175" i="6" s="1"/>
  <c r="M22" i="2"/>
  <c r="N273" i="15"/>
  <c r="N273" i="7"/>
  <c r="N237" i="15"/>
  <c r="N109" i="6"/>
  <c r="M92" i="4"/>
  <c r="N248" i="15"/>
  <c r="M12" i="15"/>
  <c r="N12" i="15" s="1"/>
  <c r="L154" i="65" l="1"/>
  <c r="L135" i="65"/>
  <c r="L131" i="65"/>
  <c r="L127" i="65"/>
  <c r="L123" i="65"/>
  <c r="L47" i="65"/>
  <c r="L34" i="65"/>
  <c r="H9" i="83" l="1"/>
  <c r="I9" i="83"/>
  <c r="J9" i="83"/>
  <c r="H10" i="83"/>
  <c r="I10" i="83"/>
  <c r="J10" i="83"/>
  <c r="H11" i="83"/>
  <c r="I11" i="83"/>
  <c r="J11" i="83"/>
  <c r="H13" i="83"/>
  <c r="I13" i="83"/>
  <c r="J13" i="83"/>
  <c r="K13" i="83"/>
  <c r="L13" i="83"/>
  <c r="M13" i="83"/>
  <c r="H14" i="83"/>
  <c r="I14" i="83"/>
  <c r="J14" i="83"/>
  <c r="K14" i="83"/>
  <c r="L14" i="83"/>
  <c r="M14" i="83"/>
  <c r="H15" i="83"/>
  <c r="I15" i="83"/>
  <c r="J15" i="83"/>
  <c r="K15" i="83"/>
  <c r="L15" i="83"/>
  <c r="M15" i="83"/>
  <c r="H16" i="83"/>
  <c r="I16" i="83"/>
  <c r="J16" i="83"/>
  <c r="K16" i="83"/>
  <c r="L16" i="83"/>
  <c r="M16" i="83"/>
  <c r="H17" i="83"/>
  <c r="I17" i="83"/>
  <c r="J17" i="83"/>
  <c r="K17" i="83"/>
  <c r="L17" i="83"/>
  <c r="M17" i="83"/>
  <c r="H18" i="83"/>
  <c r="I18" i="83"/>
  <c r="J18" i="83"/>
  <c r="K18" i="83"/>
  <c r="L18" i="83"/>
  <c r="M18" i="83"/>
  <c r="H21" i="83"/>
  <c r="I21" i="83"/>
  <c r="J21" i="83"/>
  <c r="H22" i="83"/>
  <c r="I22" i="83"/>
  <c r="J22" i="83"/>
  <c r="H23" i="83"/>
  <c r="I23" i="83"/>
  <c r="J23" i="83"/>
  <c r="H24" i="83"/>
  <c r="I24" i="83"/>
  <c r="J24" i="83"/>
  <c r="H25" i="83"/>
  <c r="I25" i="83"/>
  <c r="J25" i="83"/>
  <c r="H26" i="83"/>
  <c r="I26" i="83"/>
  <c r="J26" i="83"/>
  <c r="H27" i="83"/>
  <c r="I27" i="83"/>
  <c r="J27" i="83"/>
  <c r="H28" i="83"/>
  <c r="I28" i="83"/>
  <c r="J28" i="83"/>
  <c r="H30" i="83"/>
  <c r="I30" i="83"/>
  <c r="J30" i="83"/>
  <c r="H31" i="83"/>
  <c r="I31" i="83"/>
  <c r="J31" i="83"/>
  <c r="H32" i="83"/>
  <c r="I32" i="83"/>
  <c r="J32" i="83"/>
  <c r="H33" i="83"/>
  <c r="I33" i="83"/>
  <c r="J33" i="83"/>
  <c r="H34" i="83"/>
  <c r="I34" i="83"/>
  <c r="J34" i="83"/>
  <c r="H35" i="83"/>
  <c r="I35" i="83"/>
  <c r="J35" i="83"/>
  <c r="H36" i="83"/>
  <c r="I36" i="83"/>
  <c r="J36" i="83"/>
  <c r="H37" i="83"/>
  <c r="I37" i="83"/>
  <c r="J37" i="83"/>
  <c r="H38" i="83"/>
  <c r="I38" i="83"/>
  <c r="J38" i="83"/>
  <c r="H39" i="83"/>
  <c r="I39" i="83"/>
  <c r="J39" i="83"/>
  <c r="H40" i="83"/>
  <c r="I40" i="83"/>
  <c r="J40" i="83"/>
  <c r="H41" i="83"/>
  <c r="I41" i="83"/>
  <c r="J41" i="83"/>
  <c r="H42" i="83"/>
  <c r="I42" i="83"/>
  <c r="J42" i="83"/>
  <c r="H43" i="83"/>
  <c r="I43" i="83"/>
  <c r="J43" i="83"/>
  <c r="H44" i="83"/>
  <c r="I44" i="83"/>
  <c r="J44" i="83"/>
  <c r="H45" i="83"/>
  <c r="I45" i="83"/>
  <c r="J45" i="83"/>
  <c r="H47" i="83"/>
  <c r="I47" i="83"/>
  <c r="J47" i="83"/>
  <c r="H48" i="83"/>
  <c r="I48" i="83"/>
  <c r="J48" i="83"/>
  <c r="H49" i="83"/>
  <c r="I49" i="83"/>
  <c r="J49" i="83"/>
  <c r="H50" i="83"/>
  <c r="I50" i="83"/>
  <c r="J50" i="83"/>
  <c r="H51" i="83"/>
  <c r="I51" i="83"/>
  <c r="J51" i="83"/>
  <c r="H52" i="83"/>
  <c r="I52" i="83"/>
  <c r="J52" i="83"/>
  <c r="H53" i="83"/>
  <c r="I53" i="83"/>
  <c r="J53" i="83"/>
  <c r="H55" i="83"/>
  <c r="I55" i="83"/>
  <c r="J55" i="83"/>
  <c r="H56" i="83"/>
  <c r="I56" i="83"/>
  <c r="J56" i="83"/>
  <c r="H57" i="83"/>
  <c r="I57" i="83"/>
  <c r="J57" i="83"/>
  <c r="H58" i="83"/>
  <c r="I58" i="83"/>
  <c r="J58" i="83"/>
  <c r="H59" i="83"/>
  <c r="I59" i="83"/>
  <c r="J59" i="83"/>
  <c r="H60" i="83"/>
  <c r="I60" i="83"/>
  <c r="J60" i="83"/>
  <c r="H61" i="83"/>
  <c r="I61" i="83"/>
  <c r="J61" i="83"/>
  <c r="H62" i="83"/>
  <c r="I62" i="83"/>
  <c r="J62" i="83"/>
  <c r="H63" i="83"/>
  <c r="I63" i="83"/>
  <c r="J63" i="83"/>
  <c r="H64" i="83"/>
  <c r="I64" i="83"/>
  <c r="J64" i="83"/>
  <c r="N13" i="83"/>
  <c r="N14" i="83"/>
  <c r="N15" i="83"/>
  <c r="N16" i="83"/>
  <c r="N17" i="83"/>
  <c r="N18" i="83"/>
  <c r="I20" i="83" l="1"/>
  <c r="J46" i="83"/>
  <c r="J29" i="83"/>
  <c r="J12" i="83"/>
  <c r="J8" i="83" s="1"/>
  <c r="H20" i="83"/>
  <c r="H12" i="83"/>
  <c r="H8" i="83" s="1"/>
  <c r="H54" i="83"/>
  <c r="I46" i="83"/>
  <c r="I12" i="83"/>
  <c r="I8" i="83" s="1"/>
  <c r="H46" i="83"/>
  <c r="J54" i="83"/>
  <c r="I54" i="83"/>
  <c r="J20" i="83"/>
  <c r="I29" i="83"/>
  <c r="H29" i="83"/>
  <c r="I19" i="83" l="1"/>
  <c r="H19" i="83"/>
  <c r="J19" i="83"/>
  <c r="AO21" i="87"/>
  <c r="K20" i="88" l="1"/>
  <c r="K21" i="88"/>
  <c r="K22" i="88"/>
  <c r="J12" i="88"/>
  <c r="J10" i="88"/>
  <c r="R33" i="5" l="1"/>
  <c r="K23" i="88"/>
  <c r="L17" i="88"/>
  <c r="L12" i="88"/>
  <c r="L10" i="88"/>
  <c r="L8" i="88"/>
  <c r="J11" i="88" l="1"/>
  <c r="L11" i="88" s="1"/>
  <c r="R9" i="43" l="1"/>
  <c r="R8" i="61"/>
  <c r="R12" i="87" s="1"/>
  <c r="P12" i="87"/>
  <c r="R97" i="27"/>
  <c r="P15" i="87" s="1"/>
  <c r="R82" i="27"/>
  <c r="P9" i="87" s="1"/>
  <c r="R73" i="27"/>
  <c r="R69" i="27"/>
  <c r="R58" i="27"/>
  <c r="R55" i="27"/>
  <c r="R51" i="27"/>
  <c r="K20" i="87" l="1"/>
  <c r="K18" i="87"/>
  <c r="K16" i="87"/>
  <c r="AL16" i="87" s="1"/>
  <c r="K7" i="87"/>
  <c r="Q16" i="83" l="1"/>
  <c r="S8" i="81"/>
  <c r="Q91" i="16"/>
  <c r="S106" i="6" l="1"/>
  <c r="D64" i="1"/>
  <c r="D65" i="1" s="1"/>
  <c r="R165" i="66"/>
  <c r="R164" i="65"/>
  <c r="S17" i="7" l="1"/>
  <c r="S23" i="2"/>
  <c r="S7" i="2" s="1"/>
  <c r="S7" i="56"/>
  <c r="S7" i="58"/>
  <c r="S7" i="11"/>
  <c r="S7" i="10"/>
  <c r="S7" i="9"/>
  <c r="T6" i="13"/>
  <c r="S7" i="84"/>
  <c r="T5" i="12"/>
  <c r="S7" i="85"/>
  <c r="S7" i="8"/>
  <c r="T6" i="7"/>
  <c r="S7" i="83"/>
  <c r="T7" i="6"/>
  <c r="S7" i="5"/>
  <c r="T7" i="15"/>
  <c r="S8" i="82"/>
  <c r="S8" i="4"/>
  <c r="S7" i="60"/>
  <c r="T5" i="3"/>
  <c r="S7" i="16"/>
  <c r="R144" i="7" l="1"/>
  <c r="R174" i="6"/>
  <c r="R133" i="15"/>
  <c r="S50" i="12"/>
  <c r="S80" i="6" l="1"/>
  <c r="R196" i="15"/>
  <c r="R195" i="15"/>
  <c r="R12" i="15" l="1"/>
  <c r="R185" i="7"/>
  <c r="R186" i="7"/>
  <c r="R187" i="7"/>
  <c r="R60" i="15" l="1"/>
  <c r="S118" i="15"/>
  <c r="R118" i="15"/>
  <c r="R122" i="15"/>
  <c r="C37" i="38" l="1"/>
  <c r="A36" i="38"/>
  <c r="C38" i="38"/>
  <c r="P11" i="38"/>
  <c r="Q10" i="56" l="1"/>
  <c r="R91" i="16" l="1"/>
  <c r="L274" i="66" l="1"/>
  <c r="N274" i="66" s="1"/>
  <c r="N273" i="66" s="1"/>
  <c r="Q273" i="66"/>
  <c r="I273" i="66"/>
  <c r="H273" i="66"/>
  <c r="G273" i="66"/>
  <c r="N271" i="66"/>
  <c r="Q270" i="66"/>
  <c r="N269" i="66"/>
  <c r="N268" i="66"/>
  <c r="N267" i="66"/>
  <c r="N266" i="66"/>
  <c r="Q265" i="66"/>
  <c r="Q257" i="66" s="1"/>
  <c r="L254" i="66"/>
  <c r="N254" i="66" s="1"/>
  <c r="L253" i="66"/>
  <c r="N253" i="66" s="1"/>
  <c r="N252" i="66"/>
  <c r="Q250" i="66"/>
  <c r="N249" i="66"/>
  <c r="L246" i="66"/>
  <c r="N246" i="66" s="1"/>
  <c r="Q245" i="66"/>
  <c r="N243" i="66"/>
  <c r="L240" i="66"/>
  <c r="N240" i="66" s="1"/>
  <c r="Q239" i="66"/>
  <c r="L238" i="66"/>
  <c r="N238" i="66" s="1"/>
  <c r="N237" i="66"/>
  <c r="N236" i="66"/>
  <c r="Q235" i="66"/>
  <c r="Q233" i="66" s="1"/>
  <c r="I235" i="66"/>
  <c r="H235" i="66"/>
  <c r="G235" i="66"/>
  <c r="F235" i="66"/>
  <c r="N234" i="66"/>
  <c r="N232" i="66"/>
  <c r="G232" i="66"/>
  <c r="H232" i="66" s="1"/>
  <c r="L229" i="66"/>
  <c r="N229" i="66" s="1"/>
  <c r="L228" i="66"/>
  <c r="N228" i="66" s="1"/>
  <c r="Q227" i="66"/>
  <c r="I227" i="66"/>
  <c r="H227" i="66"/>
  <c r="G227" i="66"/>
  <c r="L226" i="66"/>
  <c r="N226" i="66" s="1"/>
  <c r="N225" i="66" s="1"/>
  <c r="N223" i="66" s="1"/>
  <c r="Q225" i="66"/>
  <c r="Q223" i="66" s="1"/>
  <c r="I225" i="66"/>
  <c r="I223" i="66" s="1"/>
  <c r="H225" i="66"/>
  <c r="H223" i="66" s="1"/>
  <c r="G225" i="66"/>
  <c r="G223" i="66" s="1"/>
  <c r="N222" i="66"/>
  <c r="G222" i="66"/>
  <c r="L221" i="66"/>
  <c r="N221" i="66" s="1"/>
  <c r="L220" i="66"/>
  <c r="N220" i="66" s="1"/>
  <c r="N219" i="66"/>
  <c r="N218" i="66"/>
  <c r="N217" i="66"/>
  <c r="Q216" i="66"/>
  <c r="N215" i="66"/>
  <c r="L214" i="66"/>
  <c r="N214" i="66" s="1"/>
  <c r="N213" i="66"/>
  <c r="N212" i="66"/>
  <c r="Q211" i="66"/>
  <c r="N209" i="66"/>
  <c r="N208" i="66"/>
  <c r="Q207" i="66"/>
  <c r="N206" i="66"/>
  <c r="L205" i="66"/>
  <c r="N205" i="66" s="1"/>
  <c r="Q204" i="66"/>
  <c r="L201" i="66"/>
  <c r="N201" i="66" s="1"/>
  <c r="N200" i="66"/>
  <c r="Q199" i="66"/>
  <c r="L198" i="66"/>
  <c r="N198" i="66" s="1"/>
  <c r="L197" i="66"/>
  <c r="N197" i="66" s="1"/>
  <c r="Q196" i="66"/>
  <c r="I196" i="66"/>
  <c r="H196" i="66"/>
  <c r="G196" i="66"/>
  <c r="L194" i="66"/>
  <c r="N194" i="66" s="1"/>
  <c r="L193" i="66"/>
  <c r="N193" i="66" s="1"/>
  <c r="L192" i="66"/>
  <c r="N192" i="66" s="1"/>
  <c r="N191" i="66"/>
  <c r="N190" i="66"/>
  <c r="L189" i="66"/>
  <c r="N189" i="66" s="1"/>
  <c r="L188" i="66"/>
  <c r="N188" i="66" s="1"/>
  <c r="L187" i="66"/>
  <c r="N187" i="66" s="1"/>
  <c r="N186" i="66"/>
  <c r="Q185" i="66"/>
  <c r="Q178" i="66" s="1"/>
  <c r="L184" i="66"/>
  <c r="N184" i="66" s="1"/>
  <c r="L183" i="66"/>
  <c r="N183" i="66" s="1"/>
  <c r="L182" i="66"/>
  <c r="N182" i="66" s="1"/>
  <c r="L181" i="66"/>
  <c r="N181" i="66" s="1"/>
  <c r="N180" i="66"/>
  <c r="N179" i="66"/>
  <c r="L177" i="66"/>
  <c r="N177" i="66" s="1"/>
  <c r="L176" i="66"/>
  <c r="N176" i="66" s="1"/>
  <c r="Q175" i="66"/>
  <c r="I175" i="66"/>
  <c r="H175" i="66"/>
  <c r="G175" i="66"/>
  <c r="N173" i="66"/>
  <c r="L172" i="66"/>
  <c r="N172" i="66" s="1"/>
  <c r="Q171" i="66"/>
  <c r="N170" i="66"/>
  <c r="N169" i="66"/>
  <c r="N168" i="66"/>
  <c r="Q166" i="66"/>
  <c r="L164" i="66"/>
  <c r="N164" i="66" s="1"/>
  <c r="L161" i="66"/>
  <c r="N161" i="66" s="1"/>
  <c r="N159" i="66" s="1"/>
  <c r="Q156" i="66"/>
  <c r="I156" i="66"/>
  <c r="H156" i="66"/>
  <c r="G156" i="66"/>
  <c r="F156" i="66"/>
  <c r="N150" i="66"/>
  <c r="Q150" i="66"/>
  <c r="L148" i="66"/>
  <c r="N148" i="66" s="1"/>
  <c r="L147" i="66"/>
  <c r="N147" i="66" s="1"/>
  <c r="Q142" i="66"/>
  <c r="Q138" i="66"/>
  <c r="L137" i="66"/>
  <c r="N137" i="66" s="1"/>
  <c r="Q134" i="66"/>
  <c r="Q130" i="66"/>
  <c r="Q126" i="66"/>
  <c r="N125" i="66"/>
  <c r="Q122" i="66"/>
  <c r="L119" i="66"/>
  <c r="N119" i="66" s="1"/>
  <c r="N118" i="66" s="1"/>
  <c r="Q118" i="66"/>
  <c r="I118" i="66"/>
  <c r="H118" i="66"/>
  <c r="G118" i="66"/>
  <c r="L117" i="66"/>
  <c r="N117" i="66" s="1"/>
  <c r="L116" i="66"/>
  <c r="N116" i="66" s="1"/>
  <c r="Q115" i="66"/>
  <c r="I115" i="66"/>
  <c r="H115" i="66"/>
  <c r="G115" i="66"/>
  <c r="N114" i="66"/>
  <c r="N113" i="66"/>
  <c r="Q112" i="66"/>
  <c r="N111" i="66"/>
  <c r="L110" i="66"/>
  <c r="N110" i="66" s="1"/>
  <c r="N109" i="66"/>
  <c r="Q108" i="66"/>
  <c r="L107" i="66"/>
  <c r="N107" i="66" s="1"/>
  <c r="N106" i="66"/>
  <c r="N105" i="66"/>
  <c r="Q104" i="66"/>
  <c r="L102" i="66"/>
  <c r="N102" i="66" s="1"/>
  <c r="L101" i="66"/>
  <c r="N101" i="66" s="1"/>
  <c r="L100" i="66"/>
  <c r="N100" i="66" s="1"/>
  <c r="Q99" i="66"/>
  <c r="Q92" i="66" s="1"/>
  <c r="L99" i="66"/>
  <c r="L98" i="66"/>
  <c r="N98" i="66" s="1"/>
  <c r="L97" i="66"/>
  <c r="N97" i="66" s="1"/>
  <c r="L96" i="66"/>
  <c r="N96" i="66" s="1"/>
  <c r="N95" i="66"/>
  <c r="N94" i="66"/>
  <c r="N93" i="66"/>
  <c r="L90" i="66"/>
  <c r="N90" i="66" s="1"/>
  <c r="L89" i="66"/>
  <c r="N89" i="66" s="1"/>
  <c r="Q88" i="66"/>
  <c r="I88" i="66"/>
  <c r="H88" i="66"/>
  <c r="G88" i="66"/>
  <c r="L87" i="66"/>
  <c r="N87" i="66" s="1"/>
  <c r="L86" i="66"/>
  <c r="N86" i="66" s="1"/>
  <c r="G86" i="66"/>
  <c r="N85" i="66"/>
  <c r="Q84" i="66"/>
  <c r="L83" i="66"/>
  <c r="N83" i="66" s="1"/>
  <c r="L82" i="66"/>
  <c r="N82" i="66" s="1"/>
  <c r="N81" i="66"/>
  <c r="N80" i="66"/>
  <c r="N79" i="66"/>
  <c r="Q78" i="66"/>
  <c r="N76" i="66"/>
  <c r="N75" i="66"/>
  <c r="N74" i="66"/>
  <c r="L73" i="66"/>
  <c r="N73" i="66" s="1"/>
  <c r="N72" i="66"/>
  <c r="Q71" i="66"/>
  <c r="Q70" i="66" s="1"/>
  <c r="L69" i="66"/>
  <c r="N69" i="66" s="1"/>
  <c r="L68" i="66"/>
  <c r="N68" i="66" s="1"/>
  <c r="N67" i="66"/>
  <c r="N66" i="66"/>
  <c r="Q65" i="66"/>
  <c r="Q64" i="66" s="1"/>
  <c r="L63" i="66"/>
  <c r="N63" i="66" s="1"/>
  <c r="L62" i="66"/>
  <c r="N62" i="66" s="1"/>
  <c r="L61" i="66"/>
  <c r="N61" i="66" s="1"/>
  <c r="G61" i="66"/>
  <c r="G60" i="66" s="1"/>
  <c r="Q60" i="66"/>
  <c r="I60" i="66"/>
  <c r="H60" i="66"/>
  <c r="L59" i="66"/>
  <c r="N59" i="66" s="1"/>
  <c r="L58" i="66"/>
  <c r="N58" i="66" s="1"/>
  <c r="G58" i="66"/>
  <c r="G57" i="66" s="1"/>
  <c r="Q57" i="66"/>
  <c r="I57" i="66"/>
  <c r="H57" i="66"/>
  <c r="L56" i="66"/>
  <c r="N56" i="66" s="1"/>
  <c r="L55" i="66"/>
  <c r="N55" i="66" s="1"/>
  <c r="N54" i="66"/>
  <c r="Q53" i="66"/>
  <c r="L50" i="66"/>
  <c r="N50" i="66" s="1"/>
  <c r="N49" i="66"/>
  <c r="L48" i="66"/>
  <c r="N48" i="66" s="1"/>
  <c r="N46" i="66"/>
  <c r="Q45" i="66"/>
  <c r="L44" i="66"/>
  <c r="N44" i="66" s="1"/>
  <c r="N43" i="66"/>
  <c r="Q42" i="66"/>
  <c r="N41" i="66"/>
  <c r="N40" i="66"/>
  <c r="Q39" i="66"/>
  <c r="N71" i="66" l="1"/>
  <c r="Q162" i="66"/>
  <c r="Q174" i="66"/>
  <c r="Q210" i="66"/>
  <c r="Q195" i="66"/>
  <c r="Q52" i="66"/>
  <c r="Q51" i="66" s="1"/>
  <c r="N88" i="66"/>
  <c r="N39" i="66"/>
  <c r="N199" i="66"/>
  <c r="Q152" i="66"/>
  <c r="Q121" i="66" s="1"/>
  <c r="Q120" i="66" s="1"/>
  <c r="N227" i="66"/>
  <c r="N57" i="66"/>
  <c r="N166" i="66"/>
  <c r="N251" i="66"/>
  <c r="N250" i="66" s="1"/>
  <c r="N265" i="66"/>
  <c r="N257" i="66" s="1"/>
  <c r="N235" i="66"/>
  <c r="N233" i="66" s="1"/>
  <c r="Q77" i="66"/>
  <c r="N138" i="66"/>
  <c r="Q231" i="66"/>
  <c r="Q230" i="66" s="1"/>
  <c r="R230" i="66" s="1"/>
  <c r="Q38" i="66"/>
  <c r="N99" i="66"/>
  <c r="N92" i="66" s="1"/>
  <c r="N207" i="66"/>
  <c r="N270" i="66"/>
  <c r="N47" i="66"/>
  <c r="N45" i="66" s="1"/>
  <c r="N239" i="66"/>
  <c r="N70" i="66"/>
  <c r="Q103" i="66"/>
  <c r="Q91" i="66" s="1"/>
  <c r="N112" i="66"/>
  <c r="N122" i="66"/>
  <c r="N126" i="66"/>
  <c r="N175" i="66"/>
  <c r="N185" i="66"/>
  <c r="N178" i="66" s="1"/>
  <c r="N204" i="66"/>
  <c r="I232" i="66"/>
  <c r="N134" i="66"/>
  <c r="N130" i="66"/>
  <c r="N84" i="66"/>
  <c r="N211" i="66"/>
  <c r="N53" i="66"/>
  <c r="N104" i="66"/>
  <c r="N42" i="66"/>
  <c r="N60" i="66"/>
  <c r="N142" i="66"/>
  <c r="N196" i="66"/>
  <c r="N216" i="66"/>
  <c r="N163" i="66"/>
  <c r="N162" i="66" s="1"/>
  <c r="N65" i="66"/>
  <c r="N64" i="66" s="1"/>
  <c r="N78" i="66"/>
  <c r="N108" i="66"/>
  <c r="N115" i="66"/>
  <c r="N153" i="66"/>
  <c r="N171" i="66"/>
  <c r="N245" i="66"/>
  <c r="H222" i="66"/>
  <c r="N195" i="66" l="1"/>
  <c r="R7" i="66"/>
  <c r="N174" i="66"/>
  <c r="N231" i="66"/>
  <c r="N230" i="66" s="1"/>
  <c r="N152" i="66"/>
  <c r="N121" i="66" s="1"/>
  <c r="N120" i="66" s="1"/>
  <c r="I222" i="66"/>
  <c r="N210" i="66"/>
  <c r="N38" i="66"/>
  <c r="N77" i="66"/>
  <c r="N52" i="66"/>
  <c r="N51" i="66" s="1"/>
  <c r="N103" i="66"/>
  <c r="N91" i="66" s="1"/>
  <c r="N274" i="65" l="1"/>
  <c r="N273" i="65" s="1"/>
  <c r="N272" i="65"/>
  <c r="N271" i="65"/>
  <c r="N269" i="65"/>
  <c r="N268" i="65"/>
  <c r="N267" i="65"/>
  <c r="N266" i="65"/>
  <c r="N264" i="65"/>
  <c r="N261" i="65"/>
  <c r="N260" i="65"/>
  <c r="N259" i="65"/>
  <c r="N254" i="65"/>
  <c r="N253" i="65"/>
  <c r="N252" i="65"/>
  <c r="N249" i="65"/>
  <c r="N248" i="65"/>
  <c r="N247" i="65"/>
  <c r="N246" i="65"/>
  <c r="N244" i="65"/>
  <c r="N243" i="65"/>
  <c r="N242" i="65"/>
  <c r="N241" i="65"/>
  <c r="N240" i="65"/>
  <c r="N238" i="65"/>
  <c r="N237" i="65"/>
  <c r="M4" i="65" s="1"/>
  <c r="N236" i="65"/>
  <c r="N234" i="65"/>
  <c r="N232" i="65"/>
  <c r="N229" i="65"/>
  <c r="N228" i="65"/>
  <c r="N226" i="65"/>
  <c r="N222" i="65"/>
  <c r="N221" i="65"/>
  <c r="N220" i="65"/>
  <c r="N219" i="65"/>
  <c r="N218" i="65"/>
  <c r="N217" i="65"/>
  <c r="N215" i="65"/>
  <c r="N214" i="65"/>
  <c r="N213" i="65"/>
  <c r="N212" i="65"/>
  <c r="N209" i="65"/>
  <c r="N208" i="65"/>
  <c r="N206" i="65"/>
  <c r="J4" i="65" s="1"/>
  <c r="N205" i="65"/>
  <c r="N201" i="65"/>
  <c r="N200" i="65"/>
  <c r="N198" i="65"/>
  <c r="N197" i="65"/>
  <c r="N194" i="65"/>
  <c r="N193" i="65"/>
  <c r="N192" i="65"/>
  <c r="N191" i="65"/>
  <c r="N190" i="65"/>
  <c r="N189" i="65"/>
  <c r="N188" i="65"/>
  <c r="N187" i="65"/>
  <c r="N186" i="65"/>
  <c r="N184" i="65"/>
  <c r="N183" i="65"/>
  <c r="N182" i="65"/>
  <c r="N181" i="65"/>
  <c r="N180" i="65"/>
  <c r="N179" i="65"/>
  <c r="N177" i="65"/>
  <c r="N176" i="65"/>
  <c r="N173" i="65"/>
  <c r="N172" i="65"/>
  <c r="N170" i="65"/>
  <c r="N169" i="65"/>
  <c r="N168" i="65"/>
  <c r="N165" i="65"/>
  <c r="N164" i="65"/>
  <c r="N161" i="65"/>
  <c r="N160" i="65"/>
  <c r="N158" i="65"/>
  <c r="N157" i="65"/>
  <c r="N155" i="65"/>
  <c r="N154" i="65"/>
  <c r="N151" i="65"/>
  <c r="N150" i="65" s="1"/>
  <c r="N149" i="65"/>
  <c r="N148" i="65"/>
  <c r="N147" i="65"/>
  <c r="N146" i="65"/>
  <c r="N145" i="65"/>
  <c r="N144" i="65"/>
  <c r="N143" i="65"/>
  <c r="N141" i="65"/>
  <c r="N140" i="65"/>
  <c r="N139" i="65"/>
  <c r="N137" i="65"/>
  <c r="N136" i="65"/>
  <c r="N133" i="65"/>
  <c r="N132" i="65"/>
  <c r="N131" i="65"/>
  <c r="N129" i="65"/>
  <c r="N128" i="65"/>
  <c r="N127" i="65"/>
  <c r="N125" i="65"/>
  <c r="N124" i="65"/>
  <c r="N119" i="65"/>
  <c r="N118" i="65" s="1"/>
  <c r="N117" i="65"/>
  <c r="N116" i="65"/>
  <c r="N114" i="65"/>
  <c r="N113" i="65"/>
  <c r="N111" i="65"/>
  <c r="N110" i="65"/>
  <c r="N109" i="65"/>
  <c r="N107" i="65"/>
  <c r="N106" i="65"/>
  <c r="N105" i="65"/>
  <c r="N102" i="65"/>
  <c r="N101" i="65"/>
  <c r="N100" i="65"/>
  <c r="N98" i="65"/>
  <c r="N97" i="65"/>
  <c r="N96" i="65"/>
  <c r="N95" i="65"/>
  <c r="N94" i="65"/>
  <c r="N93" i="65"/>
  <c r="N90" i="65"/>
  <c r="N89" i="65"/>
  <c r="N87" i="65"/>
  <c r="N86" i="65"/>
  <c r="N85" i="65"/>
  <c r="N83" i="65"/>
  <c r="N82" i="65"/>
  <c r="N81" i="65"/>
  <c r="N80" i="65"/>
  <c r="N79" i="65"/>
  <c r="N76" i="65"/>
  <c r="N75" i="65"/>
  <c r="N74" i="65"/>
  <c r="N73" i="65"/>
  <c r="N72" i="65"/>
  <c r="N69" i="65"/>
  <c r="N68" i="65"/>
  <c r="N67" i="65"/>
  <c r="N66" i="65"/>
  <c r="N63" i="65"/>
  <c r="N62" i="65"/>
  <c r="N61" i="65"/>
  <c r="N59" i="65"/>
  <c r="N58" i="65"/>
  <c r="N56" i="65"/>
  <c r="N55" i="65"/>
  <c r="N54" i="65"/>
  <c r="N50" i="65"/>
  <c r="N49" i="65"/>
  <c r="N48" i="65"/>
  <c r="N46" i="65"/>
  <c r="N44" i="65"/>
  <c r="N43" i="65"/>
  <c r="N41" i="65"/>
  <c r="N40" i="65"/>
  <c r="A2" i="65"/>
  <c r="B2" i="65"/>
  <c r="C2" i="65"/>
  <c r="B3" i="65"/>
  <c r="E3" i="65"/>
  <c r="F3" i="65"/>
  <c r="G3" i="65"/>
  <c r="H3" i="65"/>
  <c r="I3" i="65"/>
  <c r="J3" i="65"/>
  <c r="K3" i="65"/>
  <c r="L3" i="65"/>
  <c r="M3" i="65"/>
  <c r="N3" i="65"/>
  <c r="B4" i="65"/>
  <c r="N11" i="65"/>
  <c r="P11" i="65"/>
  <c r="Q11" i="65"/>
  <c r="N12" i="65"/>
  <c r="P12" i="65"/>
  <c r="Q12" i="65"/>
  <c r="N13" i="65"/>
  <c r="P13" i="65"/>
  <c r="Q13" i="65"/>
  <c r="N14" i="65"/>
  <c r="P14" i="65"/>
  <c r="Q14" i="65"/>
  <c r="N15" i="65"/>
  <c r="P15" i="65"/>
  <c r="Q15" i="65"/>
  <c r="N16" i="65"/>
  <c r="P16" i="65"/>
  <c r="Q16" i="65"/>
  <c r="N17" i="65"/>
  <c r="P17" i="65"/>
  <c r="Q17" i="65"/>
  <c r="Q18" i="65"/>
  <c r="N19" i="65"/>
  <c r="N20" i="65"/>
  <c r="N21" i="65"/>
  <c r="N22" i="65"/>
  <c r="N23" i="65"/>
  <c r="N24" i="65"/>
  <c r="N25" i="65"/>
  <c r="N26" i="65"/>
  <c r="N27" i="65"/>
  <c r="N28" i="65"/>
  <c r="N29" i="65"/>
  <c r="Q30" i="65"/>
  <c r="N31" i="65"/>
  <c r="N32" i="65"/>
  <c r="Q33" i="65"/>
  <c r="N34" i="65"/>
  <c r="N35" i="65"/>
  <c r="N36" i="65"/>
  <c r="N37" i="65"/>
  <c r="Q39" i="65"/>
  <c r="Q42" i="65"/>
  <c r="Q45" i="65"/>
  <c r="Q53" i="65"/>
  <c r="Q57" i="65"/>
  <c r="Q60" i="65"/>
  <c r="Q65" i="65"/>
  <c r="Q64" i="65" s="1"/>
  <c r="Q71" i="65"/>
  <c r="Q70" i="65" s="1"/>
  <c r="Q78" i="65"/>
  <c r="Q84" i="65"/>
  <c r="Q88" i="65"/>
  <c r="Q99" i="65"/>
  <c r="Q92" i="65" s="1"/>
  <c r="Q104" i="65"/>
  <c r="Q108" i="65"/>
  <c r="Q112" i="65"/>
  <c r="Q115" i="65"/>
  <c r="Q118" i="65"/>
  <c r="Q122" i="65"/>
  <c r="Q126" i="65"/>
  <c r="Q130" i="65"/>
  <c r="Q134" i="65"/>
  <c r="Q138" i="65"/>
  <c r="Q142" i="65"/>
  <c r="Q150" i="65"/>
  <c r="Q153" i="65"/>
  <c r="Q156" i="65"/>
  <c r="Q159" i="65"/>
  <c r="Q163" i="65"/>
  <c r="Q166" i="65"/>
  <c r="Q175" i="65"/>
  <c r="Q185" i="65"/>
  <c r="Q178" i="65" s="1"/>
  <c r="Q196" i="65"/>
  <c r="Q199" i="65"/>
  <c r="Q204" i="65"/>
  <c r="Q207" i="65"/>
  <c r="Q211" i="65"/>
  <c r="Q216" i="65"/>
  <c r="Q225" i="65"/>
  <c r="Q223" i="65" s="1"/>
  <c r="Q227" i="65"/>
  <c r="Q233" i="65"/>
  <c r="Q239" i="65"/>
  <c r="Q245" i="65"/>
  <c r="Q251" i="65"/>
  <c r="Q250" i="65" s="1"/>
  <c r="Q258" i="65"/>
  <c r="Q262" i="65"/>
  <c r="Q265" i="65"/>
  <c r="Q270" i="65"/>
  <c r="Q273" i="65"/>
  <c r="N175" i="65" l="1"/>
  <c r="N47" i="65"/>
  <c r="N45" i="65" s="1"/>
  <c r="Q162" i="65"/>
  <c r="F4" i="65"/>
  <c r="N88" i="65"/>
  <c r="Q210" i="65"/>
  <c r="Q77" i="65"/>
  <c r="N99" i="65"/>
  <c r="N92" i="65" s="1"/>
  <c r="N167" i="65"/>
  <c r="N166" i="65" s="1"/>
  <c r="N251" i="65"/>
  <c r="N250" i="65" s="1"/>
  <c r="N258" i="65"/>
  <c r="Q174" i="65"/>
  <c r="N42" i="65"/>
  <c r="N57" i="65"/>
  <c r="N123" i="65"/>
  <c r="N122" i="65" s="1"/>
  <c r="N130" i="65"/>
  <c r="N135" i="65"/>
  <c r="N134" i="65" s="1"/>
  <c r="N185" i="65"/>
  <c r="N178" i="65" s="1"/>
  <c r="N199" i="65"/>
  <c r="N207" i="65"/>
  <c r="N211" i="65"/>
  <c r="N235" i="65"/>
  <c r="N233" i="65" s="1"/>
  <c r="N263" i="65"/>
  <c r="N262" i="65" s="1"/>
  <c r="E4" i="65"/>
  <c r="N216" i="65"/>
  <c r="N142" i="65"/>
  <c r="N156" i="65"/>
  <c r="N171" i="65"/>
  <c r="Q257" i="65"/>
  <c r="Q195" i="65"/>
  <c r="Q152" i="65"/>
  <c r="Q103" i="65"/>
  <c r="Q91" i="65" s="1"/>
  <c r="Q52" i="65"/>
  <c r="Q51" i="65" s="1"/>
  <c r="Q38" i="65"/>
  <c r="N115" i="65"/>
  <c r="N78" i="65"/>
  <c r="K4" i="65"/>
  <c r="N225" i="65"/>
  <c r="N223" i="65" s="1"/>
  <c r="N33" i="65"/>
  <c r="N18" i="65"/>
  <c r="N39" i="65"/>
  <c r="N153" i="65"/>
  <c r="N227" i="65"/>
  <c r="N84" i="65"/>
  <c r="Q10" i="65"/>
  <c r="Q9" i="65" s="1"/>
  <c r="Q8" i="65" s="1"/>
  <c r="N71" i="65"/>
  <c r="N70" i="65" s="1"/>
  <c r="N104" i="65"/>
  <c r="N112" i="65"/>
  <c r="N138" i="65"/>
  <c r="N159" i="65"/>
  <c r="N196" i="65"/>
  <c r="N270" i="65"/>
  <c r="N4" i="65"/>
  <c r="N53" i="65"/>
  <c r="N126" i="65"/>
  <c r="N60" i="65"/>
  <c r="N65" i="65"/>
  <c r="N64" i="65" s="1"/>
  <c r="N108" i="65"/>
  <c r="N163" i="65"/>
  <c r="N162" i="65" s="1"/>
  <c r="N204" i="65"/>
  <c r="N239" i="65"/>
  <c r="N245" i="65"/>
  <c r="N265" i="65"/>
  <c r="L4" i="65"/>
  <c r="N10" i="65"/>
  <c r="N30" i="65"/>
  <c r="H4" i="65"/>
  <c r="Q231" i="65"/>
  <c r="G4" i="65"/>
  <c r="I4" i="65"/>
  <c r="N174" i="65" l="1"/>
  <c r="N210" i="65"/>
  <c r="Q121" i="65"/>
  <c r="Q120" i="65" s="1"/>
  <c r="N257" i="65"/>
  <c r="N9" i="65"/>
  <c r="N8" i="65" s="1"/>
  <c r="N152" i="65"/>
  <c r="N121" i="65" s="1"/>
  <c r="N120" i="65" s="1"/>
  <c r="N77" i="65"/>
  <c r="N38" i="65"/>
  <c r="Q230" i="65"/>
  <c r="N195" i="65"/>
  <c r="N52" i="65"/>
  <c r="N51" i="65" s="1"/>
  <c r="N103" i="65"/>
  <c r="N91" i="65" s="1"/>
  <c r="N231" i="65"/>
  <c r="N230" i="65" l="1"/>
  <c r="Q7" i="65"/>
  <c r="D3" i="65" s="1"/>
  <c r="R230" i="65"/>
  <c r="R7" i="65" s="1"/>
  <c r="N7" i="65"/>
  <c r="D4" i="65" s="1"/>
  <c r="N129" i="47" l="1"/>
  <c r="N128" i="47" s="1"/>
  <c r="N117" i="47"/>
  <c r="N105" i="47"/>
  <c r="N92" i="47"/>
  <c r="N80" i="47"/>
  <c r="N68" i="47"/>
  <c r="N55" i="47"/>
  <c r="N43" i="47"/>
  <c r="N30" i="47"/>
  <c r="N28" i="47"/>
  <c r="N27" i="47"/>
  <c r="T27" i="47" s="1"/>
  <c r="N25" i="47"/>
  <c r="T25" i="47" s="1"/>
  <c r="N29" i="47" l="1"/>
  <c r="T30" i="47"/>
  <c r="N54" i="47"/>
  <c r="T55" i="47"/>
  <c r="N79" i="47"/>
  <c r="T80" i="47"/>
  <c r="N104" i="47"/>
  <c r="N103" i="47" s="1"/>
  <c r="T105" i="47"/>
  <c r="N42" i="47"/>
  <c r="T43" i="47"/>
  <c r="N67" i="47"/>
  <c r="T68" i="47"/>
  <c r="N91" i="47"/>
  <c r="T92" i="47"/>
  <c r="N116" i="47"/>
  <c r="T117" i="47"/>
  <c r="N26" i="47"/>
  <c r="N24" i="47" l="1"/>
  <c r="N66" i="47"/>
  <c r="P160" i="6"/>
  <c r="V160" i="6" s="1"/>
  <c r="V159" i="6"/>
  <c r="V154" i="6"/>
  <c r="P152" i="6"/>
  <c r="P150" i="6"/>
  <c r="P138" i="6"/>
  <c r="V138" i="6" s="1"/>
  <c r="P132" i="6"/>
  <c r="P107" i="6"/>
  <c r="P106" i="6"/>
  <c r="P100" i="6"/>
  <c r="P95" i="6"/>
  <c r="P94" i="6" s="1"/>
  <c r="P88" i="6"/>
  <c r="P81" i="6"/>
  <c r="P68" i="6"/>
  <c r="O67" i="6"/>
  <c r="P62" i="6"/>
  <c r="P57" i="6"/>
  <c r="O56" i="6"/>
  <c r="P54" i="6"/>
  <c r="O53" i="6"/>
  <c r="P46" i="6"/>
  <c r="O45" i="6"/>
  <c r="P35" i="6"/>
  <c r="O34" i="6"/>
  <c r="O27" i="6"/>
  <c r="O9" i="6"/>
  <c r="P53" i="6" l="1"/>
  <c r="V54" i="6"/>
  <c r="P80" i="6"/>
  <c r="V80" i="6" s="1"/>
  <c r="V81" i="6"/>
  <c r="P149" i="6"/>
  <c r="P137" i="6" s="1"/>
  <c r="V150" i="6"/>
  <c r="P27" i="6"/>
  <c r="V28" i="6"/>
  <c r="P45" i="6"/>
  <c r="V46" i="6"/>
  <c r="P56" i="6"/>
  <c r="V57" i="6"/>
  <c r="P67" i="6"/>
  <c r="V68" i="6"/>
  <c r="P87" i="6"/>
  <c r="V88" i="6"/>
  <c r="P99" i="6"/>
  <c r="V100" i="6"/>
  <c r="P34" i="6"/>
  <c r="V35" i="6"/>
  <c r="P61" i="6"/>
  <c r="V62" i="6"/>
  <c r="P131" i="6"/>
  <c r="V132" i="6"/>
  <c r="P108" i="6"/>
  <c r="O8" i="6"/>
  <c r="O7" i="6" s="1"/>
  <c r="P105" i="6"/>
  <c r="P153" i="6"/>
  <c r="P60" i="6" l="1"/>
  <c r="P9" i="6"/>
  <c r="V10" i="6"/>
  <c r="P8" i="6" l="1"/>
  <c r="E45" i="86"/>
  <c r="E42" i="86"/>
  <c r="E32" i="86"/>
  <c r="F8" i="86"/>
  <c r="E7" i="86"/>
  <c r="E6" i="86"/>
  <c r="H41" i="78" l="1"/>
  <c r="H38" i="78"/>
  <c r="H34" i="78"/>
  <c r="H31" i="78"/>
  <c r="H24" i="78"/>
  <c r="H22" i="78"/>
  <c r="H11" i="78"/>
  <c r="I8" i="56" l="1"/>
  <c r="I7" i="56" l="1"/>
  <c r="J7" i="15" l="1"/>
  <c r="I10" i="4"/>
  <c r="I8" i="60"/>
  <c r="I7" i="60" s="1"/>
  <c r="J7" i="3"/>
  <c r="I9" i="2"/>
  <c r="I9" i="16"/>
  <c r="I9" i="4" l="1"/>
  <c r="I8" i="4" s="1"/>
  <c r="I7" i="5"/>
  <c r="I8" i="16"/>
  <c r="J6" i="3"/>
  <c r="I8" i="2"/>
  <c r="I7" i="2" l="1"/>
  <c r="I7" i="16"/>
  <c r="I7" i="4"/>
  <c r="P291" i="72" l="1"/>
  <c r="O291" i="72"/>
  <c r="N291" i="72"/>
  <c r="M291" i="72"/>
  <c r="L291" i="72"/>
  <c r="K291" i="72"/>
  <c r="J291" i="72"/>
  <c r="I291" i="72"/>
  <c r="H291" i="72"/>
  <c r="G291" i="72"/>
  <c r="F291" i="72"/>
  <c r="E291" i="72"/>
  <c r="D291" i="72"/>
  <c r="C291" i="72"/>
  <c r="B291" i="72"/>
  <c r="A291" i="72"/>
  <c r="O290" i="72"/>
  <c r="N290" i="72"/>
  <c r="L290" i="72"/>
  <c r="K290" i="72"/>
  <c r="J290" i="72"/>
  <c r="I290" i="72"/>
  <c r="E290" i="72"/>
  <c r="D290" i="72"/>
  <c r="C290" i="72"/>
  <c r="B290" i="72"/>
  <c r="A290" i="72"/>
  <c r="P289" i="72"/>
  <c r="P288" i="72" s="1"/>
  <c r="O289" i="72"/>
  <c r="N289" i="72"/>
  <c r="M289" i="72"/>
  <c r="L289" i="72"/>
  <c r="K289" i="72"/>
  <c r="J289" i="72"/>
  <c r="I289" i="72"/>
  <c r="H289" i="72"/>
  <c r="H288" i="72" s="1"/>
  <c r="G289" i="72"/>
  <c r="F289" i="72"/>
  <c r="E289" i="72"/>
  <c r="D289" i="72"/>
  <c r="C289" i="72"/>
  <c r="B289" i="72"/>
  <c r="A289" i="72"/>
  <c r="C288" i="72"/>
  <c r="B288" i="72"/>
  <c r="A288" i="72"/>
  <c r="P287" i="72"/>
  <c r="O287" i="72"/>
  <c r="N287" i="72"/>
  <c r="L287" i="72"/>
  <c r="J287" i="72"/>
  <c r="I287" i="72"/>
  <c r="H287" i="72"/>
  <c r="G287" i="72"/>
  <c r="F287" i="72"/>
  <c r="E287" i="72"/>
  <c r="D287" i="72"/>
  <c r="C287" i="72"/>
  <c r="B287" i="72"/>
  <c r="A287" i="72"/>
  <c r="C286" i="72"/>
  <c r="B286" i="72"/>
  <c r="A286" i="72"/>
  <c r="P285" i="72"/>
  <c r="O285" i="72"/>
  <c r="N285" i="72"/>
  <c r="L285" i="72"/>
  <c r="J285" i="72"/>
  <c r="I285" i="72"/>
  <c r="H285" i="72"/>
  <c r="G285" i="72"/>
  <c r="F285" i="72"/>
  <c r="E285" i="72"/>
  <c r="D285" i="72"/>
  <c r="C285" i="72"/>
  <c r="B285" i="72"/>
  <c r="A285" i="72"/>
  <c r="P284" i="72"/>
  <c r="O284" i="72"/>
  <c r="N284" i="72"/>
  <c r="L284" i="72"/>
  <c r="J284" i="72"/>
  <c r="I284" i="72"/>
  <c r="H284" i="72"/>
  <c r="G284" i="72"/>
  <c r="F284" i="72"/>
  <c r="E284" i="72"/>
  <c r="D284" i="72"/>
  <c r="C284" i="72"/>
  <c r="B284" i="72"/>
  <c r="A284" i="72"/>
  <c r="O283" i="72"/>
  <c r="N283" i="72"/>
  <c r="L283" i="72"/>
  <c r="K283" i="72"/>
  <c r="J283" i="72"/>
  <c r="I283" i="72"/>
  <c r="E283" i="72"/>
  <c r="D283" i="72"/>
  <c r="C283" i="72"/>
  <c r="B283" i="72"/>
  <c r="A283" i="72"/>
  <c r="P282" i="72"/>
  <c r="O282" i="72"/>
  <c r="N282" i="72"/>
  <c r="L282" i="72"/>
  <c r="J282" i="72"/>
  <c r="I282" i="72"/>
  <c r="H282" i="72"/>
  <c r="G282" i="72"/>
  <c r="F282" i="72"/>
  <c r="E282" i="72"/>
  <c r="D282" i="72"/>
  <c r="C282" i="72"/>
  <c r="B282" i="72"/>
  <c r="A282" i="72"/>
  <c r="C281" i="72"/>
  <c r="B281" i="72"/>
  <c r="A281" i="72"/>
  <c r="C280" i="72"/>
  <c r="B280" i="72"/>
  <c r="A280" i="72"/>
  <c r="O279" i="72"/>
  <c r="N279" i="72"/>
  <c r="L279" i="72"/>
  <c r="K279" i="72"/>
  <c r="J279" i="72"/>
  <c r="I279" i="72"/>
  <c r="E279" i="72"/>
  <c r="D279" i="72"/>
  <c r="C279" i="72"/>
  <c r="B279" i="72"/>
  <c r="A279" i="72"/>
  <c r="P278" i="72"/>
  <c r="O278" i="72"/>
  <c r="N278" i="72"/>
  <c r="L278" i="72"/>
  <c r="J278" i="72"/>
  <c r="I278" i="72"/>
  <c r="H278" i="72"/>
  <c r="G278" i="72"/>
  <c r="F278" i="72"/>
  <c r="E278" i="72"/>
  <c r="D278" i="72"/>
  <c r="C278" i="72"/>
  <c r="B278" i="72"/>
  <c r="A278" i="72"/>
  <c r="C277" i="72"/>
  <c r="B277" i="72"/>
  <c r="A277" i="72"/>
  <c r="P276" i="72"/>
  <c r="O276" i="72"/>
  <c r="N276" i="72"/>
  <c r="L276" i="72"/>
  <c r="J276" i="72"/>
  <c r="I276" i="72"/>
  <c r="H276" i="72"/>
  <c r="G276" i="72"/>
  <c r="E276" i="72"/>
  <c r="D276" i="72"/>
  <c r="C276" i="72"/>
  <c r="B276" i="72"/>
  <c r="A276" i="72"/>
  <c r="P275" i="72"/>
  <c r="O275" i="72"/>
  <c r="N275" i="72"/>
  <c r="L275" i="72"/>
  <c r="I275" i="72"/>
  <c r="H275" i="72"/>
  <c r="G275" i="72"/>
  <c r="F275" i="72"/>
  <c r="E275" i="72"/>
  <c r="D275" i="72"/>
  <c r="C275" i="72"/>
  <c r="B275" i="72"/>
  <c r="A275" i="72"/>
  <c r="P274" i="72"/>
  <c r="O274" i="72"/>
  <c r="N274" i="72"/>
  <c r="L274" i="72"/>
  <c r="J274" i="72"/>
  <c r="I274" i="72"/>
  <c r="H274" i="72"/>
  <c r="G274" i="72"/>
  <c r="E274" i="72"/>
  <c r="D274" i="72"/>
  <c r="C274" i="72"/>
  <c r="B274" i="72"/>
  <c r="A274" i="72"/>
  <c r="C273" i="72"/>
  <c r="B273" i="72"/>
  <c r="A273" i="72"/>
  <c r="P272" i="72"/>
  <c r="O272" i="72"/>
  <c r="L272" i="72"/>
  <c r="K272" i="72"/>
  <c r="J272" i="72"/>
  <c r="I272" i="72"/>
  <c r="E272" i="72"/>
  <c r="D272" i="72"/>
  <c r="C272" i="72"/>
  <c r="B272" i="72"/>
  <c r="A272" i="72"/>
  <c r="P271" i="72"/>
  <c r="O271" i="72"/>
  <c r="N271" i="72"/>
  <c r="L271" i="72"/>
  <c r="J271" i="72"/>
  <c r="I271" i="72"/>
  <c r="H271" i="72"/>
  <c r="G271" i="72"/>
  <c r="E271" i="72"/>
  <c r="D271" i="72"/>
  <c r="C271" i="72"/>
  <c r="B271" i="72"/>
  <c r="A271" i="72"/>
  <c r="L270" i="72"/>
  <c r="J270" i="72"/>
  <c r="I270" i="72"/>
  <c r="H270" i="72"/>
  <c r="G270" i="72"/>
  <c r="E270" i="72"/>
  <c r="D270" i="72"/>
  <c r="C270" i="72"/>
  <c r="B270" i="72"/>
  <c r="A270" i="72"/>
  <c r="P269" i="72"/>
  <c r="O269" i="72"/>
  <c r="N269" i="72"/>
  <c r="L269" i="72"/>
  <c r="J269" i="72"/>
  <c r="I269" i="72"/>
  <c r="H269" i="72"/>
  <c r="G269" i="72"/>
  <c r="E269" i="72"/>
  <c r="D269" i="72"/>
  <c r="C269" i="72"/>
  <c r="B269" i="72"/>
  <c r="A269" i="72"/>
  <c r="P268" i="72"/>
  <c r="O268" i="72"/>
  <c r="N268" i="72"/>
  <c r="L268" i="72"/>
  <c r="J268" i="72"/>
  <c r="I268" i="72"/>
  <c r="H268" i="72"/>
  <c r="G268" i="72"/>
  <c r="F268" i="72"/>
  <c r="E268" i="72"/>
  <c r="D268" i="72"/>
  <c r="C268" i="72"/>
  <c r="B268" i="72"/>
  <c r="A268" i="72"/>
  <c r="P267" i="72"/>
  <c r="O267" i="72"/>
  <c r="N267" i="72"/>
  <c r="L267" i="72"/>
  <c r="J267" i="72"/>
  <c r="I267" i="72"/>
  <c r="H267" i="72"/>
  <c r="G267" i="72"/>
  <c r="E267" i="72"/>
  <c r="D267" i="72"/>
  <c r="C267" i="72"/>
  <c r="B267" i="72"/>
  <c r="A267" i="72"/>
  <c r="C266" i="72"/>
  <c r="B266" i="72"/>
  <c r="A266" i="72"/>
  <c r="C265" i="72"/>
  <c r="B265" i="72"/>
  <c r="A265" i="72"/>
  <c r="C264" i="72"/>
  <c r="P263" i="72"/>
  <c r="O263" i="72"/>
  <c r="N263" i="72"/>
  <c r="L263" i="72"/>
  <c r="J263" i="72"/>
  <c r="I263" i="72"/>
  <c r="H263" i="72"/>
  <c r="H262" i="72" s="1"/>
  <c r="G263" i="72"/>
  <c r="G262" i="72" s="1"/>
  <c r="F263" i="72"/>
  <c r="E263" i="72"/>
  <c r="D263" i="72"/>
  <c r="C263" i="72"/>
  <c r="B263" i="72"/>
  <c r="A263" i="72"/>
  <c r="C262" i="72"/>
  <c r="B262" i="72"/>
  <c r="A262" i="72"/>
  <c r="C261" i="72"/>
  <c r="B261" i="72"/>
  <c r="A261" i="72"/>
  <c r="C260" i="72"/>
  <c r="B260" i="72"/>
  <c r="A260" i="72"/>
  <c r="P259" i="72"/>
  <c r="O259" i="72"/>
  <c r="N259" i="72"/>
  <c r="M259" i="72"/>
  <c r="L259" i="72"/>
  <c r="J259" i="72"/>
  <c r="H259" i="72"/>
  <c r="G259" i="72"/>
  <c r="F259" i="72"/>
  <c r="E259" i="72"/>
  <c r="D259" i="72"/>
  <c r="C259" i="72"/>
  <c r="B259" i="72"/>
  <c r="A259" i="72"/>
  <c r="O258" i="72"/>
  <c r="L258" i="72"/>
  <c r="K258" i="72"/>
  <c r="J258" i="72"/>
  <c r="I258" i="72"/>
  <c r="E258" i="72"/>
  <c r="D258" i="72"/>
  <c r="C258" i="72"/>
  <c r="B258" i="72"/>
  <c r="A258" i="72"/>
  <c r="O257" i="72"/>
  <c r="N257" i="72"/>
  <c r="L257" i="72"/>
  <c r="K257" i="72"/>
  <c r="J257" i="72"/>
  <c r="I257" i="72"/>
  <c r="H257" i="72"/>
  <c r="G257" i="72"/>
  <c r="F257" i="72"/>
  <c r="E257" i="72"/>
  <c r="D257" i="72"/>
  <c r="C257" i="72"/>
  <c r="B257" i="72"/>
  <c r="A257" i="72"/>
  <c r="P256" i="72"/>
  <c r="O256" i="72"/>
  <c r="N256" i="72"/>
  <c r="L256" i="72"/>
  <c r="J256" i="72"/>
  <c r="I256" i="72"/>
  <c r="H256" i="72"/>
  <c r="G256" i="72"/>
  <c r="F256" i="72"/>
  <c r="E256" i="72"/>
  <c r="D256" i="72"/>
  <c r="C256" i="72"/>
  <c r="B256" i="72"/>
  <c r="A256" i="72"/>
  <c r="P255" i="72"/>
  <c r="O255" i="72"/>
  <c r="N255" i="72"/>
  <c r="L255" i="72"/>
  <c r="J255" i="72"/>
  <c r="I255" i="72"/>
  <c r="H255" i="72"/>
  <c r="G255" i="72"/>
  <c r="F255" i="72"/>
  <c r="E255" i="72"/>
  <c r="D255" i="72"/>
  <c r="C255" i="72"/>
  <c r="B255" i="72"/>
  <c r="A255" i="72"/>
  <c r="O254" i="72"/>
  <c r="N254" i="72"/>
  <c r="L254" i="72"/>
  <c r="J254" i="72"/>
  <c r="I254" i="72"/>
  <c r="H254" i="72"/>
  <c r="G254" i="72"/>
  <c r="F254" i="72"/>
  <c r="E254" i="72"/>
  <c r="D254" i="72"/>
  <c r="C254" i="72"/>
  <c r="B254" i="72"/>
  <c r="A254" i="72"/>
  <c r="O253" i="72"/>
  <c r="C253" i="72"/>
  <c r="B253" i="72"/>
  <c r="A253" i="72"/>
  <c r="C252" i="72"/>
  <c r="B252" i="72"/>
  <c r="A252" i="72"/>
  <c r="P251" i="72"/>
  <c r="O251" i="72"/>
  <c r="N251" i="72"/>
  <c r="L251" i="72"/>
  <c r="J251" i="72"/>
  <c r="I251" i="72"/>
  <c r="H251" i="72"/>
  <c r="G251" i="72"/>
  <c r="F251" i="72"/>
  <c r="E251" i="72"/>
  <c r="D251" i="72"/>
  <c r="C251" i="72"/>
  <c r="B251" i="72"/>
  <c r="A251" i="72"/>
  <c r="P250" i="72"/>
  <c r="O250" i="72"/>
  <c r="N250" i="72"/>
  <c r="L250" i="72"/>
  <c r="I250" i="72"/>
  <c r="H250" i="72"/>
  <c r="G250" i="72"/>
  <c r="F250" i="72"/>
  <c r="E250" i="72"/>
  <c r="D250" i="72"/>
  <c r="C250" i="72"/>
  <c r="B250" i="72"/>
  <c r="A250" i="72"/>
  <c r="C249" i="72"/>
  <c r="B249" i="72"/>
  <c r="A249" i="72"/>
  <c r="P248" i="72"/>
  <c r="O248" i="72"/>
  <c r="N248" i="72"/>
  <c r="L248" i="72"/>
  <c r="J248" i="72"/>
  <c r="I248" i="72"/>
  <c r="H248" i="72"/>
  <c r="G248" i="72"/>
  <c r="F248" i="72"/>
  <c r="E248" i="72"/>
  <c r="D248" i="72"/>
  <c r="C248" i="72"/>
  <c r="B248" i="72"/>
  <c r="A248" i="72"/>
  <c r="P247" i="72"/>
  <c r="O247" i="72"/>
  <c r="N247" i="72"/>
  <c r="L247" i="72"/>
  <c r="J247" i="72"/>
  <c r="I247" i="72"/>
  <c r="H247" i="72"/>
  <c r="G247" i="72"/>
  <c r="F247" i="72"/>
  <c r="E247" i="72"/>
  <c r="D247" i="72"/>
  <c r="C247" i="72"/>
  <c r="B247" i="72"/>
  <c r="A247" i="72"/>
  <c r="P246" i="72"/>
  <c r="O246" i="72"/>
  <c r="N246" i="72"/>
  <c r="L246" i="72"/>
  <c r="J246" i="72"/>
  <c r="I246" i="72"/>
  <c r="H246" i="72"/>
  <c r="G246" i="72"/>
  <c r="F246" i="72"/>
  <c r="E246" i="72"/>
  <c r="D246" i="72"/>
  <c r="C246" i="72"/>
  <c r="B246" i="72"/>
  <c r="A246" i="72"/>
  <c r="C245" i="72"/>
  <c r="B245" i="72"/>
  <c r="A245" i="72"/>
  <c r="P244" i="72"/>
  <c r="O244" i="72"/>
  <c r="N244" i="72"/>
  <c r="M244" i="72"/>
  <c r="L244" i="72"/>
  <c r="J244" i="72"/>
  <c r="H244" i="72"/>
  <c r="G244" i="72"/>
  <c r="F244" i="72"/>
  <c r="E244" i="72"/>
  <c r="D244" i="72"/>
  <c r="C244" i="72"/>
  <c r="B244" i="72"/>
  <c r="A244" i="72"/>
  <c r="P243" i="72"/>
  <c r="O243" i="72"/>
  <c r="N243" i="72"/>
  <c r="M243" i="72"/>
  <c r="L243" i="72"/>
  <c r="J243" i="72"/>
  <c r="G243" i="72"/>
  <c r="F243" i="72"/>
  <c r="E243" i="72"/>
  <c r="D243" i="72"/>
  <c r="C243" i="72"/>
  <c r="B243" i="72"/>
  <c r="A243" i="72"/>
  <c r="P242" i="72"/>
  <c r="O242" i="72"/>
  <c r="N242" i="72"/>
  <c r="M242" i="72"/>
  <c r="L242" i="72"/>
  <c r="J242" i="72"/>
  <c r="H242" i="72"/>
  <c r="G242" i="72"/>
  <c r="F242" i="72"/>
  <c r="E242" i="72"/>
  <c r="D242" i="72"/>
  <c r="C242" i="72"/>
  <c r="B242" i="72"/>
  <c r="A242" i="72"/>
  <c r="P241" i="72"/>
  <c r="O241" i="72"/>
  <c r="N241" i="72"/>
  <c r="M241" i="72"/>
  <c r="L241" i="72"/>
  <c r="J241" i="72"/>
  <c r="G241" i="72"/>
  <c r="F241" i="72"/>
  <c r="E241" i="72"/>
  <c r="D241" i="72"/>
  <c r="C241" i="72"/>
  <c r="B241" i="72"/>
  <c r="A241" i="72"/>
  <c r="P240" i="72"/>
  <c r="O240" i="72"/>
  <c r="N240" i="72"/>
  <c r="M240" i="72"/>
  <c r="L240" i="72"/>
  <c r="J240" i="72"/>
  <c r="G240" i="72"/>
  <c r="F240" i="72"/>
  <c r="E240" i="72"/>
  <c r="D240" i="72"/>
  <c r="C240" i="72"/>
  <c r="B240" i="72"/>
  <c r="A240" i="72"/>
  <c r="C239" i="72"/>
  <c r="B239" i="72"/>
  <c r="A239" i="72"/>
  <c r="C238" i="72"/>
  <c r="B238" i="72"/>
  <c r="A238" i="72"/>
  <c r="C237" i="72"/>
  <c r="N236" i="72"/>
  <c r="L236" i="72"/>
  <c r="J236" i="72"/>
  <c r="I236" i="72"/>
  <c r="H236" i="72"/>
  <c r="G236" i="72"/>
  <c r="F236" i="72"/>
  <c r="E236" i="72"/>
  <c r="D236" i="72"/>
  <c r="C236" i="72"/>
  <c r="B236" i="72"/>
  <c r="A236" i="72"/>
  <c r="P235" i="72"/>
  <c r="O235" i="72"/>
  <c r="N235" i="72"/>
  <c r="L235" i="72"/>
  <c r="J235" i="72"/>
  <c r="I235" i="72"/>
  <c r="H235" i="72"/>
  <c r="G235" i="72"/>
  <c r="F235" i="72"/>
  <c r="E235" i="72"/>
  <c r="D235" i="72"/>
  <c r="C235" i="72"/>
  <c r="B235" i="72"/>
  <c r="A235" i="72"/>
  <c r="N234" i="72"/>
  <c r="L234" i="72"/>
  <c r="J234" i="72"/>
  <c r="I234" i="72"/>
  <c r="H234" i="72"/>
  <c r="G234" i="72"/>
  <c r="F234" i="72"/>
  <c r="E234" i="72"/>
  <c r="D234" i="72"/>
  <c r="C234" i="72"/>
  <c r="B234" i="72"/>
  <c r="A234" i="72"/>
  <c r="P233" i="72"/>
  <c r="O233" i="72"/>
  <c r="N233" i="72"/>
  <c r="L233" i="72"/>
  <c r="J233" i="72"/>
  <c r="I233" i="72"/>
  <c r="H233" i="72"/>
  <c r="G233" i="72"/>
  <c r="F233" i="72"/>
  <c r="E233" i="72"/>
  <c r="D233" i="72"/>
  <c r="C233" i="72"/>
  <c r="B233" i="72"/>
  <c r="A233" i="72"/>
  <c r="N232" i="72"/>
  <c r="L232" i="72"/>
  <c r="J232" i="72"/>
  <c r="I232" i="72"/>
  <c r="H232" i="72"/>
  <c r="G232" i="72"/>
  <c r="F232" i="72"/>
  <c r="E232" i="72"/>
  <c r="D232" i="72"/>
  <c r="C232" i="72"/>
  <c r="B232" i="72"/>
  <c r="A232" i="72"/>
  <c r="N231" i="72"/>
  <c r="L231" i="72"/>
  <c r="J231" i="72"/>
  <c r="I231" i="72"/>
  <c r="H231" i="72"/>
  <c r="G231" i="72"/>
  <c r="F231" i="72"/>
  <c r="E231" i="72"/>
  <c r="D231" i="72"/>
  <c r="C231" i="72"/>
  <c r="B231" i="72"/>
  <c r="A231" i="72"/>
  <c r="N230" i="72"/>
  <c r="L230" i="72"/>
  <c r="J230" i="72"/>
  <c r="I230" i="72"/>
  <c r="H230" i="72"/>
  <c r="G230" i="72"/>
  <c r="F230" i="72"/>
  <c r="E230" i="72"/>
  <c r="D230" i="72"/>
  <c r="C230" i="72"/>
  <c r="B230" i="72"/>
  <c r="A230" i="72"/>
  <c r="N229" i="72"/>
  <c r="L229" i="72"/>
  <c r="J229" i="72"/>
  <c r="I229" i="72"/>
  <c r="H229" i="72"/>
  <c r="G229" i="72"/>
  <c r="F229" i="72"/>
  <c r="E229" i="72"/>
  <c r="D229" i="72"/>
  <c r="C229" i="72"/>
  <c r="B229" i="72"/>
  <c r="A229" i="72"/>
  <c r="C228" i="72"/>
  <c r="B228" i="72"/>
  <c r="A228" i="72"/>
  <c r="N227" i="72"/>
  <c r="L227" i="72"/>
  <c r="J227" i="72"/>
  <c r="I227" i="72"/>
  <c r="H227" i="72"/>
  <c r="G227" i="72"/>
  <c r="F227" i="72"/>
  <c r="E227" i="72"/>
  <c r="D227" i="72"/>
  <c r="C227" i="72"/>
  <c r="B227" i="72"/>
  <c r="A227" i="72"/>
  <c r="C226" i="72"/>
  <c r="B226" i="72"/>
  <c r="A226" i="72"/>
  <c r="N225" i="72"/>
  <c r="L225" i="72"/>
  <c r="J225" i="72"/>
  <c r="I225" i="72"/>
  <c r="H225" i="72"/>
  <c r="G225" i="72"/>
  <c r="F225" i="72"/>
  <c r="E225" i="72"/>
  <c r="D225" i="72"/>
  <c r="C225" i="72"/>
  <c r="B225" i="72"/>
  <c r="A225" i="72"/>
  <c r="C224" i="72"/>
  <c r="B224" i="72"/>
  <c r="A224" i="72"/>
  <c r="C223" i="72"/>
  <c r="B223" i="72"/>
  <c r="A223" i="72"/>
  <c r="P222" i="72"/>
  <c r="O222" i="72"/>
  <c r="N222" i="72"/>
  <c r="L222" i="72"/>
  <c r="J222" i="72"/>
  <c r="I222" i="72"/>
  <c r="H222" i="72"/>
  <c r="G222" i="72"/>
  <c r="F222" i="72"/>
  <c r="E222" i="72"/>
  <c r="D222" i="72"/>
  <c r="C222" i="72"/>
  <c r="B222" i="72"/>
  <c r="A222" i="72"/>
  <c r="N221" i="72"/>
  <c r="L221" i="72"/>
  <c r="J221" i="72"/>
  <c r="I221" i="72"/>
  <c r="H221" i="72"/>
  <c r="G221" i="72"/>
  <c r="F221" i="72"/>
  <c r="E221" i="72"/>
  <c r="D221" i="72"/>
  <c r="C221" i="72"/>
  <c r="B221" i="72"/>
  <c r="A221" i="72"/>
  <c r="N220" i="72"/>
  <c r="L220" i="72"/>
  <c r="J220" i="72"/>
  <c r="I220" i="72"/>
  <c r="H220" i="72"/>
  <c r="G220" i="72"/>
  <c r="F220" i="72"/>
  <c r="E220" i="72"/>
  <c r="D220" i="72"/>
  <c r="C220" i="72"/>
  <c r="B220" i="72"/>
  <c r="A220" i="72"/>
  <c r="N219" i="72"/>
  <c r="L219" i="72"/>
  <c r="J219" i="72"/>
  <c r="I219" i="72"/>
  <c r="H219" i="72"/>
  <c r="G219" i="72"/>
  <c r="F219" i="72"/>
  <c r="E219" i="72"/>
  <c r="D219" i="72"/>
  <c r="C219" i="72"/>
  <c r="B219" i="72"/>
  <c r="A219" i="72"/>
  <c r="N218" i="72"/>
  <c r="L218" i="72"/>
  <c r="J218" i="72"/>
  <c r="I218" i="72"/>
  <c r="H218" i="72"/>
  <c r="G218" i="72"/>
  <c r="F218" i="72"/>
  <c r="E218" i="72"/>
  <c r="D218" i="72"/>
  <c r="C218" i="72"/>
  <c r="B218" i="72"/>
  <c r="A218" i="72"/>
  <c r="C217" i="72"/>
  <c r="B217" i="72"/>
  <c r="A217" i="72"/>
  <c r="P216" i="72"/>
  <c r="O216" i="72"/>
  <c r="N216" i="72"/>
  <c r="L216" i="72"/>
  <c r="J216" i="72"/>
  <c r="I216" i="72"/>
  <c r="H216" i="72"/>
  <c r="G216" i="72"/>
  <c r="F216" i="72"/>
  <c r="E216" i="72"/>
  <c r="D216" i="72"/>
  <c r="C216" i="72"/>
  <c r="B216" i="72"/>
  <c r="A216" i="72"/>
  <c r="C215" i="72"/>
  <c r="B215" i="72"/>
  <c r="A215" i="72"/>
  <c r="C214" i="72"/>
  <c r="B214" i="72"/>
  <c r="A214" i="72"/>
  <c r="N213" i="72"/>
  <c r="L213" i="72"/>
  <c r="J213" i="72"/>
  <c r="I213" i="72"/>
  <c r="H213" i="72"/>
  <c r="G213" i="72"/>
  <c r="F213" i="72"/>
  <c r="E213" i="72"/>
  <c r="D213" i="72"/>
  <c r="C213" i="72"/>
  <c r="B213" i="72"/>
  <c r="A213" i="72"/>
  <c r="C212" i="72"/>
  <c r="B212" i="72"/>
  <c r="A212" i="72"/>
  <c r="P211" i="72"/>
  <c r="O211" i="72"/>
  <c r="N211" i="72"/>
  <c r="L211" i="72"/>
  <c r="I211" i="72"/>
  <c r="H211" i="72"/>
  <c r="G211" i="72"/>
  <c r="F211" i="72"/>
  <c r="E211" i="72"/>
  <c r="D211" i="72"/>
  <c r="C211" i="72"/>
  <c r="B211" i="72"/>
  <c r="A211" i="72"/>
  <c r="N210" i="72"/>
  <c r="L210" i="72"/>
  <c r="J210" i="72"/>
  <c r="I210" i="72"/>
  <c r="H210" i="72"/>
  <c r="G210" i="72"/>
  <c r="F210" i="72"/>
  <c r="E210" i="72"/>
  <c r="D210" i="72"/>
  <c r="C210" i="72"/>
  <c r="B210" i="72"/>
  <c r="A210" i="72"/>
  <c r="N209" i="72"/>
  <c r="L209" i="72"/>
  <c r="J209" i="72"/>
  <c r="I209" i="72"/>
  <c r="H209" i="72"/>
  <c r="G209" i="72"/>
  <c r="F209" i="72"/>
  <c r="E209" i="72"/>
  <c r="D209" i="72"/>
  <c r="C209" i="72"/>
  <c r="B209" i="72"/>
  <c r="A209" i="72"/>
  <c r="N208" i="72"/>
  <c r="J208" i="72"/>
  <c r="I208" i="72"/>
  <c r="H208" i="72"/>
  <c r="G208" i="72"/>
  <c r="F208" i="72"/>
  <c r="D208" i="72"/>
  <c r="C208" i="72"/>
  <c r="B208" i="72"/>
  <c r="A208" i="72"/>
  <c r="O207" i="72"/>
  <c r="N207" i="72"/>
  <c r="C207" i="72"/>
  <c r="B207" i="72"/>
  <c r="A207" i="72"/>
  <c r="N206" i="72"/>
  <c r="L206" i="72"/>
  <c r="J206" i="72"/>
  <c r="I206" i="72"/>
  <c r="H206" i="72"/>
  <c r="G206" i="72"/>
  <c r="F206" i="72"/>
  <c r="E206" i="72"/>
  <c r="D206" i="72"/>
  <c r="C206" i="72"/>
  <c r="B206" i="72"/>
  <c r="A206" i="72"/>
  <c r="N205" i="72"/>
  <c r="L205" i="72"/>
  <c r="J205" i="72"/>
  <c r="I205" i="72"/>
  <c r="H205" i="72"/>
  <c r="G205" i="72"/>
  <c r="F205" i="72"/>
  <c r="E205" i="72"/>
  <c r="D205" i="72"/>
  <c r="C205" i="72"/>
  <c r="B205" i="72"/>
  <c r="A205" i="72"/>
  <c r="N204" i="72"/>
  <c r="L204" i="72"/>
  <c r="J204" i="72"/>
  <c r="I204" i="72"/>
  <c r="H204" i="72"/>
  <c r="G204" i="72"/>
  <c r="F204" i="72"/>
  <c r="E204" i="72"/>
  <c r="D204" i="72"/>
  <c r="C204" i="72"/>
  <c r="B204" i="72"/>
  <c r="A204" i="72"/>
  <c r="N203" i="72"/>
  <c r="L203" i="72"/>
  <c r="J203" i="72"/>
  <c r="I203" i="72"/>
  <c r="H203" i="72"/>
  <c r="G203" i="72"/>
  <c r="F203" i="72"/>
  <c r="E203" i="72"/>
  <c r="D203" i="72"/>
  <c r="C203" i="72"/>
  <c r="B203" i="72"/>
  <c r="A203" i="72"/>
  <c r="N202" i="72"/>
  <c r="L202" i="72"/>
  <c r="J202" i="72"/>
  <c r="I202" i="72"/>
  <c r="H202" i="72"/>
  <c r="G202" i="72"/>
  <c r="F202" i="72"/>
  <c r="E202" i="72"/>
  <c r="D202" i="72"/>
  <c r="C202" i="72"/>
  <c r="B202" i="72"/>
  <c r="A202" i="72"/>
  <c r="N201" i="72"/>
  <c r="L201" i="72"/>
  <c r="J201" i="72"/>
  <c r="I201" i="72"/>
  <c r="H201" i="72"/>
  <c r="G201" i="72"/>
  <c r="F201" i="72"/>
  <c r="E201" i="72"/>
  <c r="D201" i="72"/>
  <c r="C201" i="72"/>
  <c r="B201" i="72"/>
  <c r="A201" i="72"/>
  <c r="N200" i="72"/>
  <c r="L200" i="72"/>
  <c r="J200" i="72"/>
  <c r="I200" i="72"/>
  <c r="H200" i="72"/>
  <c r="G200" i="72"/>
  <c r="F200" i="72"/>
  <c r="E200" i="72"/>
  <c r="D200" i="72"/>
  <c r="C200" i="72"/>
  <c r="B200" i="72"/>
  <c r="A200" i="72"/>
  <c r="N199" i="72"/>
  <c r="L199" i="72"/>
  <c r="J199" i="72"/>
  <c r="I199" i="72"/>
  <c r="H199" i="72"/>
  <c r="G199" i="72"/>
  <c r="F199" i="72"/>
  <c r="E199" i="72"/>
  <c r="D199" i="72"/>
  <c r="C199" i="72"/>
  <c r="B199" i="72"/>
  <c r="A199" i="72"/>
  <c r="N198" i="72"/>
  <c r="L198" i="72"/>
  <c r="J198" i="72"/>
  <c r="I198" i="72"/>
  <c r="H198" i="72"/>
  <c r="G198" i="72"/>
  <c r="F198" i="72"/>
  <c r="E198" i="72"/>
  <c r="D198" i="72"/>
  <c r="C198" i="72"/>
  <c r="B198" i="72"/>
  <c r="A198" i="72"/>
  <c r="N197" i="72"/>
  <c r="L197" i="72"/>
  <c r="J197" i="72"/>
  <c r="I197" i="72"/>
  <c r="H197" i="72"/>
  <c r="G197" i="72"/>
  <c r="F197" i="72"/>
  <c r="E197" i="72"/>
  <c r="D197" i="72"/>
  <c r="C197" i="72"/>
  <c r="B197" i="72"/>
  <c r="A197" i="72"/>
  <c r="N196" i="72"/>
  <c r="L196" i="72"/>
  <c r="J196" i="72"/>
  <c r="I196" i="72"/>
  <c r="H196" i="72"/>
  <c r="G196" i="72"/>
  <c r="F196" i="72"/>
  <c r="E196" i="72"/>
  <c r="D196" i="72"/>
  <c r="C196" i="72"/>
  <c r="B196" i="72"/>
  <c r="A196" i="72"/>
  <c r="N195" i="72"/>
  <c r="L195" i="72"/>
  <c r="J195" i="72"/>
  <c r="I195" i="72"/>
  <c r="H195" i="72"/>
  <c r="G195" i="72"/>
  <c r="F195" i="72"/>
  <c r="E195" i="72"/>
  <c r="D195" i="72"/>
  <c r="C195" i="72"/>
  <c r="B195" i="72"/>
  <c r="A195" i="72"/>
  <c r="N194" i="72"/>
  <c r="L194" i="72"/>
  <c r="J194" i="72"/>
  <c r="I194" i="72"/>
  <c r="H194" i="72"/>
  <c r="G194" i="72"/>
  <c r="F194" i="72"/>
  <c r="E194" i="72"/>
  <c r="D194" i="72"/>
  <c r="C194" i="72"/>
  <c r="B194" i="72"/>
  <c r="A194" i="72"/>
  <c r="P193" i="72"/>
  <c r="O193" i="72"/>
  <c r="N193" i="72"/>
  <c r="L193" i="72"/>
  <c r="J193" i="72"/>
  <c r="I193" i="72"/>
  <c r="H193" i="72"/>
  <c r="G193" i="72"/>
  <c r="F193" i="72"/>
  <c r="E193" i="72"/>
  <c r="D193" i="72"/>
  <c r="C193" i="72"/>
  <c r="B193" i="72"/>
  <c r="A193" i="72"/>
  <c r="O192" i="72"/>
  <c r="N192" i="72"/>
  <c r="C192" i="72"/>
  <c r="B192" i="72"/>
  <c r="A192" i="72"/>
  <c r="N191" i="72"/>
  <c r="L191" i="72"/>
  <c r="J191" i="72"/>
  <c r="I191" i="72"/>
  <c r="H191" i="72"/>
  <c r="G191" i="72"/>
  <c r="F191" i="72"/>
  <c r="E191" i="72"/>
  <c r="D191" i="72"/>
  <c r="C191" i="72"/>
  <c r="B191" i="72"/>
  <c r="A191" i="72"/>
  <c r="N190" i="72"/>
  <c r="L190" i="72"/>
  <c r="J190" i="72"/>
  <c r="I190" i="72"/>
  <c r="H190" i="72"/>
  <c r="G190" i="72"/>
  <c r="F190" i="72"/>
  <c r="E190" i="72"/>
  <c r="D190" i="72"/>
  <c r="C190" i="72"/>
  <c r="B190" i="72"/>
  <c r="A190" i="72"/>
  <c r="O189" i="72"/>
  <c r="N189" i="72"/>
  <c r="C189" i="72"/>
  <c r="B189" i="72"/>
  <c r="A189" i="72"/>
  <c r="N188" i="72"/>
  <c r="L188" i="72"/>
  <c r="J188" i="72"/>
  <c r="I188" i="72"/>
  <c r="H188" i="72"/>
  <c r="G188" i="72"/>
  <c r="F188" i="72"/>
  <c r="E188" i="72"/>
  <c r="D188" i="72"/>
  <c r="C188" i="72"/>
  <c r="B188" i="72"/>
  <c r="A188" i="72"/>
  <c r="N187" i="72"/>
  <c r="L187" i="72"/>
  <c r="J187" i="72"/>
  <c r="I187" i="72"/>
  <c r="H187" i="72"/>
  <c r="G187" i="72"/>
  <c r="F187" i="72"/>
  <c r="E187" i="72"/>
  <c r="D187" i="72"/>
  <c r="C187" i="72"/>
  <c r="B187" i="72"/>
  <c r="A187" i="72"/>
  <c r="N186" i="72"/>
  <c r="L186" i="72"/>
  <c r="J186" i="72"/>
  <c r="I186" i="72"/>
  <c r="H186" i="72"/>
  <c r="G186" i="72"/>
  <c r="F186" i="72"/>
  <c r="E186" i="72"/>
  <c r="D186" i="72"/>
  <c r="C186" i="72"/>
  <c r="B186" i="72"/>
  <c r="A186" i="72"/>
  <c r="N185" i="72"/>
  <c r="L185" i="72"/>
  <c r="J185" i="72"/>
  <c r="I185" i="72"/>
  <c r="H185" i="72"/>
  <c r="G185" i="72"/>
  <c r="F185" i="72"/>
  <c r="E185" i="72"/>
  <c r="D185" i="72"/>
  <c r="C185" i="72"/>
  <c r="B185" i="72"/>
  <c r="A185" i="72"/>
  <c r="N184" i="72"/>
  <c r="L184" i="72"/>
  <c r="J184" i="72"/>
  <c r="I184" i="72"/>
  <c r="H184" i="72"/>
  <c r="G184" i="72"/>
  <c r="F184" i="72"/>
  <c r="E184" i="72"/>
  <c r="D184" i="72"/>
  <c r="C184" i="72"/>
  <c r="B184" i="72"/>
  <c r="A184" i="72"/>
  <c r="O183" i="72"/>
  <c r="N183" i="72"/>
  <c r="C183" i="72"/>
  <c r="B183" i="72"/>
  <c r="A183" i="72"/>
  <c r="N182" i="72"/>
  <c r="L182" i="72"/>
  <c r="J182" i="72"/>
  <c r="I182" i="72"/>
  <c r="H182" i="72"/>
  <c r="G182" i="72"/>
  <c r="F182" i="72"/>
  <c r="E182" i="72"/>
  <c r="D182" i="72"/>
  <c r="C182" i="72"/>
  <c r="B182" i="72"/>
  <c r="A182" i="72"/>
  <c r="N181" i="72"/>
  <c r="L181" i="72"/>
  <c r="J181" i="72"/>
  <c r="I181" i="72"/>
  <c r="H181" i="72"/>
  <c r="G181" i="72"/>
  <c r="F181" i="72"/>
  <c r="E181" i="72"/>
  <c r="D181" i="72"/>
  <c r="C181" i="72"/>
  <c r="B181" i="72"/>
  <c r="A181" i="72"/>
  <c r="N180" i="72"/>
  <c r="L180" i="72"/>
  <c r="J180" i="72"/>
  <c r="I180" i="72"/>
  <c r="H180" i="72"/>
  <c r="G180" i="72"/>
  <c r="F180" i="72"/>
  <c r="E180" i="72"/>
  <c r="D180" i="72"/>
  <c r="C180" i="72"/>
  <c r="B180" i="72"/>
  <c r="A180" i="72"/>
  <c r="O179" i="72"/>
  <c r="N179" i="72"/>
  <c r="C179" i="72"/>
  <c r="B179" i="72"/>
  <c r="A179" i="72"/>
  <c r="N178" i="72"/>
  <c r="L178" i="72"/>
  <c r="J178" i="72"/>
  <c r="I178" i="72"/>
  <c r="H178" i="72"/>
  <c r="G178" i="72"/>
  <c r="F178" i="72"/>
  <c r="E178" i="72"/>
  <c r="D178" i="72"/>
  <c r="C178" i="72"/>
  <c r="B178" i="72"/>
  <c r="A178" i="72"/>
  <c r="N177" i="72"/>
  <c r="L177" i="72"/>
  <c r="J177" i="72"/>
  <c r="I177" i="72"/>
  <c r="H177" i="72"/>
  <c r="G177" i="72"/>
  <c r="F177" i="72"/>
  <c r="E177" i="72"/>
  <c r="D177" i="72"/>
  <c r="C177" i="72"/>
  <c r="B177" i="72"/>
  <c r="A177" i="72"/>
  <c r="N176" i="72"/>
  <c r="L176" i="72"/>
  <c r="J176" i="72"/>
  <c r="I176" i="72"/>
  <c r="H176" i="72"/>
  <c r="G176" i="72"/>
  <c r="F176" i="72"/>
  <c r="E176" i="72"/>
  <c r="D176" i="72"/>
  <c r="C176" i="72"/>
  <c r="B176" i="72"/>
  <c r="A176" i="72"/>
  <c r="N175" i="72"/>
  <c r="L175" i="72"/>
  <c r="J175" i="72"/>
  <c r="I175" i="72"/>
  <c r="H175" i="72"/>
  <c r="G175" i="72"/>
  <c r="F175" i="72"/>
  <c r="E175" i="72"/>
  <c r="D175" i="72"/>
  <c r="C175" i="72"/>
  <c r="B175" i="72"/>
  <c r="A175" i="72"/>
  <c r="N174" i="72"/>
  <c r="L174" i="72"/>
  <c r="J174" i="72"/>
  <c r="I174" i="72"/>
  <c r="H174" i="72"/>
  <c r="G174" i="72"/>
  <c r="F174" i="72"/>
  <c r="E174" i="72"/>
  <c r="D174" i="72"/>
  <c r="C174" i="72"/>
  <c r="B174" i="72"/>
  <c r="A174" i="72"/>
  <c r="O173" i="72"/>
  <c r="N173" i="72"/>
  <c r="C173" i="72"/>
  <c r="B173" i="72"/>
  <c r="A173" i="72"/>
  <c r="N172" i="72"/>
  <c r="L172" i="72"/>
  <c r="J172" i="72"/>
  <c r="I172" i="72"/>
  <c r="H172" i="72"/>
  <c r="G172" i="72"/>
  <c r="F172" i="72"/>
  <c r="E172" i="72"/>
  <c r="D172" i="72"/>
  <c r="C172" i="72"/>
  <c r="B172" i="72"/>
  <c r="A172" i="72"/>
  <c r="O171" i="72"/>
  <c r="N171" i="72"/>
  <c r="C171" i="72"/>
  <c r="B171" i="72"/>
  <c r="A171" i="72"/>
  <c r="N170" i="72"/>
  <c r="L170" i="72"/>
  <c r="J170" i="72"/>
  <c r="I170" i="72"/>
  <c r="H170" i="72"/>
  <c r="G170" i="72"/>
  <c r="F170" i="72"/>
  <c r="E170" i="72"/>
  <c r="D170" i="72"/>
  <c r="C170" i="72"/>
  <c r="B170" i="72"/>
  <c r="A170" i="72"/>
  <c r="N169" i="72"/>
  <c r="L169" i="72"/>
  <c r="J169" i="72"/>
  <c r="I169" i="72"/>
  <c r="H169" i="72"/>
  <c r="G169" i="72"/>
  <c r="F169" i="72"/>
  <c r="E169" i="72"/>
  <c r="D169" i="72"/>
  <c r="C169" i="72"/>
  <c r="B169" i="72"/>
  <c r="A169" i="72"/>
  <c r="N168" i="72"/>
  <c r="L168" i="72"/>
  <c r="J168" i="72"/>
  <c r="I168" i="72"/>
  <c r="H168" i="72"/>
  <c r="G168" i="72"/>
  <c r="F168" i="72"/>
  <c r="E168" i="72"/>
  <c r="D168" i="72"/>
  <c r="C168" i="72"/>
  <c r="B168" i="72"/>
  <c r="A168" i="72"/>
  <c r="N167" i="72"/>
  <c r="L167" i="72"/>
  <c r="J167" i="72"/>
  <c r="I167" i="72"/>
  <c r="H167" i="72"/>
  <c r="G167" i="72"/>
  <c r="F167" i="72"/>
  <c r="E167" i="72"/>
  <c r="D167" i="72"/>
  <c r="C167" i="72"/>
  <c r="B167" i="72"/>
  <c r="A167" i="72"/>
  <c r="N166" i="72"/>
  <c r="L166" i="72"/>
  <c r="J166" i="72"/>
  <c r="I166" i="72"/>
  <c r="H166" i="72"/>
  <c r="G166" i="72"/>
  <c r="F166" i="72"/>
  <c r="E166" i="72"/>
  <c r="D166" i="72"/>
  <c r="C166" i="72"/>
  <c r="B166" i="72"/>
  <c r="A166" i="72"/>
  <c r="O165" i="72"/>
  <c r="N165" i="72"/>
  <c r="C165" i="72"/>
  <c r="B165" i="72"/>
  <c r="A165" i="72"/>
  <c r="N164" i="72"/>
  <c r="L164" i="72"/>
  <c r="J164" i="72"/>
  <c r="I164" i="72"/>
  <c r="H164" i="72"/>
  <c r="G164" i="72"/>
  <c r="F164" i="72"/>
  <c r="F163" i="72" s="1"/>
  <c r="E164" i="72"/>
  <c r="D164" i="72"/>
  <c r="C164" i="72"/>
  <c r="B164" i="72"/>
  <c r="A164" i="72"/>
  <c r="O163" i="72"/>
  <c r="N163" i="72"/>
  <c r="C163" i="72"/>
  <c r="B163" i="72"/>
  <c r="A163" i="72"/>
  <c r="N162" i="72"/>
  <c r="L162" i="72"/>
  <c r="J162" i="72"/>
  <c r="I162" i="72"/>
  <c r="H162" i="72"/>
  <c r="G162" i="72"/>
  <c r="F162" i="72"/>
  <c r="E162" i="72"/>
  <c r="D162" i="72"/>
  <c r="C162" i="72"/>
  <c r="B162" i="72"/>
  <c r="A162" i="72"/>
  <c r="O161" i="72"/>
  <c r="N161" i="72"/>
  <c r="C161" i="72"/>
  <c r="B161" i="72"/>
  <c r="A161" i="72"/>
  <c r="N160" i="72"/>
  <c r="L160" i="72"/>
  <c r="J160" i="72"/>
  <c r="I160" i="72"/>
  <c r="H160" i="72"/>
  <c r="G160" i="72"/>
  <c r="F160" i="72"/>
  <c r="E160" i="72"/>
  <c r="D160" i="72"/>
  <c r="C160" i="72"/>
  <c r="B160" i="72"/>
  <c r="A160" i="72"/>
  <c r="O159" i="72"/>
  <c r="N159" i="72"/>
  <c r="C159" i="72"/>
  <c r="B159" i="72"/>
  <c r="A159" i="72"/>
  <c r="N158" i="72"/>
  <c r="L158" i="72"/>
  <c r="J158" i="72"/>
  <c r="I158" i="72"/>
  <c r="H158" i="72"/>
  <c r="G158" i="72"/>
  <c r="F158" i="72"/>
  <c r="E158" i="72"/>
  <c r="D158" i="72"/>
  <c r="C158" i="72"/>
  <c r="B158" i="72"/>
  <c r="A158" i="72"/>
  <c r="N157" i="72"/>
  <c r="L157" i="72"/>
  <c r="J157" i="72"/>
  <c r="I157" i="72"/>
  <c r="H157" i="72"/>
  <c r="G157" i="72"/>
  <c r="F157" i="72"/>
  <c r="E157" i="72"/>
  <c r="D157" i="72"/>
  <c r="C157" i="72"/>
  <c r="B157" i="72"/>
  <c r="A157" i="72"/>
  <c r="O156" i="72"/>
  <c r="N156" i="72"/>
  <c r="C156" i="72"/>
  <c r="B156" i="72"/>
  <c r="A156" i="72"/>
  <c r="N155" i="72"/>
  <c r="L155" i="72"/>
  <c r="J155" i="72"/>
  <c r="I155" i="72"/>
  <c r="H155" i="72"/>
  <c r="G155" i="72"/>
  <c r="F155" i="72"/>
  <c r="E155" i="72"/>
  <c r="D155" i="72"/>
  <c r="C155" i="72"/>
  <c r="B155" i="72"/>
  <c r="A155" i="72"/>
  <c r="N154" i="72"/>
  <c r="L154" i="72"/>
  <c r="J154" i="72"/>
  <c r="I154" i="72"/>
  <c r="H154" i="72"/>
  <c r="H153" i="72" s="1"/>
  <c r="G154" i="72"/>
  <c r="F154" i="72"/>
  <c r="E154" i="72"/>
  <c r="D154" i="72"/>
  <c r="C154" i="72"/>
  <c r="B154" i="72"/>
  <c r="A154" i="72"/>
  <c r="O153" i="72"/>
  <c r="N153" i="72"/>
  <c r="C153" i="72"/>
  <c r="B153" i="72"/>
  <c r="A153" i="72"/>
  <c r="N152" i="72"/>
  <c r="L152" i="72"/>
  <c r="J152" i="72"/>
  <c r="I152" i="72"/>
  <c r="H152" i="72"/>
  <c r="G152" i="72"/>
  <c r="F152" i="72"/>
  <c r="E152" i="72"/>
  <c r="D152" i="72"/>
  <c r="C152" i="72"/>
  <c r="B152" i="72"/>
  <c r="A152" i="72"/>
  <c r="N151" i="72"/>
  <c r="L151" i="72"/>
  <c r="J151" i="72"/>
  <c r="I151" i="72"/>
  <c r="H151" i="72"/>
  <c r="G151" i="72"/>
  <c r="F151" i="72"/>
  <c r="E151" i="72"/>
  <c r="D151" i="72"/>
  <c r="C151" i="72"/>
  <c r="B151" i="72"/>
  <c r="A151" i="72"/>
  <c r="O150" i="72"/>
  <c r="N150" i="72"/>
  <c r="C150" i="72"/>
  <c r="B150" i="72"/>
  <c r="A150" i="72"/>
  <c r="N149" i="72"/>
  <c r="L149" i="72"/>
  <c r="J149" i="72"/>
  <c r="I149" i="72"/>
  <c r="H149" i="72"/>
  <c r="G149" i="72"/>
  <c r="F149" i="72"/>
  <c r="E149" i="72"/>
  <c r="D149" i="72"/>
  <c r="C149" i="72"/>
  <c r="B149" i="72"/>
  <c r="A149" i="72"/>
  <c r="N148" i="72"/>
  <c r="L148" i="72"/>
  <c r="J148" i="72"/>
  <c r="I148" i="72"/>
  <c r="H148" i="72"/>
  <c r="G148" i="72"/>
  <c r="F148" i="72"/>
  <c r="E148" i="72"/>
  <c r="D148" i="72"/>
  <c r="C148" i="72"/>
  <c r="B148" i="72"/>
  <c r="A148" i="72"/>
  <c r="O147" i="72"/>
  <c r="N147" i="72"/>
  <c r="C147" i="72"/>
  <c r="B147" i="72"/>
  <c r="A147" i="72"/>
  <c r="N146" i="72"/>
  <c r="L146" i="72"/>
  <c r="J146" i="72"/>
  <c r="I146" i="72"/>
  <c r="H146" i="72"/>
  <c r="G146" i="72"/>
  <c r="F146" i="72"/>
  <c r="E146" i="72"/>
  <c r="D146" i="72"/>
  <c r="C146" i="72"/>
  <c r="B146" i="72"/>
  <c r="A146" i="72"/>
  <c r="N145" i="72"/>
  <c r="L145" i="72"/>
  <c r="J145" i="72"/>
  <c r="I145" i="72"/>
  <c r="H145" i="72"/>
  <c r="G145" i="72"/>
  <c r="F145" i="72"/>
  <c r="E145" i="72"/>
  <c r="D145" i="72"/>
  <c r="C145" i="72"/>
  <c r="B145" i="72"/>
  <c r="A145" i="72"/>
  <c r="O144" i="72"/>
  <c r="N144" i="72"/>
  <c r="C144" i="72"/>
  <c r="B144" i="72"/>
  <c r="A144" i="72"/>
  <c r="P143" i="72"/>
  <c r="O143" i="72"/>
  <c r="N143" i="72"/>
  <c r="L143" i="72"/>
  <c r="J143" i="72"/>
  <c r="I143" i="72"/>
  <c r="H143" i="72"/>
  <c r="G143" i="72"/>
  <c r="F143" i="72"/>
  <c r="E143" i="72"/>
  <c r="D143" i="72"/>
  <c r="C143" i="72"/>
  <c r="B143" i="72"/>
  <c r="A143" i="72"/>
  <c r="N142" i="72"/>
  <c r="L142" i="72"/>
  <c r="J142" i="72"/>
  <c r="I142" i="72"/>
  <c r="H142" i="72"/>
  <c r="G142" i="72"/>
  <c r="F142" i="72"/>
  <c r="F141" i="72" s="1"/>
  <c r="E142" i="72"/>
  <c r="D142" i="72"/>
  <c r="C142" i="72"/>
  <c r="B142" i="72"/>
  <c r="A142" i="72"/>
  <c r="O141" i="72"/>
  <c r="N141" i="72"/>
  <c r="C141" i="72"/>
  <c r="B141" i="72"/>
  <c r="A141" i="72"/>
  <c r="N140" i="72"/>
  <c r="L140" i="72"/>
  <c r="J140" i="72"/>
  <c r="I140" i="72"/>
  <c r="H140" i="72"/>
  <c r="G140" i="72"/>
  <c r="F140" i="72"/>
  <c r="E140" i="72"/>
  <c r="D140" i="72"/>
  <c r="C140" i="72"/>
  <c r="B140" i="72"/>
  <c r="A140" i="72"/>
  <c r="N139" i="72"/>
  <c r="J139" i="72"/>
  <c r="I139" i="72"/>
  <c r="H139" i="72"/>
  <c r="G139" i="72"/>
  <c r="F139" i="72"/>
  <c r="E139" i="72"/>
  <c r="D139" i="72"/>
  <c r="C139" i="72"/>
  <c r="B139" i="72"/>
  <c r="A139" i="72"/>
  <c r="O138" i="72"/>
  <c r="N138" i="72"/>
  <c r="C138" i="72"/>
  <c r="B138" i="72"/>
  <c r="A138" i="72"/>
  <c r="N137" i="72"/>
  <c r="L137" i="72"/>
  <c r="J137" i="72"/>
  <c r="I137" i="72"/>
  <c r="H137" i="72"/>
  <c r="G137" i="72"/>
  <c r="F137" i="72"/>
  <c r="E137" i="72"/>
  <c r="D137" i="72"/>
  <c r="C137" i="72"/>
  <c r="B137" i="72"/>
  <c r="A137" i="72"/>
  <c r="N136" i="72"/>
  <c r="L136" i="72"/>
  <c r="J136" i="72"/>
  <c r="I136" i="72"/>
  <c r="H136" i="72"/>
  <c r="G136" i="72"/>
  <c r="F136" i="72"/>
  <c r="E136" i="72"/>
  <c r="D136" i="72"/>
  <c r="C136" i="72"/>
  <c r="B136" i="72"/>
  <c r="A136" i="72"/>
  <c r="O135" i="72"/>
  <c r="N135" i="72"/>
  <c r="C135" i="72"/>
  <c r="B135" i="72"/>
  <c r="A135" i="72"/>
  <c r="P134" i="72"/>
  <c r="O134" i="72"/>
  <c r="N134" i="72"/>
  <c r="L134" i="72"/>
  <c r="J134" i="72"/>
  <c r="I134" i="72"/>
  <c r="H134" i="72"/>
  <c r="G134" i="72"/>
  <c r="F134" i="72"/>
  <c r="E134" i="72"/>
  <c r="D134" i="72"/>
  <c r="C134" i="72"/>
  <c r="B134" i="72"/>
  <c r="A134" i="72"/>
  <c r="P133" i="72"/>
  <c r="O133" i="72"/>
  <c r="N133" i="72"/>
  <c r="L133" i="72"/>
  <c r="J133" i="72"/>
  <c r="I133" i="72"/>
  <c r="H133" i="72"/>
  <c r="G133" i="72"/>
  <c r="F133" i="72"/>
  <c r="E133" i="72"/>
  <c r="D133" i="72"/>
  <c r="C133" i="72"/>
  <c r="B133" i="72"/>
  <c r="A133" i="72"/>
  <c r="N132" i="72"/>
  <c r="L132" i="72"/>
  <c r="J132" i="72"/>
  <c r="I132" i="72"/>
  <c r="H132" i="72"/>
  <c r="G132" i="72"/>
  <c r="F132" i="72"/>
  <c r="E132" i="72"/>
  <c r="D132" i="72"/>
  <c r="C132" i="72"/>
  <c r="B132" i="72"/>
  <c r="A132" i="72"/>
  <c r="P131" i="72"/>
  <c r="O131" i="72"/>
  <c r="N131" i="72"/>
  <c r="L131" i="72"/>
  <c r="J131" i="72"/>
  <c r="I131" i="72"/>
  <c r="H131" i="72"/>
  <c r="G131" i="72"/>
  <c r="F131" i="72"/>
  <c r="E131" i="72"/>
  <c r="D131" i="72"/>
  <c r="C131" i="72"/>
  <c r="B131" i="72"/>
  <c r="A131" i="72"/>
  <c r="P130" i="72"/>
  <c r="O130" i="72"/>
  <c r="N130" i="72"/>
  <c r="L130" i="72"/>
  <c r="J130" i="72"/>
  <c r="I130" i="72"/>
  <c r="H130" i="72"/>
  <c r="G130" i="72"/>
  <c r="F130" i="72"/>
  <c r="E130" i="72"/>
  <c r="D130" i="72"/>
  <c r="C130" i="72"/>
  <c r="B130" i="72"/>
  <c r="A130" i="72"/>
  <c r="O129" i="72"/>
  <c r="N129" i="72"/>
  <c r="C129" i="72"/>
  <c r="B129" i="72"/>
  <c r="A129" i="72"/>
  <c r="N128" i="72"/>
  <c r="L128" i="72"/>
  <c r="J128" i="72"/>
  <c r="I128" i="72"/>
  <c r="H128" i="72"/>
  <c r="G128" i="72"/>
  <c r="F128" i="72"/>
  <c r="E128" i="72"/>
  <c r="D128" i="72"/>
  <c r="C128" i="72"/>
  <c r="B128" i="72"/>
  <c r="A128" i="72"/>
  <c r="N127" i="72"/>
  <c r="L127" i="72"/>
  <c r="J127" i="72"/>
  <c r="I127" i="72"/>
  <c r="H127" i="72"/>
  <c r="G127" i="72"/>
  <c r="F127" i="72"/>
  <c r="E127" i="72"/>
  <c r="D127" i="72"/>
  <c r="C127" i="72"/>
  <c r="B127" i="72"/>
  <c r="A127" i="72"/>
  <c r="O126" i="72"/>
  <c r="N126" i="72"/>
  <c r="C126" i="72"/>
  <c r="B126" i="72"/>
  <c r="A126" i="72"/>
  <c r="N125" i="72"/>
  <c r="L125" i="72"/>
  <c r="J125" i="72"/>
  <c r="I125" i="72"/>
  <c r="H125" i="72"/>
  <c r="G125" i="72"/>
  <c r="F125" i="72"/>
  <c r="E125" i="72"/>
  <c r="D125" i="72"/>
  <c r="C125" i="72"/>
  <c r="B125" i="72"/>
  <c r="A125" i="72"/>
  <c r="N124" i="72"/>
  <c r="L124" i="72"/>
  <c r="J124" i="72"/>
  <c r="I124" i="72"/>
  <c r="H124" i="72"/>
  <c r="G124" i="72"/>
  <c r="F124" i="72"/>
  <c r="E124" i="72"/>
  <c r="D124" i="72"/>
  <c r="C124" i="72"/>
  <c r="B124" i="72"/>
  <c r="A124" i="72"/>
  <c r="N123" i="72"/>
  <c r="L123" i="72"/>
  <c r="J123" i="72"/>
  <c r="I123" i="72"/>
  <c r="H123" i="72"/>
  <c r="G123" i="72"/>
  <c r="F123" i="72"/>
  <c r="E123" i="72"/>
  <c r="D123" i="72"/>
  <c r="C123" i="72"/>
  <c r="B123" i="72"/>
  <c r="A123" i="72"/>
  <c r="O122" i="72"/>
  <c r="N122" i="72"/>
  <c r="C122" i="72"/>
  <c r="B122" i="72"/>
  <c r="A122" i="72"/>
  <c r="N121" i="72"/>
  <c r="L121" i="72"/>
  <c r="J121" i="72"/>
  <c r="I121" i="72"/>
  <c r="H121" i="72"/>
  <c r="G121" i="72"/>
  <c r="F121" i="72"/>
  <c r="E121" i="72"/>
  <c r="D121" i="72"/>
  <c r="C121" i="72"/>
  <c r="B121" i="72"/>
  <c r="A121" i="72"/>
  <c r="N120" i="72"/>
  <c r="L120" i="72"/>
  <c r="J120" i="72"/>
  <c r="I120" i="72"/>
  <c r="H120" i="72"/>
  <c r="G120" i="72"/>
  <c r="F120" i="72"/>
  <c r="E120" i="72"/>
  <c r="D120" i="72"/>
  <c r="C120" i="72"/>
  <c r="B120" i="72"/>
  <c r="A120" i="72"/>
  <c r="O119" i="72"/>
  <c r="N119" i="72"/>
  <c r="C119" i="72"/>
  <c r="B119" i="72"/>
  <c r="A119" i="72"/>
  <c r="N118" i="72"/>
  <c r="L118" i="72"/>
  <c r="I118" i="72"/>
  <c r="H118" i="72"/>
  <c r="G118" i="72"/>
  <c r="F118" i="72"/>
  <c r="E118" i="72"/>
  <c r="D118" i="72"/>
  <c r="C118" i="72"/>
  <c r="B118" i="72"/>
  <c r="A118" i="72"/>
  <c r="N117" i="72"/>
  <c r="L117" i="72"/>
  <c r="J117" i="72"/>
  <c r="I117" i="72"/>
  <c r="H117" i="72"/>
  <c r="G117" i="72"/>
  <c r="F117" i="72"/>
  <c r="E117" i="72"/>
  <c r="D117" i="72"/>
  <c r="C117" i="72"/>
  <c r="B117" i="72"/>
  <c r="A117" i="72"/>
  <c r="N116" i="72"/>
  <c r="L116" i="72"/>
  <c r="J116" i="72"/>
  <c r="I116" i="72"/>
  <c r="H116" i="72"/>
  <c r="G116" i="72"/>
  <c r="F116" i="72"/>
  <c r="E116" i="72"/>
  <c r="D116" i="72"/>
  <c r="C116" i="72"/>
  <c r="B116" i="72"/>
  <c r="A116" i="72"/>
  <c r="N115" i="72"/>
  <c r="L115" i="72"/>
  <c r="J115" i="72"/>
  <c r="I115" i="72"/>
  <c r="H115" i="72"/>
  <c r="G115" i="72"/>
  <c r="F115" i="72"/>
  <c r="E115" i="72"/>
  <c r="D115" i="72"/>
  <c r="C115" i="72"/>
  <c r="B115" i="72"/>
  <c r="A115" i="72"/>
  <c r="N114" i="72"/>
  <c r="L114" i="72"/>
  <c r="J114" i="72"/>
  <c r="I114" i="72"/>
  <c r="H114" i="72"/>
  <c r="G114" i="72"/>
  <c r="F114" i="72"/>
  <c r="E114" i="72"/>
  <c r="D114" i="72"/>
  <c r="C114" i="72"/>
  <c r="B114" i="72"/>
  <c r="A114" i="72"/>
  <c r="N113" i="72"/>
  <c r="L113" i="72"/>
  <c r="J113" i="72"/>
  <c r="I113" i="72"/>
  <c r="H113" i="72"/>
  <c r="G113" i="72"/>
  <c r="F113" i="72"/>
  <c r="E113" i="72"/>
  <c r="D113" i="72"/>
  <c r="C113" i="72"/>
  <c r="B113" i="72"/>
  <c r="A113" i="72"/>
  <c r="O112" i="72"/>
  <c r="N112" i="72"/>
  <c r="C112" i="72"/>
  <c r="B112" i="72"/>
  <c r="A112" i="72"/>
  <c r="N111" i="72"/>
  <c r="L111" i="72"/>
  <c r="J111" i="72"/>
  <c r="I111" i="72"/>
  <c r="H111" i="72"/>
  <c r="G111" i="72"/>
  <c r="F111" i="72"/>
  <c r="E111" i="72"/>
  <c r="D111" i="72"/>
  <c r="C111" i="72"/>
  <c r="B111" i="72"/>
  <c r="A111" i="72"/>
  <c r="N110" i="72"/>
  <c r="L110" i="72"/>
  <c r="J110" i="72"/>
  <c r="I110" i="72"/>
  <c r="H110" i="72"/>
  <c r="G110" i="72"/>
  <c r="F110" i="72"/>
  <c r="E110" i="72"/>
  <c r="D110" i="72"/>
  <c r="C110" i="72"/>
  <c r="B110" i="72"/>
  <c r="A110" i="72"/>
  <c r="O109" i="72"/>
  <c r="N109" i="72"/>
  <c r="C109" i="72"/>
  <c r="B109" i="72"/>
  <c r="A109" i="72"/>
  <c r="N108" i="72"/>
  <c r="L108" i="72"/>
  <c r="J108" i="72"/>
  <c r="I108" i="72"/>
  <c r="H108" i="72"/>
  <c r="G108" i="72"/>
  <c r="F108" i="72"/>
  <c r="E108" i="72"/>
  <c r="D108" i="72"/>
  <c r="C108" i="72"/>
  <c r="B108" i="72"/>
  <c r="A108" i="72"/>
  <c r="N107" i="72"/>
  <c r="L107" i="72"/>
  <c r="J107" i="72"/>
  <c r="I107" i="72"/>
  <c r="H107" i="72"/>
  <c r="G107" i="72"/>
  <c r="F107" i="72"/>
  <c r="E107" i="72"/>
  <c r="D107" i="72"/>
  <c r="C107" i="72"/>
  <c r="B107" i="72"/>
  <c r="A107" i="72"/>
  <c r="N106" i="72"/>
  <c r="L106" i="72"/>
  <c r="J106" i="72"/>
  <c r="I106" i="72"/>
  <c r="H106" i="72"/>
  <c r="G106" i="72"/>
  <c r="F106" i="72"/>
  <c r="E106" i="72"/>
  <c r="D106" i="72"/>
  <c r="C106" i="72"/>
  <c r="B106" i="72"/>
  <c r="A106" i="72"/>
  <c r="N105" i="72"/>
  <c r="L105" i="72"/>
  <c r="J105" i="72"/>
  <c r="I105" i="72"/>
  <c r="H105" i="72"/>
  <c r="G105" i="72"/>
  <c r="F105" i="72"/>
  <c r="E105" i="72"/>
  <c r="D105" i="72"/>
  <c r="C105" i="72"/>
  <c r="B105" i="72"/>
  <c r="A105" i="72"/>
  <c r="O104" i="72"/>
  <c r="N104" i="72"/>
  <c r="C104" i="72"/>
  <c r="B104" i="72"/>
  <c r="A104" i="72"/>
  <c r="H103" i="72"/>
  <c r="G103" i="72"/>
  <c r="F103" i="72"/>
  <c r="C103" i="72"/>
  <c r="B103" i="72"/>
  <c r="A103" i="72"/>
  <c r="P102" i="72"/>
  <c r="O102" i="72"/>
  <c r="N102" i="72"/>
  <c r="L102" i="72"/>
  <c r="J102" i="72"/>
  <c r="I102" i="72"/>
  <c r="H102" i="72"/>
  <c r="G102" i="72"/>
  <c r="F102" i="72"/>
  <c r="E102" i="72"/>
  <c r="D102" i="72"/>
  <c r="C102" i="72"/>
  <c r="B102" i="72"/>
  <c r="A102" i="72"/>
  <c r="N101" i="72"/>
  <c r="L101" i="72"/>
  <c r="J101" i="72"/>
  <c r="I101" i="72"/>
  <c r="H101" i="72"/>
  <c r="G101" i="72"/>
  <c r="F101" i="72"/>
  <c r="E101" i="72"/>
  <c r="D101" i="72"/>
  <c r="C101" i="72"/>
  <c r="B101" i="72"/>
  <c r="A101" i="72"/>
  <c r="N100" i="72"/>
  <c r="L100" i="72"/>
  <c r="I100" i="72"/>
  <c r="H100" i="72"/>
  <c r="G100" i="72"/>
  <c r="F100" i="72"/>
  <c r="E100" i="72"/>
  <c r="D100" i="72"/>
  <c r="C100" i="72"/>
  <c r="B100" i="72"/>
  <c r="A100" i="72"/>
  <c r="N99" i="72"/>
  <c r="L99" i="72"/>
  <c r="J99" i="72"/>
  <c r="I99" i="72"/>
  <c r="H99" i="72"/>
  <c r="G99" i="72"/>
  <c r="F99" i="72"/>
  <c r="E99" i="72"/>
  <c r="D99" i="72"/>
  <c r="C99" i="72"/>
  <c r="B99" i="72"/>
  <c r="A99" i="72"/>
  <c r="N98" i="72"/>
  <c r="L98" i="72"/>
  <c r="J98" i="72"/>
  <c r="I98" i="72"/>
  <c r="H98" i="72"/>
  <c r="G98" i="72"/>
  <c r="F98" i="72"/>
  <c r="E98" i="72"/>
  <c r="D98" i="72"/>
  <c r="C98" i="72"/>
  <c r="B98" i="72"/>
  <c r="A98" i="72"/>
  <c r="N97" i="72"/>
  <c r="L97" i="72"/>
  <c r="J97" i="72"/>
  <c r="I97" i="72"/>
  <c r="H97" i="72"/>
  <c r="G97" i="72"/>
  <c r="F97" i="72"/>
  <c r="E97" i="72"/>
  <c r="D97" i="72"/>
  <c r="C97" i="72"/>
  <c r="B97" i="72"/>
  <c r="A97" i="72"/>
  <c r="N96" i="72"/>
  <c r="L96" i="72"/>
  <c r="J96" i="72"/>
  <c r="I96" i="72"/>
  <c r="H96" i="72"/>
  <c r="G96" i="72"/>
  <c r="F96" i="72"/>
  <c r="E96" i="72"/>
  <c r="D96" i="72"/>
  <c r="C96" i="72"/>
  <c r="B96" i="72"/>
  <c r="A96" i="72"/>
  <c r="N95" i="72"/>
  <c r="L95" i="72"/>
  <c r="J95" i="72"/>
  <c r="I95" i="72"/>
  <c r="H95" i="72"/>
  <c r="G95" i="72"/>
  <c r="F95" i="72"/>
  <c r="E95" i="72"/>
  <c r="D95" i="72"/>
  <c r="C95" i="72"/>
  <c r="B95" i="72"/>
  <c r="A95" i="72"/>
  <c r="N94" i="72"/>
  <c r="L94" i="72"/>
  <c r="J94" i="72"/>
  <c r="I94" i="72"/>
  <c r="H94" i="72"/>
  <c r="G94" i="72"/>
  <c r="F94" i="72"/>
  <c r="E94" i="72"/>
  <c r="D94" i="72"/>
  <c r="C94" i="72"/>
  <c r="B94" i="72"/>
  <c r="A94" i="72"/>
  <c r="N93" i="72"/>
  <c r="L93" i="72"/>
  <c r="J93" i="72"/>
  <c r="I93" i="72"/>
  <c r="H93" i="72"/>
  <c r="G93" i="72"/>
  <c r="F93" i="72"/>
  <c r="E93" i="72"/>
  <c r="D93" i="72"/>
  <c r="C93" i="72"/>
  <c r="B93" i="72"/>
  <c r="A93" i="72"/>
  <c r="N92" i="72"/>
  <c r="L92" i="72"/>
  <c r="J92" i="72"/>
  <c r="I92" i="72"/>
  <c r="H92" i="72"/>
  <c r="G92" i="72"/>
  <c r="F92" i="72"/>
  <c r="E92" i="72"/>
  <c r="D92" i="72"/>
  <c r="C92" i="72"/>
  <c r="B92" i="72"/>
  <c r="A92" i="72"/>
  <c r="P91" i="72"/>
  <c r="O91" i="72"/>
  <c r="N91" i="72"/>
  <c r="L91" i="72"/>
  <c r="I91" i="72"/>
  <c r="H91" i="72"/>
  <c r="G91" i="72"/>
  <c r="F91" i="72"/>
  <c r="E91" i="72"/>
  <c r="D91" i="72"/>
  <c r="C91" i="72"/>
  <c r="B91" i="72"/>
  <c r="A91" i="72"/>
  <c r="P90" i="72"/>
  <c r="O90" i="72"/>
  <c r="N90" i="72"/>
  <c r="L90" i="72"/>
  <c r="J90" i="72"/>
  <c r="I90" i="72"/>
  <c r="H90" i="72"/>
  <c r="G90" i="72"/>
  <c r="F90" i="72"/>
  <c r="E90" i="72"/>
  <c r="D90" i="72"/>
  <c r="C90" i="72"/>
  <c r="B90" i="72"/>
  <c r="A90" i="72"/>
  <c r="P89" i="72"/>
  <c r="O89" i="72"/>
  <c r="N89" i="72"/>
  <c r="L89" i="72"/>
  <c r="J89" i="72"/>
  <c r="I89" i="72"/>
  <c r="H89" i="72"/>
  <c r="G89" i="72"/>
  <c r="F89" i="72"/>
  <c r="E89" i="72"/>
  <c r="D89" i="72"/>
  <c r="C89" i="72"/>
  <c r="B89" i="72"/>
  <c r="A89" i="72"/>
  <c r="N88" i="72"/>
  <c r="L88" i="72"/>
  <c r="J88" i="72"/>
  <c r="I88" i="72"/>
  <c r="H88" i="72"/>
  <c r="G88" i="72"/>
  <c r="F88" i="72"/>
  <c r="E88" i="72"/>
  <c r="D88" i="72"/>
  <c r="C88" i="72"/>
  <c r="B88" i="72"/>
  <c r="A88" i="72"/>
  <c r="P87" i="72"/>
  <c r="O87" i="72"/>
  <c r="N87" i="72"/>
  <c r="L87" i="72"/>
  <c r="I87" i="72"/>
  <c r="H87" i="72"/>
  <c r="G87" i="72"/>
  <c r="F87" i="72"/>
  <c r="E87" i="72"/>
  <c r="D87" i="72"/>
  <c r="C87" i="72"/>
  <c r="B87" i="72"/>
  <c r="A87" i="72"/>
  <c r="C86" i="72"/>
  <c r="B86" i="72"/>
  <c r="A86" i="72"/>
  <c r="P85" i="72"/>
  <c r="O85" i="72"/>
  <c r="N85" i="72"/>
  <c r="L85" i="72"/>
  <c r="J85" i="72"/>
  <c r="I85" i="72"/>
  <c r="H85" i="72"/>
  <c r="G85" i="72"/>
  <c r="F85" i="72"/>
  <c r="E85" i="72"/>
  <c r="D85" i="72"/>
  <c r="C85" i="72"/>
  <c r="B85" i="72"/>
  <c r="A85" i="72"/>
  <c r="P84" i="72"/>
  <c r="O84" i="72"/>
  <c r="N84" i="72"/>
  <c r="L84" i="72"/>
  <c r="J84" i="72"/>
  <c r="I84" i="72"/>
  <c r="H84" i="72"/>
  <c r="G84" i="72"/>
  <c r="F84" i="72"/>
  <c r="E84" i="72"/>
  <c r="D84" i="72"/>
  <c r="C84" i="72"/>
  <c r="B84" i="72"/>
  <c r="A84" i="72"/>
  <c r="P83" i="72"/>
  <c r="O83" i="72"/>
  <c r="N83" i="72"/>
  <c r="L83" i="72"/>
  <c r="I83" i="72"/>
  <c r="H83" i="72"/>
  <c r="G83" i="72"/>
  <c r="F83" i="72"/>
  <c r="E83" i="72"/>
  <c r="D83" i="72"/>
  <c r="C83" i="72"/>
  <c r="B83" i="72"/>
  <c r="A83" i="72"/>
  <c r="N82" i="72"/>
  <c r="L82" i="72"/>
  <c r="J82" i="72"/>
  <c r="I82" i="72"/>
  <c r="H82" i="72"/>
  <c r="G82" i="72"/>
  <c r="F82" i="72"/>
  <c r="E82" i="72"/>
  <c r="D82" i="72"/>
  <c r="C82" i="72"/>
  <c r="B82" i="72"/>
  <c r="A82" i="72"/>
  <c r="N81" i="72"/>
  <c r="L81" i="72"/>
  <c r="J81" i="72"/>
  <c r="I81" i="72"/>
  <c r="H81" i="72"/>
  <c r="G81" i="72"/>
  <c r="F81" i="72"/>
  <c r="E81" i="72"/>
  <c r="D81" i="72"/>
  <c r="C81" i="72"/>
  <c r="B81" i="72"/>
  <c r="A81" i="72"/>
  <c r="P80" i="72"/>
  <c r="O80" i="72"/>
  <c r="N80" i="72"/>
  <c r="L80" i="72"/>
  <c r="J80" i="72"/>
  <c r="I80" i="72"/>
  <c r="H80" i="72"/>
  <c r="G80" i="72"/>
  <c r="F80" i="72"/>
  <c r="E80" i="72"/>
  <c r="D80" i="72"/>
  <c r="C80" i="72"/>
  <c r="B80" i="72"/>
  <c r="A80" i="72"/>
  <c r="P79" i="72"/>
  <c r="O79" i="72"/>
  <c r="N79" i="72"/>
  <c r="L79" i="72"/>
  <c r="J79" i="72"/>
  <c r="I79" i="72"/>
  <c r="H79" i="72"/>
  <c r="G79" i="72"/>
  <c r="F79" i="72"/>
  <c r="E79" i="72"/>
  <c r="D79" i="72"/>
  <c r="C79" i="72"/>
  <c r="B79" i="72"/>
  <c r="A79" i="72"/>
  <c r="P78" i="72"/>
  <c r="O78" i="72"/>
  <c r="N78" i="72"/>
  <c r="L78" i="72"/>
  <c r="J78" i="72"/>
  <c r="I78" i="72"/>
  <c r="H78" i="72"/>
  <c r="G78" i="72"/>
  <c r="F78" i="72"/>
  <c r="E78" i="72"/>
  <c r="D78" i="72"/>
  <c r="C78" i="72"/>
  <c r="B78" i="72"/>
  <c r="A78" i="72"/>
  <c r="P77" i="72"/>
  <c r="O77" i="72"/>
  <c r="N77" i="72"/>
  <c r="L77" i="72"/>
  <c r="I77" i="72"/>
  <c r="H77" i="72"/>
  <c r="G77" i="72"/>
  <c r="F77" i="72"/>
  <c r="E77" i="72"/>
  <c r="D77" i="72"/>
  <c r="C77" i="72"/>
  <c r="B77" i="72"/>
  <c r="A77" i="72"/>
  <c r="P76" i="72"/>
  <c r="O76" i="72"/>
  <c r="N76" i="72"/>
  <c r="L76" i="72"/>
  <c r="J76" i="72"/>
  <c r="I76" i="72"/>
  <c r="H76" i="72"/>
  <c r="G76" i="72"/>
  <c r="F76" i="72"/>
  <c r="E76" i="72"/>
  <c r="D76" i="72"/>
  <c r="C76" i="72"/>
  <c r="B76" i="72"/>
  <c r="A76" i="72"/>
  <c r="C75" i="72"/>
  <c r="B75" i="72"/>
  <c r="A75" i="72"/>
  <c r="P74" i="72"/>
  <c r="O74" i="72"/>
  <c r="N74" i="72"/>
  <c r="L74" i="72"/>
  <c r="J74" i="72"/>
  <c r="I74" i="72"/>
  <c r="H74" i="72"/>
  <c r="G74" i="72"/>
  <c r="F74" i="72"/>
  <c r="E74" i="72"/>
  <c r="D74" i="72"/>
  <c r="C74" i="72"/>
  <c r="B74" i="72"/>
  <c r="A74" i="72"/>
  <c r="P73" i="72"/>
  <c r="O73" i="72"/>
  <c r="N73" i="72"/>
  <c r="L73" i="72"/>
  <c r="J73" i="72"/>
  <c r="I73" i="72"/>
  <c r="H73" i="72"/>
  <c r="G73" i="72"/>
  <c r="F73" i="72"/>
  <c r="E73" i="72"/>
  <c r="D73" i="72"/>
  <c r="C73" i="72"/>
  <c r="B73" i="72"/>
  <c r="A73" i="72"/>
  <c r="P72" i="72"/>
  <c r="O72" i="72"/>
  <c r="N72" i="72"/>
  <c r="L72" i="72"/>
  <c r="I72" i="72"/>
  <c r="H72" i="72"/>
  <c r="G72" i="72"/>
  <c r="F72" i="72"/>
  <c r="E72" i="72"/>
  <c r="D72" i="72"/>
  <c r="C72" i="72"/>
  <c r="B72" i="72"/>
  <c r="A72" i="72"/>
  <c r="P71" i="72"/>
  <c r="O71" i="72"/>
  <c r="N71" i="72"/>
  <c r="L71" i="72"/>
  <c r="J71" i="72"/>
  <c r="I71" i="72"/>
  <c r="H71" i="72"/>
  <c r="G71" i="72"/>
  <c r="F71" i="72"/>
  <c r="E71" i="72"/>
  <c r="D71" i="72"/>
  <c r="C71" i="72"/>
  <c r="B71" i="72"/>
  <c r="A71" i="72"/>
  <c r="N70" i="72"/>
  <c r="L70" i="72"/>
  <c r="J70" i="72"/>
  <c r="I70" i="72"/>
  <c r="H70" i="72"/>
  <c r="G70" i="72"/>
  <c r="F70" i="72"/>
  <c r="E70" i="72"/>
  <c r="D70" i="72"/>
  <c r="C70" i="72"/>
  <c r="B70" i="72"/>
  <c r="A70" i="72"/>
  <c r="N69" i="72"/>
  <c r="L69" i="72"/>
  <c r="J69" i="72"/>
  <c r="I69" i="72"/>
  <c r="H69" i="72"/>
  <c r="G69" i="72"/>
  <c r="F69" i="72"/>
  <c r="E69" i="72"/>
  <c r="D69" i="72"/>
  <c r="C69" i="72"/>
  <c r="B69" i="72"/>
  <c r="A69" i="72"/>
  <c r="N68" i="72"/>
  <c r="L68" i="72"/>
  <c r="J68" i="72"/>
  <c r="I68" i="72"/>
  <c r="H68" i="72"/>
  <c r="G68" i="72"/>
  <c r="F68" i="72"/>
  <c r="E68" i="72"/>
  <c r="D68" i="72"/>
  <c r="C68" i="72"/>
  <c r="B68" i="72"/>
  <c r="A68" i="72"/>
  <c r="N67" i="72"/>
  <c r="L67" i="72"/>
  <c r="J67" i="72"/>
  <c r="I67" i="72"/>
  <c r="H67" i="72"/>
  <c r="G67" i="72"/>
  <c r="F67" i="72"/>
  <c r="E67" i="72"/>
  <c r="D67" i="72"/>
  <c r="C67" i="72"/>
  <c r="B67" i="72"/>
  <c r="A67" i="72"/>
  <c r="N66" i="72"/>
  <c r="L66" i="72"/>
  <c r="I66" i="72"/>
  <c r="H66" i="72"/>
  <c r="G66" i="72"/>
  <c r="F66" i="72"/>
  <c r="E66" i="72"/>
  <c r="D66" i="72"/>
  <c r="C66" i="72"/>
  <c r="B66" i="72"/>
  <c r="A66" i="72"/>
  <c r="P65" i="72"/>
  <c r="O65" i="72"/>
  <c r="N65" i="72"/>
  <c r="L65" i="72"/>
  <c r="I65" i="72"/>
  <c r="H65" i="72"/>
  <c r="G65" i="72"/>
  <c r="F65" i="72"/>
  <c r="E65" i="72"/>
  <c r="D65" i="72"/>
  <c r="C65" i="72"/>
  <c r="B65" i="72"/>
  <c r="A65" i="72"/>
  <c r="P64" i="72"/>
  <c r="O64" i="72"/>
  <c r="N64" i="72"/>
  <c r="L64" i="72"/>
  <c r="I64" i="72"/>
  <c r="H64" i="72"/>
  <c r="G64" i="72"/>
  <c r="F64" i="72"/>
  <c r="E64" i="72"/>
  <c r="D64" i="72"/>
  <c r="C64" i="72"/>
  <c r="B64" i="72"/>
  <c r="A64" i="72"/>
  <c r="P63" i="72"/>
  <c r="O63" i="72"/>
  <c r="N63" i="72"/>
  <c r="L63" i="72"/>
  <c r="I63" i="72"/>
  <c r="H63" i="72"/>
  <c r="G63" i="72"/>
  <c r="F63" i="72"/>
  <c r="E63" i="72"/>
  <c r="D63" i="72"/>
  <c r="C63" i="72"/>
  <c r="B63" i="72"/>
  <c r="A63" i="72"/>
  <c r="P62" i="72"/>
  <c r="O62" i="72"/>
  <c r="N62" i="72"/>
  <c r="L62" i="72"/>
  <c r="J62" i="72"/>
  <c r="I62" i="72"/>
  <c r="H62" i="72"/>
  <c r="G62" i="72"/>
  <c r="F62" i="72"/>
  <c r="E62" i="72"/>
  <c r="D62" i="72"/>
  <c r="C62" i="72"/>
  <c r="B62" i="72"/>
  <c r="A62" i="72"/>
  <c r="P61" i="72"/>
  <c r="O61" i="72"/>
  <c r="N61" i="72"/>
  <c r="L61" i="72"/>
  <c r="J61" i="72"/>
  <c r="I61" i="72"/>
  <c r="H61" i="72"/>
  <c r="G61" i="72"/>
  <c r="F61" i="72"/>
  <c r="E61" i="72"/>
  <c r="D61" i="72"/>
  <c r="C61" i="72"/>
  <c r="B61" i="72"/>
  <c r="A61" i="72"/>
  <c r="C60" i="72"/>
  <c r="B60" i="72"/>
  <c r="A60" i="72"/>
  <c r="G109" i="72" l="1"/>
  <c r="H150" i="72"/>
  <c r="G135" i="72"/>
  <c r="H135" i="72"/>
  <c r="H122" i="72"/>
  <c r="H141" i="72"/>
  <c r="P262" i="72"/>
  <c r="P261" i="72" s="1"/>
  <c r="H173" i="72"/>
  <c r="H217" i="72"/>
  <c r="H156" i="72"/>
  <c r="F228" i="72"/>
  <c r="F226" i="72" s="1"/>
  <c r="H147" i="72"/>
  <c r="F153" i="72"/>
  <c r="H165" i="72"/>
  <c r="F173" i="72"/>
  <c r="G228" i="72"/>
  <c r="F135" i="72"/>
  <c r="G153" i="72"/>
  <c r="G173" i="72"/>
  <c r="H228" i="72"/>
  <c r="G273" i="72"/>
  <c r="H249" i="72"/>
  <c r="F245" i="72"/>
  <c r="P270" i="72"/>
  <c r="P266" i="72" s="1"/>
  <c r="F207" i="72"/>
  <c r="F119" i="72"/>
  <c r="G141" i="72"/>
  <c r="M239" i="72"/>
  <c r="G249" i="72"/>
  <c r="F144" i="72"/>
  <c r="G86" i="72"/>
  <c r="P245" i="72"/>
  <c r="G75" i="72"/>
  <c r="H75" i="72"/>
  <c r="F86" i="72"/>
  <c r="G122" i="72"/>
  <c r="P239" i="72"/>
  <c r="J253" i="72"/>
  <c r="G288" i="72"/>
  <c r="F288" i="72" s="1"/>
  <c r="F165" i="72"/>
  <c r="P249" i="72"/>
  <c r="H86" i="72"/>
  <c r="G245" i="72"/>
  <c r="H266" i="72"/>
  <c r="G239" i="72"/>
  <c r="P273" i="72"/>
  <c r="F129" i="72"/>
  <c r="F189" i="72"/>
  <c r="F104" i="72"/>
  <c r="G129" i="72"/>
  <c r="G183" i="72"/>
  <c r="G253" i="72"/>
  <c r="F126" i="72"/>
  <c r="F253" i="72"/>
  <c r="H60" i="72"/>
  <c r="G126" i="72"/>
  <c r="P192" i="72"/>
  <c r="H129" i="72"/>
  <c r="H138" i="72"/>
  <c r="G156" i="72"/>
  <c r="F217" i="72"/>
  <c r="F75" i="72"/>
  <c r="G217" i="72"/>
  <c r="H245" i="72"/>
  <c r="F249" i="72"/>
  <c r="G104" i="72"/>
  <c r="G112" i="72"/>
  <c r="F112" i="72" s="1"/>
  <c r="G144" i="72"/>
  <c r="H189" i="72"/>
  <c r="G189" i="72" s="1"/>
  <c r="P258" i="72"/>
  <c r="P286" i="72"/>
  <c r="F138" i="72"/>
  <c r="G165" i="72"/>
  <c r="F179" i="72"/>
  <c r="H179" i="72"/>
  <c r="F239" i="72"/>
  <c r="G266" i="72"/>
  <c r="F60" i="72"/>
  <c r="F183" i="72"/>
  <c r="H207" i="72"/>
  <c r="G207" i="72" s="1"/>
  <c r="P215" i="72"/>
  <c r="D253" i="72"/>
  <c r="H253" i="72"/>
  <c r="L253" i="72"/>
  <c r="E253" i="72"/>
  <c r="I253" i="72"/>
  <c r="H273" i="72"/>
  <c r="F122" i="72"/>
  <c r="F156" i="72"/>
  <c r="G215" i="72"/>
  <c r="F215" i="72" s="1"/>
  <c r="G138" i="72"/>
  <c r="G179" i="72"/>
  <c r="G147" i="72"/>
  <c r="F147" i="72" s="1"/>
  <c r="G150" i="72"/>
  <c r="F150" i="72" s="1"/>
  <c r="G60" i="72"/>
  <c r="F262" i="72"/>
  <c r="F261" i="72" s="1"/>
  <c r="M288" i="72"/>
  <c r="F109" i="72"/>
  <c r="C59" i="72"/>
  <c r="B59" i="72"/>
  <c r="A59" i="72"/>
  <c r="P58" i="72"/>
  <c r="O58" i="72"/>
  <c r="N58" i="72"/>
  <c r="L58" i="72"/>
  <c r="J58" i="72"/>
  <c r="I58" i="72"/>
  <c r="H58" i="72"/>
  <c r="G58" i="72"/>
  <c r="F58" i="72"/>
  <c r="E58" i="72"/>
  <c r="D58" i="72"/>
  <c r="C58" i="72"/>
  <c r="B58" i="72"/>
  <c r="A58" i="72"/>
  <c r="P57" i="72"/>
  <c r="N57" i="72"/>
  <c r="L57" i="72"/>
  <c r="I57" i="72"/>
  <c r="H57" i="72"/>
  <c r="G57" i="72"/>
  <c r="F57" i="72"/>
  <c r="E57" i="72"/>
  <c r="D57" i="72"/>
  <c r="C57" i="72"/>
  <c r="B57" i="72"/>
  <c r="A57" i="72"/>
  <c r="P56" i="72"/>
  <c r="O56" i="72"/>
  <c r="N56" i="72"/>
  <c r="L56" i="72"/>
  <c r="I56" i="72"/>
  <c r="H56" i="72"/>
  <c r="G56" i="72"/>
  <c r="F56" i="72"/>
  <c r="E56" i="72"/>
  <c r="D56" i="72"/>
  <c r="C56" i="72"/>
  <c r="B56" i="72"/>
  <c r="A56" i="72"/>
  <c r="P55" i="72"/>
  <c r="O55" i="72"/>
  <c r="N55" i="72"/>
  <c r="L55" i="72"/>
  <c r="J55" i="72"/>
  <c r="I55" i="72"/>
  <c r="H55" i="72"/>
  <c r="G55" i="72"/>
  <c r="F55" i="72"/>
  <c r="E55" i="72"/>
  <c r="D55" i="72"/>
  <c r="C55" i="72"/>
  <c r="B55" i="72"/>
  <c r="A55" i="72"/>
  <c r="P54" i="72"/>
  <c r="O54" i="72"/>
  <c r="N54" i="72"/>
  <c r="L54" i="72"/>
  <c r="J54" i="72"/>
  <c r="I54" i="72"/>
  <c r="H54" i="72"/>
  <c r="G54" i="72"/>
  <c r="F54" i="72"/>
  <c r="E54" i="72"/>
  <c r="D54" i="72"/>
  <c r="C54" i="72"/>
  <c r="B54" i="72"/>
  <c r="A54" i="72"/>
  <c r="P53" i="72"/>
  <c r="O53" i="72"/>
  <c r="N53" i="72"/>
  <c r="L53" i="72"/>
  <c r="I53" i="72"/>
  <c r="H53" i="72"/>
  <c r="G53" i="72"/>
  <c r="F53" i="72"/>
  <c r="E53" i="72"/>
  <c r="D53" i="72"/>
  <c r="C53" i="72"/>
  <c r="B53" i="72"/>
  <c r="A53" i="72"/>
  <c r="P52" i="72"/>
  <c r="O52" i="72"/>
  <c r="N52" i="72"/>
  <c r="L52" i="72"/>
  <c r="J52" i="72"/>
  <c r="I52" i="72"/>
  <c r="H52" i="72"/>
  <c r="G52" i="72"/>
  <c r="F52" i="72"/>
  <c r="E52" i="72"/>
  <c r="D52" i="72"/>
  <c r="C52" i="72"/>
  <c r="B52" i="72"/>
  <c r="A52" i="72"/>
  <c r="P51" i="72"/>
  <c r="O51" i="72"/>
  <c r="N51" i="72"/>
  <c r="L51" i="72"/>
  <c r="J51" i="72"/>
  <c r="I51" i="72"/>
  <c r="H51" i="72"/>
  <c r="G51" i="72"/>
  <c r="F51" i="72"/>
  <c r="E51" i="72"/>
  <c r="D51" i="72"/>
  <c r="C51" i="72"/>
  <c r="B51" i="72"/>
  <c r="A51" i="72"/>
  <c r="O50" i="72"/>
  <c r="N50" i="72"/>
  <c r="L50" i="72"/>
  <c r="K50" i="72"/>
  <c r="J50" i="72"/>
  <c r="I50" i="72"/>
  <c r="C50" i="72"/>
  <c r="B50" i="72"/>
  <c r="A50" i="72"/>
  <c r="P49" i="72"/>
  <c r="O49" i="72"/>
  <c r="N49" i="72"/>
  <c r="L49" i="72"/>
  <c r="I49" i="72"/>
  <c r="H49" i="72"/>
  <c r="G49" i="72"/>
  <c r="F49" i="72"/>
  <c r="E49" i="72"/>
  <c r="D49" i="72"/>
  <c r="C49" i="72"/>
  <c r="B49" i="72"/>
  <c r="A49" i="72"/>
  <c r="P48" i="72"/>
  <c r="O48" i="72"/>
  <c r="N48" i="72"/>
  <c r="L48" i="72"/>
  <c r="J48" i="72"/>
  <c r="I48" i="72"/>
  <c r="H48" i="72"/>
  <c r="G48" i="72"/>
  <c r="F48" i="72"/>
  <c r="E48" i="72"/>
  <c r="D48" i="72"/>
  <c r="C48" i="72"/>
  <c r="B48" i="72"/>
  <c r="A48" i="72"/>
  <c r="N47" i="72"/>
  <c r="L47" i="72"/>
  <c r="J47" i="72"/>
  <c r="I47" i="72"/>
  <c r="H47" i="72"/>
  <c r="G47" i="72"/>
  <c r="F47" i="72"/>
  <c r="E47" i="72"/>
  <c r="D47" i="72"/>
  <c r="C47" i="72"/>
  <c r="B47" i="72"/>
  <c r="A47" i="72"/>
  <c r="N46" i="72"/>
  <c r="L46" i="72"/>
  <c r="J46" i="72"/>
  <c r="I46" i="72"/>
  <c r="H46" i="72"/>
  <c r="G46" i="72"/>
  <c r="F46" i="72"/>
  <c r="E46" i="72"/>
  <c r="D46" i="72"/>
  <c r="C46" i="72"/>
  <c r="B46" i="72"/>
  <c r="A46" i="72"/>
  <c r="N45" i="72"/>
  <c r="L45" i="72"/>
  <c r="I45" i="72"/>
  <c r="H45" i="72"/>
  <c r="G45" i="72"/>
  <c r="F45" i="72"/>
  <c r="E45" i="72"/>
  <c r="D45" i="72"/>
  <c r="C45" i="72"/>
  <c r="B45" i="72"/>
  <c r="A45" i="72"/>
  <c r="P44" i="72"/>
  <c r="O44" i="72"/>
  <c r="N44" i="72"/>
  <c r="L44" i="72"/>
  <c r="I44" i="72"/>
  <c r="H44" i="72"/>
  <c r="G44" i="72"/>
  <c r="F44" i="72"/>
  <c r="E44" i="72"/>
  <c r="D44" i="72"/>
  <c r="C44" i="72"/>
  <c r="B44" i="72"/>
  <c r="A44" i="72"/>
  <c r="P43" i="72"/>
  <c r="O43" i="72"/>
  <c r="N43" i="72"/>
  <c r="L43" i="72"/>
  <c r="J43" i="72"/>
  <c r="I43" i="72"/>
  <c r="H43" i="72"/>
  <c r="G43" i="72"/>
  <c r="F43" i="72"/>
  <c r="E43" i="72"/>
  <c r="D43" i="72"/>
  <c r="C43" i="72"/>
  <c r="B43" i="72"/>
  <c r="A43" i="72"/>
  <c r="P42" i="72"/>
  <c r="O42" i="72"/>
  <c r="N42" i="72"/>
  <c r="L42" i="72"/>
  <c r="I42" i="72"/>
  <c r="H42" i="72"/>
  <c r="G42" i="72"/>
  <c r="F42" i="72"/>
  <c r="E42" i="72"/>
  <c r="D42" i="72"/>
  <c r="C42" i="72"/>
  <c r="B42" i="72"/>
  <c r="A42" i="72"/>
  <c r="P41" i="72"/>
  <c r="O41" i="72"/>
  <c r="N41" i="72"/>
  <c r="L41" i="72"/>
  <c r="I41" i="72"/>
  <c r="H41" i="72"/>
  <c r="G41" i="72"/>
  <c r="F41" i="72"/>
  <c r="E41" i="72"/>
  <c r="D41" i="72"/>
  <c r="C41" i="72"/>
  <c r="B41" i="72"/>
  <c r="A41" i="72"/>
  <c r="O40" i="72"/>
  <c r="N40" i="72"/>
  <c r="L40" i="72"/>
  <c r="K40" i="72"/>
  <c r="J40" i="72"/>
  <c r="I40" i="72"/>
  <c r="C40" i="72"/>
  <c r="B40" i="72"/>
  <c r="A40" i="72"/>
  <c r="P39" i="72"/>
  <c r="O39" i="72"/>
  <c r="N39" i="72"/>
  <c r="L39" i="72"/>
  <c r="I39" i="72"/>
  <c r="H39" i="72"/>
  <c r="G39" i="72"/>
  <c r="F39" i="72"/>
  <c r="E39" i="72"/>
  <c r="D39" i="72"/>
  <c r="C39" i="72"/>
  <c r="B39" i="72"/>
  <c r="A39" i="72"/>
  <c r="N38" i="72"/>
  <c r="L38" i="72"/>
  <c r="J38" i="72"/>
  <c r="I38" i="72"/>
  <c r="H38" i="72"/>
  <c r="G38" i="72"/>
  <c r="F38" i="72"/>
  <c r="E38" i="72"/>
  <c r="D38" i="72"/>
  <c r="C38" i="72"/>
  <c r="B38" i="72"/>
  <c r="A38" i="72"/>
  <c r="N37" i="72"/>
  <c r="L37" i="72"/>
  <c r="I37" i="72"/>
  <c r="H37" i="72"/>
  <c r="G37" i="72"/>
  <c r="F37" i="72"/>
  <c r="E37" i="72"/>
  <c r="D37" i="72"/>
  <c r="C37" i="72"/>
  <c r="B37" i="72"/>
  <c r="A37" i="72"/>
  <c r="P36" i="72"/>
  <c r="O36" i="72"/>
  <c r="N36" i="72"/>
  <c r="L36" i="72"/>
  <c r="J36" i="72"/>
  <c r="I36" i="72"/>
  <c r="H36" i="72"/>
  <c r="G36" i="72"/>
  <c r="F36" i="72"/>
  <c r="E36" i="72"/>
  <c r="D36" i="72"/>
  <c r="C36" i="72"/>
  <c r="B36" i="72"/>
  <c r="A36" i="72"/>
  <c r="P35" i="72"/>
  <c r="O35" i="72"/>
  <c r="N35" i="72"/>
  <c r="L35" i="72"/>
  <c r="J35" i="72"/>
  <c r="I35" i="72"/>
  <c r="H35" i="72"/>
  <c r="G35" i="72"/>
  <c r="F35" i="72"/>
  <c r="E35" i="72"/>
  <c r="D35" i="72"/>
  <c r="C35" i="72"/>
  <c r="B35" i="72"/>
  <c r="A35" i="72"/>
  <c r="N34" i="72"/>
  <c r="L34" i="72"/>
  <c r="J34" i="72"/>
  <c r="I34" i="72"/>
  <c r="H34" i="72"/>
  <c r="G34" i="72"/>
  <c r="F34" i="72"/>
  <c r="E34" i="72"/>
  <c r="D34" i="72"/>
  <c r="C34" i="72"/>
  <c r="B34" i="72"/>
  <c r="A34" i="72"/>
  <c r="N33" i="72"/>
  <c r="L33" i="72"/>
  <c r="J33" i="72"/>
  <c r="I33" i="72"/>
  <c r="H33" i="72"/>
  <c r="G33" i="72"/>
  <c r="F33" i="72"/>
  <c r="E33" i="72"/>
  <c r="D33" i="72"/>
  <c r="C33" i="72"/>
  <c r="B33" i="72"/>
  <c r="A33" i="72"/>
  <c r="P32" i="72"/>
  <c r="O32" i="72"/>
  <c r="N32" i="72"/>
  <c r="L32" i="72"/>
  <c r="J32" i="72"/>
  <c r="I32" i="72"/>
  <c r="H32" i="72"/>
  <c r="G32" i="72"/>
  <c r="F32" i="72"/>
  <c r="E32" i="72"/>
  <c r="D32" i="72"/>
  <c r="C32" i="72"/>
  <c r="B32" i="72"/>
  <c r="A32" i="72"/>
  <c r="P31" i="72"/>
  <c r="O31" i="72"/>
  <c r="N31" i="72"/>
  <c r="L31" i="72"/>
  <c r="J31" i="72"/>
  <c r="I31" i="72"/>
  <c r="H31" i="72"/>
  <c r="G31" i="72"/>
  <c r="F31" i="72"/>
  <c r="E31" i="72"/>
  <c r="D31" i="72"/>
  <c r="C31" i="72"/>
  <c r="B31" i="72"/>
  <c r="A31" i="72"/>
  <c r="P30" i="72"/>
  <c r="O30" i="72"/>
  <c r="N30" i="72"/>
  <c r="L30" i="72"/>
  <c r="I30" i="72"/>
  <c r="H30" i="72"/>
  <c r="G30" i="72"/>
  <c r="F30" i="72"/>
  <c r="E30" i="72"/>
  <c r="D30" i="72"/>
  <c r="C30" i="72"/>
  <c r="B30" i="72"/>
  <c r="A30" i="72"/>
  <c r="N29" i="72"/>
  <c r="L29" i="72"/>
  <c r="J29" i="72"/>
  <c r="I29" i="72"/>
  <c r="H29" i="72"/>
  <c r="G29" i="72"/>
  <c r="F29" i="72"/>
  <c r="E29" i="72"/>
  <c r="D29" i="72"/>
  <c r="C29" i="72"/>
  <c r="B29" i="72"/>
  <c r="A29" i="72"/>
  <c r="N28" i="72"/>
  <c r="L28" i="72"/>
  <c r="J28" i="72"/>
  <c r="I28" i="72"/>
  <c r="H28" i="72"/>
  <c r="G28" i="72"/>
  <c r="F28" i="72"/>
  <c r="E28" i="72"/>
  <c r="D28" i="72"/>
  <c r="C28" i="72"/>
  <c r="B28" i="72"/>
  <c r="A28" i="72"/>
  <c r="P27" i="72"/>
  <c r="O27" i="72"/>
  <c r="N27" i="72"/>
  <c r="L27" i="72"/>
  <c r="I27" i="72"/>
  <c r="H27" i="72"/>
  <c r="G27" i="72"/>
  <c r="F27" i="72"/>
  <c r="E27" i="72"/>
  <c r="D27" i="72"/>
  <c r="C27" i="72"/>
  <c r="B27" i="72"/>
  <c r="A27" i="72"/>
  <c r="O26" i="72"/>
  <c r="N26" i="72"/>
  <c r="L26" i="72"/>
  <c r="K26" i="72"/>
  <c r="J26" i="72"/>
  <c r="I26" i="72"/>
  <c r="C26" i="72"/>
  <c r="B26" i="72"/>
  <c r="A26" i="72"/>
  <c r="P25" i="72"/>
  <c r="O25" i="72"/>
  <c r="N25" i="72"/>
  <c r="L25" i="72"/>
  <c r="J25" i="72"/>
  <c r="I25" i="72"/>
  <c r="H25" i="72"/>
  <c r="G25" i="72"/>
  <c r="F25" i="72"/>
  <c r="E25" i="72"/>
  <c r="D25" i="72"/>
  <c r="C25" i="72"/>
  <c r="B25" i="72"/>
  <c r="A25" i="72"/>
  <c r="P24" i="72"/>
  <c r="O24" i="72"/>
  <c r="N24" i="72"/>
  <c r="L24" i="72"/>
  <c r="I24" i="72"/>
  <c r="H24" i="72"/>
  <c r="G24" i="72"/>
  <c r="F24" i="72"/>
  <c r="E24" i="72"/>
  <c r="D24" i="72"/>
  <c r="C24" i="72"/>
  <c r="B24" i="72"/>
  <c r="A24" i="72"/>
  <c r="N23" i="72"/>
  <c r="L23" i="72"/>
  <c r="J23" i="72"/>
  <c r="I23" i="72"/>
  <c r="H23" i="72"/>
  <c r="G23" i="72"/>
  <c r="F23" i="72"/>
  <c r="E23" i="72"/>
  <c r="D23" i="72"/>
  <c r="C23" i="72"/>
  <c r="B23" i="72"/>
  <c r="A23" i="72"/>
  <c r="P22" i="72"/>
  <c r="O22" i="72"/>
  <c r="N22" i="72"/>
  <c r="L22" i="72"/>
  <c r="J22" i="72"/>
  <c r="I22" i="72"/>
  <c r="H22" i="72"/>
  <c r="G22" i="72"/>
  <c r="F22" i="72"/>
  <c r="E22" i="72"/>
  <c r="D22" i="72"/>
  <c r="C22" i="72"/>
  <c r="B22" i="72"/>
  <c r="A22" i="72"/>
  <c r="P21" i="72"/>
  <c r="O21" i="72"/>
  <c r="N21" i="72"/>
  <c r="L21" i="72"/>
  <c r="I21" i="72"/>
  <c r="H21" i="72"/>
  <c r="G21" i="72"/>
  <c r="F21" i="72"/>
  <c r="E21" i="72"/>
  <c r="D21" i="72"/>
  <c r="C21" i="72"/>
  <c r="B21" i="72"/>
  <c r="A21" i="72"/>
  <c r="P20" i="72"/>
  <c r="O20" i="72"/>
  <c r="N20" i="72"/>
  <c r="L20" i="72"/>
  <c r="J20" i="72"/>
  <c r="I20" i="72"/>
  <c r="H20" i="72"/>
  <c r="G20" i="72"/>
  <c r="F20" i="72"/>
  <c r="E20" i="72"/>
  <c r="D20" i="72"/>
  <c r="C20" i="72"/>
  <c r="B20" i="72"/>
  <c r="A20" i="72"/>
  <c r="P19" i="72"/>
  <c r="O19" i="72"/>
  <c r="N19" i="72"/>
  <c r="L19" i="72"/>
  <c r="I19" i="72"/>
  <c r="H19" i="72"/>
  <c r="G19" i="72"/>
  <c r="F19" i="72"/>
  <c r="E19" i="72"/>
  <c r="D19" i="72"/>
  <c r="C19" i="72"/>
  <c r="B19" i="72"/>
  <c r="A19" i="72"/>
  <c r="P18" i="72"/>
  <c r="O18" i="72"/>
  <c r="N18" i="72"/>
  <c r="L18" i="72"/>
  <c r="J18" i="72"/>
  <c r="I18" i="72"/>
  <c r="H18" i="72"/>
  <c r="G18" i="72"/>
  <c r="F18" i="72"/>
  <c r="E18" i="72"/>
  <c r="D18" i="72"/>
  <c r="C18" i="72"/>
  <c r="B18" i="72"/>
  <c r="A18" i="72"/>
  <c r="P17" i="72"/>
  <c r="O17" i="72"/>
  <c r="N17" i="72"/>
  <c r="L17" i="72"/>
  <c r="J17" i="72"/>
  <c r="I17" i="72"/>
  <c r="H17" i="72"/>
  <c r="G17" i="72"/>
  <c r="F17" i="72"/>
  <c r="E17" i="72"/>
  <c r="D17" i="72"/>
  <c r="C17" i="72"/>
  <c r="B17" i="72"/>
  <c r="A17" i="72"/>
  <c r="P16" i="72"/>
  <c r="O16" i="72"/>
  <c r="N16" i="72"/>
  <c r="L16" i="72"/>
  <c r="J16" i="72"/>
  <c r="I16" i="72"/>
  <c r="H16" i="72"/>
  <c r="G16" i="72"/>
  <c r="F16" i="72"/>
  <c r="E16" i="72"/>
  <c r="D16" i="72"/>
  <c r="C16" i="72"/>
  <c r="B16" i="72"/>
  <c r="A16" i="72"/>
  <c r="C15" i="72"/>
  <c r="B15" i="72"/>
  <c r="A15" i="72"/>
  <c r="C14" i="72"/>
  <c r="B14" i="72"/>
  <c r="A14" i="72"/>
  <c r="C13" i="72"/>
  <c r="B13" i="72"/>
  <c r="A13" i="72"/>
  <c r="C12" i="72"/>
  <c r="B12" i="72"/>
  <c r="A12" i="72"/>
  <c r="P11" i="72"/>
  <c r="O11" i="72"/>
  <c r="N11" i="72"/>
  <c r="L11" i="72"/>
  <c r="J11" i="72"/>
  <c r="I11" i="72"/>
  <c r="H11" i="72"/>
  <c r="G11" i="72"/>
  <c r="F11" i="72"/>
  <c r="E11" i="72"/>
  <c r="D11" i="72"/>
  <c r="C11" i="72"/>
  <c r="B11" i="72"/>
  <c r="A11" i="72"/>
  <c r="C10" i="72"/>
  <c r="B10" i="72"/>
  <c r="A10" i="72"/>
  <c r="P9" i="72"/>
  <c r="O9" i="72"/>
  <c r="N9" i="72"/>
  <c r="L9" i="72"/>
  <c r="J9" i="72"/>
  <c r="I9" i="72"/>
  <c r="H9" i="72"/>
  <c r="G9" i="72"/>
  <c r="F9" i="72"/>
  <c r="E9" i="72"/>
  <c r="D9" i="72"/>
  <c r="C9" i="72"/>
  <c r="B9" i="72"/>
  <c r="A9" i="72"/>
  <c r="C8" i="72"/>
  <c r="B8" i="72"/>
  <c r="A8" i="72"/>
  <c r="C7" i="72"/>
  <c r="B7" i="72"/>
  <c r="A7" i="72"/>
  <c r="C6" i="72"/>
  <c r="B6" i="72"/>
  <c r="A6" i="72"/>
  <c r="C2" i="72"/>
  <c r="A2" i="72"/>
  <c r="P33" i="23"/>
  <c r="N33" i="23"/>
  <c r="L33" i="23"/>
  <c r="K33" i="23"/>
  <c r="J33" i="23"/>
  <c r="I33" i="23"/>
  <c r="H33" i="23"/>
  <c r="G33" i="23"/>
  <c r="F33" i="23"/>
  <c r="E33" i="23"/>
  <c r="D33" i="23"/>
  <c r="C33" i="23"/>
  <c r="B33" i="23"/>
  <c r="A33" i="23"/>
  <c r="P32" i="23"/>
  <c r="N32" i="23"/>
  <c r="L32" i="23"/>
  <c r="K32" i="23"/>
  <c r="J32" i="23"/>
  <c r="H32" i="23"/>
  <c r="G32" i="23"/>
  <c r="F32" i="23"/>
  <c r="E32" i="23"/>
  <c r="D32" i="23"/>
  <c r="C32" i="23"/>
  <c r="B32" i="23"/>
  <c r="A32" i="23"/>
  <c r="P31" i="23"/>
  <c r="N31" i="23"/>
  <c r="L31" i="23"/>
  <c r="K31" i="23"/>
  <c r="J31" i="23"/>
  <c r="H31" i="23"/>
  <c r="G31" i="23"/>
  <c r="F31" i="23"/>
  <c r="E31" i="23"/>
  <c r="D31" i="23"/>
  <c r="C31" i="23"/>
  <c r="B31" i="23"/>
  <c r="A31" i="23"/>
  <c r="P30" i="23"/>
  <c r="N30" i="23"/>
  <c r="L30" i="23"/>
  <c r="K30" i="23"/>
  <c r="J30" i="23"/>
  <c r="I30" i="23"/>
  <c r="H30" i="23"/>
  <c r="G30" i="23"/>
  <c r="F30" i="23"/>
  <c r="E30" i="23"/>
  <c r="D30" i="23"/>
  <c r="C30" i="23"/>
  <c r="B30" i="23"/>
  <c r="A30" i="23"/>
  <c r="R29" i="23"/>
  <c r="AG19" i="87" s="1"/>
  <c r="C29" i="23"/>
  <c r="A29" i="23"/>
  <c r="P28" i="23"/>
  <c r="N28" i="23"/>
  <c r="L28" i="23"/>
  <c r="K28" i="23"/>
  <c r="J28" i="23"/>
  <c r="I28" i="23"/>
  <c r="H28" i="23"/>
  <c r="G28" i="23"/>
  <c r="F28" i="23"/>
  <c r="E28" i="23"/>
  <c r="D28" i="23"/>
  <c r="C28" i="23"/>
  <c r="A28" i="23"/>
  <c r="R27" i="23"/>
  <c r="AG18" i="87" s="1"/>
  <c r="C27" i="23"/>
  <c r="A27" i="23"/>
  <c r="P26" i="23"/>
  <c r="N26" i="23"/>
  <c r="L26" i="23"/>
  <c r="K26" i="23"/>
  <c r="J26" i="23"/>
  <c r="I26" i="23"/>
  <c r="H26" i="23"/>
  <c r="G26" i="23"/>
  <c r="F26" i="23"/>
  <c r="E26" i="23"/>
  <c r="D26" i="23"/>
  <c r="C26" i="23"/>
  <c r="B26" i="23"/>
  <c r="A26" i="23"/>
  <c r="R25" i="23"/>
  <c r="C25" i="23"/>
  <c r="A25" i="23"/>
  <c r="P24" i="23"/>
  <c r="N24" i="23"/>
  <c r="L24" i="23"/>
  <c r="K24" i="23"/>
  <c r="J24" i="23"/>
  <c r="I24" i="23"/>
  <c r="H24" i="23"/>
  <c r="G24" i="23"/>
  <c r="F24" i="23"/>
  <c r="E24" i="23"/>
  <c r="D24" i="23"/>
  <c r="C24" i="23"/>
  <c r="P23" i="23"/>
  <c r="N23" i="23"/>
  <c r="L23" i="23"/>
  <c r="K23" i="23"/>
  <c r="J23" i="23"/>
  <c r="I23" i="23"/>
  <c r="H23" i="23"/>
  <c r="G23" i="23"/>
  <c r="F23" i="23"/>
  <c r="E23" i="23"/>
  <c r="D23" i="23"/>
  <c r="C23" i="23"/>
  <c r="B23" i="23"/>
  <c r="P22" i="23"/>
  <c r="N22" i="23"/>
  <c r="L22" i="23"/>
  <c r="K22" i="23"/>
  <c r="J22" i="23"/>
  <c r="I22" i="23"/>
  <c r="H22" i="23"/>
  <c r="G22" i="23"/>
  <c r="F22" i="23"/>
  <c r="E22" i="23"/>
  <c r="D22" i="23"/>
  <c r="C22" i="23"/>
  <c r="B22" i="23"/>
  <c r="A22" i="23"/>
  <c r="R21" i="23"/>
  <c r="AG14" i="87" s="1"/>
  <c r="C21" i="23"/>
  <c r="A21" i="23"/>
  <c r="P20" i="23"/>
  <c r="N20" i="23"/>
  <c r="L20" i="23"/>
  <c r="K20" i="23"/>
  <c r="J20" i="23"/>
  <c r="I20" i="23"/>
  <c r="H20" i="23"/>
  <c r="G20" i="23"/>
  <c r="F20" i="23"/>
  <c r="E20" i="23"/>
  <c r="D20" i="23"/>
  <c r="C20" i="23"/>
  <c r="P19" i="23"/>
  <c r="N19" i="23"/>
  <c r="L19" i="23"/>
  <c r="K19" i="23"/>
  <c r="J19" i="23"/>
  <c r="I19" i="23"/>
  <c r="H19" i="23"/>
  <c r="G19" i="23"/>
  <c r="F19" i="23"/>
  <c r="E19" i="23"/>
  <c r="D19" i="23"/>
  <c r="C19" i="23"/>
  <c r="B19" i="23"/>
  <c r="A19" i="23"/>
  <c r="R18" i="23"/>
  <c r="AG12" i="87" s="1"/>
  <c r="C18" i="23"/>
  <c r="A18" i="23"/>
  <c r="P17" i="23"/>
  <c r="N17" i="23"/>
  <c r="L17" i="23"/>
  <c r="K17" i="23"/>
  <c r="J17" i="23"/>
  <c r="I17" i="23"/>
  <c r="H17" i="23"/>
  <c r="G17" i="23"/>
  <c r="F17" i="23"/>
  <c r="E17" i="23"/>
  <c r="D17" i="23"/>
  <c r="C17" i="23"/>
  <c r="B17" i="23"/>
  <c r="A17" i="23"/>
  <c r="R16" i="23"/>
  <c r="C16" i="23"/>
  <c r="A16" i="23"/>
  <c r="P15" i="23"/>
  <c r="N15" i="23"/>
  <c r="L15" i="23"/>
  <c r="K15" i="23"/>
  <c r="J15" i="23"/>
  <c r="I15" i="23"/>
  <c r="H15" i="23"/>
  <c r="G15" i="23"/>
  <c r="F15" i="23"/>
  <c r="E15" i="23"/>
  <c r="D15" i="23"/>
  <c r="C15" i="23"/>
  <c r="A15" i="23"/>
  <c r="P14" i="23"/>
  <c r="N14" i="23"/>
  <c r="L14" i="23"/>
  <c r="K14" i="23"/>
  <c r="J14" i="23"/>
  <c r="I14" i="23"/>
  <c r="H14" i="23"/>
  <c r="G14" i="23"/>
  <c r="F14" i="23"/>
  <c r="E14" i="23"/>
  <c r="D14" i="23"/>
  <c r="C14" i="23"/>
  <c r="P13" i="23"/>
  <c r="N13" i="23"/>
  <c r="L13" i="23"/>
  <c r="K13" i="23"/>
  <c r="J13" i="23"/>
  <c r="I13" i="23"/>
  <c r="H13" i="23"/>
  <c r="G13" i="23"/>
  <c r="F13" i="23"/>
  <c r="E13" i="23"/>
  <c r="D13" i="23"/>
  <c r="C13" i="23"/>
  <c r="B13" i="23"/>
  <c r="A13" i="23"/>
  <c r="R12" i="23"/>
  <c r="AG9" i="87" s="1"/>
  <c r="C12" i="23"/>
  <c r="A12" i="23"/>
  <c r="P11" i="23"/>
  <c r="G59" i="72" l="1"/>
  <c r="F238" i="72"/>
  <c r="G50" i="72"/>
  <c r="H59" i="72"/>
  <c r="H15" i="72"/>
  <c r="P10" i="72"/>
  <c r="H40" i="72"/>
  <c r="F59" i="72"/>
  <c r="G40" i="72"/>
  <c r="H26" i="72"/>
  <c r="E26" i="72"/>
  <c r="P238" i="72"/>
  <c r="G238" i="72"/>
  <c r="F40" i="72"/>
  <c r="F26" i="72"/>
  <c r="D26" i="72"/>
  <c r="P50" i="72"/>
  <c r="D40" i="72"/>
  <c r="E40" i="72"/>
  <c r="F50" i="72"/>
  <c r="D50" i="72"/>
  <c r="G15" i="72"/>
  <c r="P260" i="72"/>
  <c r="H50" i="72"/>
  <c r="F15" i="72"/>
  <c r="E50" i="72"/>
  <c r="P214" i="72"/>
  <c r="G26" i="72"/>
  <c r="G10" i="72"/>
  <c r="F10" i="72" s="1"/>
  <c r="P8" i="72"/>
  <c r="F260" i="72"/>
  <c r="N11" i="23"/>
  <c r="L11" i="23"/>
  <c r="K11" i="23"/>
  <c r="J11" i="23"/>
  <c r="I11" i="23"/>
  <c r="H11" i="23"/>
  <c r="G11" i="23"/>
  <c r="F11" i="23"/>
  <c r="E11" i="23"/>
  <c r="D11" i="23"/>
  <c r="C11" i="23"/>
  <c r="B11" i="23"/>
  <c r="A11" i="23"/>
  <c r="R10" i="23"/>
  <c r="C10" i="23"/>
  <c r="A10" i="23"/>
  <c r="P9" i="23"/>
  <c r="N9" i="23"/>
  <c r="L9" i="23"/>
  <c r="K9" i="23"/>
  <c r="J9" i="23"/>
  <c r="I9" i="23"/>
  <c r="H9" i="23"/>
  <c r="G9" i="23"/>
  <c r="F9" i="23"/>
  <c r="E9" i="23"/>
  <c r="D9" i="23"/>
  <c r="C9" i="23"/>
  <c r="B9" i="23"/>
  <c r="A9" i="23"/>
  <c r="R8" i="23"/>
  <c r="C8" i="23"/>
  <c r="A8" i="23"/>
  <c r="P7" i="23"/>
  <c r="N7" i="23"/>
  <c r="L7" i="23"/>
  <c r="K7" i="23"/>
  <c r="J7" i="23"/>
  <c r="I7" i="23"/>
  <c r="H7" i="23"/>
  <c r="G7" i="23"/>
  <c r="F7" i="23"/>
  <c r="E7" i="23"/>
  <c r="D7" i="23"/>
  <c r="C7" i="23"/>
  <c r="B7" i="23"/>
  <c r="A7" i="23"/>
  <c r="R6" i="23"/>
  <c r="C6" i="23"/>
  <c r="A6" i="23"/>
  <c r="C3" i="23"/>
  <c r="C2" i="23"/>
  <c r="A2" i="23"/>
  <c r="P43" i="31"/>
  <c r="N43" i="31"/>
  <c r="L43" i="31"/>
  <c r="K43" i="31"/>
  <c r="J43" i="31"/>
  <c r="I43" i="31"/>
  <c r="H43" i="31"/>
  <c r="G43" i="31"/>
  <c r="F43" i="31"/>
  <c r="E43" i="31"/>
  <c r="D43" i="31"/>
  <c r="C43" i="31"/>
  <c r="B43" i="31"/>
  <c r="A43" i="31"/>
  <c r="R42" i="31"/>
  <c r="C42" i="31"/>
  <c r="A42" i="31"/>
  <c r="P41" i="31"/>
  <c r="N41" i="31"/>
  <c r="L41" i="31"/>
  <c r="K41" i="31"/>
  <c r="J41" i="31"/>
  <c r="I41" i="31"/>
  <c r="H41" i="31"/>
  <c r="G41" i="31"/>
  <c r="F41" i="31"/>
  <c r="E41" i="31"/>
  <c r="D41" i="31"/>
  <c r="C41" i="31"/>
  <c r="B41" i="31"/>
  <c r="A41" i="31"/>
  <c r="R40" i="31"/>
  <c r="AF19" i="87" s="1"/>
  <c r="C40" i="31"/>
  <c r="B40" i="31"/>
  <c r="A40" i="31"/>
  <c r="P39" i="31"/>
  <c r="N39" i="31"/>
  <c r="L39" i="31"/>
  <c r="K39" i="31"/>
  <c r="J39" i="31"/>
  <c r="I39" i="31"/>
  <c r="H39" i="31"/>
  <c r="G39" i="31"/>
  <c r="F39" i="31"/>
  <c r="E39" i="31"/>
  <c r="D39" i="31"/>
  <c r="C39" i="31"/>
  <c r="A39" i="31"/>
  <c r="P38" i="31"/>
  <c r="N38" i="31"/>
  <c r="L38" i="31"/>
  <c r="K38" i="31"/>
  <c r="J38" i="31"/>
  <c r="I38" i="31"/>
  <c r="H38" i="31"/>
  <c r="G38" i="31"/>
  <c r="F38" i="31"/>
  <c r="E38" i="31"/>
  <c r="D38" i="31"/>
  <c r="C38" i="31"/>
  <c r="A38" i="31"/>
  <c r="P37" i="31"/>
  <c r="N37" i="31"/>
  <c r="L37" i="31"/>
  <c r="K37" i="31"/>
  <c r="J37" i="31"/>
  <c r="I37" i="31"/>
  <c r="H37" i="31"/>
  <c r="G37" i="31"/>
  <c r="F37" i="31"/>
  <c r="E37" i="31"/>
  <c r="D37" i="31"/>
  <c r="C37" i="31"/>
  <c r="A37" i="31"/>
  <c r="P36" i="31"/>
  <c r="N36" i="31"/>
  <c r="L36" i="31"/>
  <c r="K36" i="31"/>
  <c r="J36" i="31"/>
  <c r="I36" i="31"/>
  <c r="H36" i="31"/>
  <c r="G36" i="31"/>
  <c r="F36" i="31"/>
  <c r="E36" i="31"/>
  <c r="D36" i="31"/>
  <c r="C36" i="31"/>
  <c r="A36" i="31"/>
  <c r="P35" i="31"/>
  <c r="N35" i="31"/>
  <c r="L35" i="31"/>
  <c r="K35" i="31"/>
  <c r="J35" i="31"/>
  <c r="I35" i="31"/>
  <c r="H35" i="31"/>
  <c r="G35" i="31"/>
  <c r="F35" i="31"/>
  <c r="E35" i="31"/>
  <c r="D35" i="31"/>
  <c r="C35" i="31"/>
  <c r="A35" i="31"/>
  <c r="P34" i="31"/>
  <c r="N34" i="31"/>
  <c r="L34" i="31"/>
  <c r="K34" i="31"/>
  <c r="J34" i="31"/>
  <c r="I34" i="31"/>
  <c r="H34" i="31"/>
  <c r="G34" i="31"/>
  <c r="F34" i="31"/>
  <c r="E34" i="31"/>
  <c r="D34" i="31"/>
  <c r="C34" i="31"/>
  <c r="A34" i="31"/>
  <c r="P33" i="31"/>
  <c r="N33" i="31"/>
  <c r="L33" i="31"/>
  <c r="K33" i="31"/>
  <c r="J33" i="31"/>
  <c r="I33" i="31"/>
  <c r="H33" i="31"/>
  <c r="G33" i="31"/>
  <c r="F33" i="31"/>
  <c r="E33" i="31"/>
  <c r="D33" i="31"/>
  <c r="C33" i="31"/>
  <c r="B33" i="31"/>
  <c r="A33" i="31"/>
  <c r="R32" i="31"/>
  <c r="AF18" i="87" s="1"/>
  <c r="C32" i="31"/>
  <c r="A32" i="31"/>
  <c r="P31" i="31"/>
  <c r="N31" i="31"/>
  <c r="L31" i="31"/>
  <c r="K31" i="31"/>
  <c r="J31" i="31"/>
  <c r="I31" i="31"/>
  <c r="H31" i="31"/>
  <c r="G31" i="31"/>
  <c r="F31" i="31"/>
  <c r="E31" i="31"/>
  <c r="D31" i="31"/>
  <c r="C31" i="31"/>
  <c r="B31" i="31"/>
  <c r="A31" i="31"/>
  <c r="R30" i="31"/>
  <c r="C30" i="31"/>
  <c r="A30" i="31"/>
  <c r="P29" i="31"/>
  <c r="N29" i="31"/>
  <c r="L29" i="31"/>
  <c r="K29" i="31"/>
  <c r="J29" i="31"/>
  <c r="I29" i="31"/>
  <c r="H29" i="31"/>
  <c r="G29" i="31"/>
  <c r="F29" i="31"/>
  <c r="E29" i="31"/>
  <c r="D29" i="31"/>
  <c r="C29" i="31"/>
  <c r="P28" i="31"/>
  <c r="N28" i="31"/>
  <c r="L28" i="31"/>
  <c r="K28" i="31"/>
  <c r="J28" i="31"/>
  <c r="I28" i="31"/>
  <c r="H28" i="31"/>
  <c r="G28" i="31"/>
  <c r="F28" i="31"/>
  <c r="E28" i="31"/>
  <c r="D28" i="31"/>
  <c r="C28" i="31"/>
  <c r="B28" i="31"/>
  <c r="A28" i="31"/>
  <c r="R27" i="31"/>
  <c r="AF14" i="87" s="1"/>
  <c r="C27" i="31"/>
  <c r="A27" i="31"/>
  <c r="P26" i="31"/>
  <c r="N26" i="31"/>
  <c r="L26" i="31"/>
  <c r="K26" i="31"/>
  <c r="J26" i="31"/>
  <c r="I26" i="31"/>
  <c r="H26" i="31"/>
  <c r="G26" i="31"/>
  <c r="F26" i="31"/>
  <c r="E26" i="31"/>
  <c r="D26" i="31"/>
  <c r="C26" i="31"/>
  <c r="B26" i="31"/>
  <c r="A26" i="31"/>
  <c r="R25" i="31"/>
  <c r="C25" i="31"/>
  <c r="B25" i="31"/>
  <c r="A25" i="31"/>
  <c r="P24" i="31"/>
  <c r="N24" i="31"/>
  <c r="L24" i="31"/>
  <c r="K24" i="31"/>
  <c r="J24" i="31"/>
  <c r="I24" i="31"/>
  <c r="H24" i="31"/>
  <c r="G24" i="31"/>
  <c r="F24" i="31"/>
  <c r="E24" i="31"/>
  <c r="D24" i="31"/>
  <c r="C24" i="31"/>
  <c r="P23" i="31"/>
  <c r="N23" i="31"/>
  <c r="L23" i="31"/>
  <c r="K23" i="31"/>
  <c r="J23" i="31"/>
  <c r="I23" i="31"/>
  <c r="H23" i="31"/>
  <c r="G23" i="31"/>
  <c r="F23" i="31"/>
  <c r="E23" i="31"/>
  <c r="D23" i="31"/>
  <c r="C23" i="31"/>
  <c r="B23" i="31"/>
  <c r="A23" i="31"/>
  <c r="R22" i="31"/>
  <c r="AF12" i="87" s="1"/>
  <c r="C22" i="31"/>
  <c r="A22" i="31"/>
  <c r="P21" i="31"/>
  <c r="N21" i="31"/>
  <c r="L21" i="31"/>
  <c r="K21" i="31"/>
  <c r="J21" i="31"/>
  <c r="I21" i="31"/>
  <c r="H21" i="31"/>
  <c r="G21" i="31"/>
  <c r="F21" i="31"/>
  <c r="E21" i="31"/>
  <c r="D21" i="31"/>
  <c r="C21" i="31"/>
  <c r="P20" i="31"/>
  <c r="N20" i="31"/>
  <c r="L20" i="31"/>
  <c r="K20" i="31"/>
  <c r="J20" i="31"/>
  <c r="I20" i="31"/>
  <c r="H20" i="31"/>
  <c r="G20" i="31"/>
  <c r="F20" i="31"/>
  <c r="E20" i="31"/>
  <c r="D20" i="31"/>
  <c r="C20" i="31"/>
  <c r="B20" i="31"/>
  <c r="A20" i="31"/>
  <c r="P19" i="31"/>
  <c r="N19" i="31"/>
  <c r="L19" i="31"/>
  <c r="K19" i="31"/>
  <c r="J19" i="31"/>
  <c r="I19" i="31"/>
  <c r="H19" i="31"/>
  <c r="G19" i="31"/>
  <c r="F19" i="31"/>
  <c r="E19" i="31"/>
  <c r="D19" i="31"/>
  <c r="C19" i="31"/>
  <c r="B19" i="31"/>
  <c r="A19" i="31"/>
  <c r="P18" i="31"/>
  <c r="N18" i="31"/>
  <c r="L18" i="31"/>
  <c r="K18" i="31"/>
  <c r="J18" i="31"/>
  <c r="I18" i="31"/>
  <c r="H18" i="31"/>
  <c r="G18" i="31"/>
  <c r="F18" i="31"/>
  <c r="E18" i="31"/>
  <c r="D18" i="31"/>
  <c r="C18" i="31"/>
  <c r="B18" i="31"/>
  <c r="P17" i="31"/>
  <c r="N17" i="31"/>
  <c r="L17" i="31"/>
  <c r="K17" i="31"/>
  <c r="J17" i="31"/>
  <c r="I17" i="31"/>
  <c r="H17" i="31"/>
  <c r="G17" i="31"/>
  <c r="F17" i="31"/>
  <c r="E17" i="31"/>
  <c r="D17" i="31"/>
  <c r="C17" i="31"/>
  <c r="B17" i="31"/>
  <c r="P16" i="31"/>
  <c r="N16" i="31"/>
  <c r="L16" i="31"/>
  <c r="K16" i="31"/>
  <c r="J16" i="31"/>
  <c r="I16" i="31"/>
  <c r="H16" i="31"/>
  <c r="G16" i="31"/>
  <c r="F16" i="31"/>
  <c r="E16" i="31"/>
  <c r="D16" i="31"/>
  <c r="C16" i="31"/>
  <c r="B16" i="31"/>
  <c r="P15" i="31"/>
  <c r="N15" i="31"/>
  <c r="L15" i="31"/>
  <c r="K15" i="31"/>
  <c r="J15" i="31"/>
  <c r="I15" i="31"/>
  <c r="H15" i="31"/>
  <c r="G15" i="31"/>
  <c r="F15" i="31"/>
  <c r="E15" i="31"/>
  <c r="D15" i="31"/>
  <c r="C15" i="31"/>
  <c r="B15" i="31"/>
  <c r="P14" i="31"/>
  <c r="N14" i="31"/>
  <c r="L14" i="31"/>
  <c r="K14" i="31"/>
  <c r="J14" i="31"/>
  <c r="I14" i="31"/>
  <c r="H14" i="31"/>
  <c r="G14" i="31"/>
  <c r="F14" i="31"/>
  <c r="E14" i="31"/>
  <c r="D14" i="31"/>
  <c r="C14" i="31"/>
  <c r="B14" i="31"/>
  <c r="A14" i="31"/>
  <c r="R13" i="31"/>
  <c r="C13" i="31"/>
  <c r="A13" i="31"/>
  <c r="P12" i="31"/>
  <c r="N12" i="31"/>
  <c r="L12" i="31"/>
  <c r="K12" i="31"/>
  <c r="J12" i="31"/>
  <c r="I12" i="31"/>
  <c r="H12" i="31"/>
  <c r="G12" i="31"/>
  <c r="F12" i="31"/>
  <c r="E12" i="31"/>
  <c r="D12" i="31"/>
  <c r="C12" i="31"/>
  <c r="B12" i="31"/>
  <c r="A12" i="31"/>
  <c r="R11" i="31"/>
  <c r="AF8" i="87" s="1"/>
  <c r="C11" i="31"/>
  <c r="A11" i="31"/>
  <c r="P10" i="31"/>
  <c r="N10" i="31"/>
  <c r="L10" i="31"/>
  <c r="K10" i="31"/>
  <c r="J10" i="31"/>
  <c r="I10" i="31"/>
  <c r="H10" i="31"/>
  <c r="G10" i="31"/>
  <c r="F10" i="31"/>
  <c r="E10" i="31"/>
  <c r="D10" i="31"/>
  <c r="C10" i="31"/>
  <c r="B10" i="31"/>
  <c r="A10" i="31"/>
  <c r="P9" i="31"/>
  <c r="N9" i="31"/>
  <c r="L9" i="31"/>
  <c r="K9" i="31"/>
  <c r="J9" i="31"/>
  <c r="I9" i="31"/>
  <c r="H9" i="31"/>
  <c r="G9" i="31"/>
  <c r="F9" i="31"/>
  <c r="E9" i="31"/>
  <c r="D9" i="31"/>
  <c r="C9" i="31"/>
  <c r="B9" i="31"/>
  <c r="A9" i="31"/>
  <c r="P8" i="31"/>
  <c r="N8" i="31"/>
  <c r="L8" i="31"/>
  <c r="K8" i="31"/>
  <c r="J8" i="31"/>
  <c r="I8" i="31"/>
  <c r="H8" i="31"/>
  <c r="G8" i="31"/>
  <c r="F8" i="31"/>
  <c r="E8" i="31"/>
  <c r="D8" i="31"/>
  <c r="C8" i="31"/>
  <c r="B8" i="31"/>
  <c r="A8" i="31"/>
  <c r="P7" i="31"/>
  <c r="N7" i="31"/>
  <c r="L7" i="31"/>
  <c r="K7" i="31"/>
  <c r="J7" i="31"/>
  <c r="I7" i="31"/>
  <c r="H7" i="31"/>
  <c r="G7" i="31"/>
  <c r="F7" i="31"/>
  <c r="E7" i="31"/>
  <c r="D7" i="31"/>
  <c r="C7" i="31"/>
  <c r="B7" i="31"/>
  <c r="A7" i="31"/>
  <c r="R6" i="31"/>
  <c r="AF5" i="87" s="1"/>
  <c r="C6" i="31"/>
  <c r="A6" i="31"/>
  <c r="C3" i="31"/>
  <c r="C2" i="31"/>
  <c r="A2" i="31"/>
  <c r="P12" i="34"/>
  <c r="N12" i="34"/>
  <c r="L12" i="34"/>
  <c r="K12" i="34"/>
  <c r="J12" i="34"/>
  <c r="I12" i="34"/>
  <c r="H12" i="34"/>
  <c r="G12" i="34"/>
  <c r="F12" i="34"/>
  <c r="E12" i="34"/>
  <c r="D12" i="34"/>
  <c r="C12" i="34"/>
  <c r="B12" i="34"/>
  <c r="A12" i="34"/>
  <c r="R11" i="34"/>
  <c r="C11" i="34"/>
  <c r="A11" i="34"/>
  <c r="P10" i="34"/>
  <c r="N10" i="34"/>
  <c r="L10" i="34"/>
  <c r="K10" i="34"/>
  <c r="J10" i="34"/>
  <c r="I10" i="34"/>
  <c r="H10" i="34"/>
  <c r="G10" i="34"/>
  <c r="F10" i="34"/>
  <c r="E10" i="34"/>
  <c r="D10" i="34"/>
  <c r="C10" i="34"/>
  <c r="B10" i="34"/>
  <c r="P9" i="34"/>
  <c r="N9" i="34"/>
  <c r="L9" i="34"/>
  <c r="K9" i="34"/>
  <c r="J9" i="34"/>
  <c r="I9" i="34"/>
  <c r="H9" i="34"/>
  <c r="G9" i="34"/>
  <c r="F9" i="34"/>
  <c r="E9" i="34"/>
  <c r="D9" i="34"/>
  <c r="C9" i="34"/>
  <c r="B9" i="34"/>
  <c r="A9" i="34"/>
  <c r="R8" i="34"/>
  <c r="C8" i="34"/>
  <c r="A8" i="34"/>
  <c r="P7" i="34"/>
  <c r="N7" i="34"/>
  <c r="L7" i="34"/>
  <c r="K7" i="34"/>
  <c r="J7" i="34"/>
  <c r="I7" i="34"/>
  <c r="H7" i="34"/>
  <c r="G7" i="34"/>
  <c r="F7" i="34"/>
  <c r="E7" i="34"/>
  <c r="D7" i="34"/>
  <c r="C7" i="34"/>
  <c r="B7" i="34"/>
  <c r="A7" i="34"/>
  <c r="R6" i="34"/>
  <c r="C6" i="34"/>
  <c r="A6" i="34"/>
  <c r="C3" i="34"/>
  <c r="C2" i="34"/>
  <c r="A2" i="34"/>
  <c r="P23" i="26"/>
  <c r="N23" i="26"/>
  <c r="L23" i="26"/>
  <c r="K23" i="26"/>
  <c r="J23" i="26"/>
  <c r="I23" i="26"/>
  <c r="H23" i="26"/>
  <c r="G23" i="26"/>
  <c r="F23" i="26"/>
  <c r="E23" i="26"/>
  <c r="D23" i="26"/>
  <c r="C23" i="26"/>
  <c r="B23" i="26"/>
  <c r="A23" i="26"/>
  <c r="R22" i="26"/>
  <c r="R20" i="26" s="1"/>
  <c r="C22" i="26"/>
  <c r="B22" i="26"/>
  <c r="A22" i="26"/>
  <c r="P21" i="26"/>
  <c r="N21" i="26"/>
  <c r="L21" i="26"/>
  <c r="K21" i="26"/>
  <c r="J21" i="26"/>
  <c r="I21" i="26"/>
  <c r="H21" i="26"/>
  <c r="G21" i="26"/>
  <c r="F21" i="26"/>
  <c r="E21" i="26"/>
  <c r="D21" i="26"/>
  <c r="C21" i="26"/>
  <c r="B21" i="26"/>
  <c r="A21" i="26"/>
  <c r="C20" i="26"/>
  <c r="A20" i="26"/>
  <c r="P19" i="26"/>
  <c r="N19" i="26"/>
  <c r="L19" i="26"/>
  <c r="K19" i="26"/>
  <c r="J19" i="26"/>
  <c r="I19" i="26"/>
  <c r="H19" i="26"/>
  <c r="G19" i="26"/>
  <c r="F19" i="26"/>
  <c r="E19" i="26"/>
  <c r="D19" i="26"/>
  <c r="C19" i="26"/>
  <c r="B19" i="26"/>
  <c r="P18" i="26"/>
  <c r="N18" i="26"/>
  <c r="L18" i="26"/>
  <c r="K18" i="26"/>
  <c r="J18" i="26"/>
  <c r="I18" i="26"/>
  <c r="H18" i="26"/>
  <c r="G18" i="26"/>
  <c r="F18" i="26"/>
  <c r="E18" i="26"/>
  <c r="D18" i="26"/>
  <c r="C18" i="26"/>
  <c r="B18" i="26"/>
  <c r="P17" i="26"/>
  <c r="N17" i="26"/>
  <c r="L17" i="26"/>
  <c r="K17" i="26"/>
  <c r="J17" i="26"/>
  <c r="I17" i="26"/>
  <c r="H17" i="26"/>
  <c r="G17" i="26"/>
  <c r="F17" i="26"/>
  <c r="E17" i="26"/>
  <c r="D17" i="26"/>
  <c r="C17" i="26"/>
  <c r="B17" i="26"/>
  <c r="A17" i="26"/>
  <c r="R16" i="26"/>
  <c r="C16" i="26"/>
  <c r="A16" i="26"/>
  <c r="P15" i="26"/>
  <c r="N15" i="26"/>
  <c r="L15" i="26"/>
  <c r="K15" i="26"/>
  <c r="J15" i="26"/>
  <c r="I15" i="26"/>
  <c r="H15" i="26"/>
  <c r="G15" i="26"/>
  <c r="F15" i="26"/>
  <c r="E15" i="26"/>
  <c r="D15" i="26"/>
  <c r="C15" i="26"/>
  <c r="B15" i="26"/>
  <c r="P14" i="26"/>
  <c r="N14" i="26"/>
  <c r="L14" i="26"/>
  <c r="K14" i="26"/>
  <c r="J14" i="26"/>
  <c r="I14" i="26"/>
  <c r="H14" i="26"/>
  <c r="G14" i="26"/>
  <c r="F14" i="26"/>
  <c r="E14" i="26"/>
  <c r="D14" i="26"/>
  <c r="C14" i="26"/>
  <c r="B14" i="26"/>
  <c r="A14" i="26"/>
  <c r="R13" i="26"/>
  <c r="W12" i="87" s="1"/>
  <c r="C13" i="26"/>
  <c r="A13" i="26"/>
  <c r="P12" i="26"/>
  <c r="N12" i="26"/>
  <c r="L12" i="26"/>
  <c r="K12" i="26"/>
  <c r="J12" i="26"/>
  <c r="I12" i="26"/>
  <c r="H12" i="26"/>
  <c r="G12" i="26"/>
  <c r="F12" i="26"/>
  <c r="E12" i="26"/>
  <c r="D12" i="26"/>
  <c r="C12" i="26"/>
  <c r="B12" i="26"/>
  <c r="P11" i="26"/>
  <c r="N11" i="26"/>
  <c r="L11" i="26"/>
  <c r="K11" i="26"/>
  <c r="J11" i="26"/>
  <c r="I11" i="26"/>
  <c r="H11" i="26"/>
  <c r="G11" i="26"/>
  <c r="F11" i="26"/>
  <c r="E11" i="26"/>
  <c r="D11" i="26"/>
  <c r="C11" i="26"/>
  <c r="B11" i="26"/>
  <c r="A11" i="26"/>
  <c r="R10" i="26"/>
  <c r="C10" i="26"/>
  <c r="A10" i="26"/>
  <c r="P9" i="26"/>
  <c r="N9" i="26"/>
  <c r="L9" i="26"/>
  <c r="K9" i="26"/>
  <c r="J9" i="26"/>
  <c r="I9" i="26"/>
  <c r="H9" i="26"/>
  <c r="G9" i="26"/>
  <c r="F9" i="26"/>
  <c r="E9" i="26"/>
  <c r="D9" i="26"/>
  <c r="C9" i="26"/>
  <c r="B9" i="26"/>
  <c r="A9" i="26"/>
  <c r="R8" i="26"/>
  <c r="C8" i="26"/>
  <c r="A8" i="26"/>
  <c r="P7" i="26"/>
  <c r="L7" i="26"/>
  <c r="K7" i="26"/>
  <c r="J7" i="26"/>
  <c r="I7" i="26"/>
  <c r="H7" i="26"/>
  <c r="G7" i="26"/>
  <c r="F7" i="26"/>
  <c r="E7" i="26"/>
  <c r="D7" i="26"/>
  <c r="C7" i="26"/>
  <c r="B7" i="26"/>
  <c r="A7" i="26"/>
  <c r="R6" i="26"/>
  <c r="W4" i="87" s="1"/>
  <c r="C6" i="26"/>
  <c r="B6" i="26"/>
  <c r="A6" i="26"/>
  <c r="C3" i="26"/>
  <c r="C2" i="26"/>
  <c r="A2" i="26"/>
  <c r="P15" i="33"/>
  <c r="N15" i="33"/>
  <c r="L15" i="33"/>
  <c r="K15" i="33"/>
  <c r="J15" i="33"/>
  <c r="I15" i="33"/>
  <c r="H15" i="33"/>
  <c r="G15" i="33"/>
  <c r="F15" i="33"/>
  <c r="E15" i="33"/>
  <c r="D15" i="33"/>
  <c r="C15" i="33"/>
  <c r="B15" i="33"/>
  <c r="A15" i="33"/>
  <c r="R14" i="33"/>
  <c r="C14" i="33"/>
  <c r="A14" i="33"/>
  <c r="P13" i="33"/>
  <c r="N13" i="33"/>
  <c r="L13" i="33"/>
  <c r="K13" i="33"/>
  <c r="J13" i="33"/>
  <c r="I13" i="33"/>
  <c r="H13" i="33"/>
  <c r="G13" i="33"/>
  <c r="F13" i="33"/>
  <c r="E13" i="33"/>
  <c r="D13" i="33"/>
  <c r="C13" i="33"/>
  <c r="B13" i="33"/>
  <c r="A13" i="33"/>
  <c r="R12" i="33"/>
  <c r="V14" i="87" s="1"/>
  <c r="C12" i="33"/>
  <c r="A12" i="33"/>
  <c r="P11" i="33"/>
  <c r="N11" i="33"/>
  <c r="K11" i="33"/>
  <c r="J11" i="33"/>
  <c r="I11" i="33"/>
  <c r="H11" i="33"/>
  <c r="G11" i="33"/>
  <c r="F11" i="33"/>
  <c r="E11" i="33"/>
  <c r="D11" i="33"/>
  <c r="C11" i="33"/>
  <c r="B11" i="33"/>
  <c r="A11" i="33"/>
  <c r="P10" i="33"/>
  <c r="N10" i="33"/>
  <c r="L10" i="33"/>
  <c r="K10" i="33"/>
  <c r="J10" i="33"/>
  <c r="I10" i="33"/>
  <c r="H10" i="33"/>
  <c r="G10" i="33"/>
  <c r="F10" i="33"/>
  <c r="E10" i="33"/>
  <c r="D10" i="33"/>
  <c r="C10" i="33"/>
  <c r="B10" i="33"/>
  <c r="P9" i="33"/>
  <c r="N9" i="33"/>
  <c r="L9" i="33"/>
  <c r="K9" i="33"/>
  <c r="J9" i="33"/>
  <c r="I9" i="33"/>
  <c r="H9" i="33"/>
  <c r="G9" i="33"/>
  <c r="F9" i="33"/>
  <c r="E9" i="33"/>
  <c r="D9" i="33"/>
  <c r="C9" i="33"/>
  <c r="B9" i="33"/>
  <c r="A9" i="33"/>
  <c r="R8" i="33"/>
  <c r="V9" i="87" s="1"/>
  <c r="C8" i="33"/>
  <c r="A8" i="33"/>
  <c r="P7" i="33"/>
  <c r="N7" i="33"/>
  <c r="L7" i="33"/>
  <c r="K7" i="33"/>
  <c r="J7" i="33"/>
  <c r="I7" i="33"/>
  <c r="H7" i="33"/>
  <c r="G7" i="33"/>
  <c r="F7" i="33"/>
  <c r="E7" i="33"/>
  <c r="D7" i="33"/>
  <c r="C7" i="33"/>
  <c r="B7" i="33"/>
  <c r="A7" i="33"/>
  <c r="R6" i="33"/>
  <c r="C6" i="33"/>
  <c r="A6" i="33"/>
  <c r="C3" i="33"/>
  <c r="C2" i="33"/>
  <c r="A2" i="33"/>
  <c r="P22" i="44"/>
  <c r="N22" i="44"/>
  <c r="L22" i="44"/>
  <c r="K22" i="44"/>
  <c r="J22" i="44"/>
  <c r="I22" i="44"/>
  <c r="H22" i="44"/>
  <c r="G22" i="44"/>
  <c r="F22" i="44"/>
  <c r="E22" i="44"/>
  <c r="D22" i="44"/>
  <c r="C22" i="44"/>
  <c r="B22" i="44"/>
  <c r="A22" i="44"/>
  <c r="P21" i="44"/>
  <c r="N21" i="44"/>
  <c r="L21" i="44"/>
  <c r="K21" i="44"/>
  <c r="J21" i="44"/>
  <c r="I21" i="44"/>
  <c r="H21" i="44"/>
  <c r="G21" i="44"/>
  <c r="F21" i="44"/>
  <c r="E21" i="44"/>
  <c r="D21" i="44"/>
  <c r="C21" i="44"/>
  <c r="B21" i="44"/>
  <c r="A21" i="44"/>
  <c r="P20" i="44"/>
  <c r="N20" i="44"/>
  <c r="L20" i="44"/>
  <c r="K20" i="44"/>
  <c r="J20" i="44"/>
  <c r="I20" i="44"/>
  <c r="H20" i="44"/>
  <c r="G20" i="44"/>
  <c r="F20" i="44"/>
  <c r="E20" i="44"/>
  <c r="D20" i="44"/>
  <c r="C20" i="44"/>
  <c r="B20" i="44"/>
  <c r="A20" i="44"/>
  <c r="R19" i="44"/>
  <c r="U19" i="87" s="1"/>
  <c r="C19" i="44"/>
  <c r="A19" i="44"/>
  <c r="P18" i="44"/>
  <c r="N18" i="44"/>
  <c r="L18" i="44"/>
  <c r="K18" i="44"/>
  <c r="J18" i="44"/>
  <c r="I18" i="44"/>
  <c r="H18" i="44"/>
  <c r="G18" i="44"/>
  <c r="F18" i="44"/>
  <c r="E18" i="44"/>
  <c r="D18" i="44"/>
  <c r="C18" i="44"/>
  <c r="B18" i="44"/>
  <c r="A18" i="44"/>
  <c r="R17" i="44"/>
  <c r="C17" i="44"/>
  <c r="A17" i="44"/>
  <c r="P16" i="44"/>
  <c r="N16" i="44"/>
  <c r="L16" i="44"/>
  <c r="K16" i="44"/>
  <c r="J16" i="44"/>
  <c r="I16" i="44"/>
  <c r="H16" i="44"/>
  <c r="G16" i="44"/>
  <c r="F16" i="44"/>
  <c r="E16" i="44"/>
  <c r="D16" i="44"/>
  <c r="C16" i="44"/>
  <c r="B16" i="44"/>
  <c r="P15" i="44"/>
  <c r="N15" i="44"/>
  <c r="L15" i="44"/>
  <c r="K15" i="44"/>
  <c r="J15" i="44"/>
  <c r="I15" i="44"/>
  <c r="H15" i="44"/>
  <c r="G15" i="44"/>
  <c r="F15" i="44"/>
  <c r="E15" i="44"/>
  <c r="D15" i="44"/>
  <c r="C15" i="44"/>
  <c r="B15" i="44"/>
  <c r="A15" i="44"/>
  <c r="R14" i="44"/>
  <c r="U14" i="87" s="1"/>
  <c r="C14" i="44"/>
  <c r="A14" i="44"/>
  <c r="P13" i="44"/>
  <c r="N13" i="44"/>
  <c r="L13" i="44"/>
  <c r="K13" i="44"/>
  <c r="J13" i="44"/>
  <c r="I13" i="44"/>
  <c r="H13" i="44"/>
  <c r="G13" i="44"/>
  <c r="F13" i="44"/>
  <c r="E13" i="44"/>
  <c r="D13" i="44"/>
  <c r="C13" i="44"/>
  <c r="P12" i="44"/>
  <c r="N12" i="44"/>
  <c r="L12" i="44"/>
  <c r="K12" i="44"/>
  <c r="J12" i="44"/>
  <c r="I12" i="44"/>
  <c r="H12" i="44"/>
  <c r="G12" i="44"/>
  <c r="F12" i="44"/>
  <c r="E12" i="44"/>
  <c r="D12" i="44"/>
  <c r="C12" i="44"/>
  <c r="B12" i="44"/>
  <c r="A12" i="44"/>
  <c r="R11" i="44"/>
  <c r="C11" i="44"/>
  <c r="A11" i="44"/>
  <c r="P10" i="44"/>
  <c r="N10" i="44"/>
  <c r="L10" i="44"/>
  <c r="K10" i="44"/>
  <c r="J10" i="44"/>
  <c r="I10" i="44"/>
  <c r="H10" i="44"/>
  <c r="G10" i="44"/>
  <c r="F10" i="44"/>
  <c r="E10" i="44"/>
  <c r="D10" i="44"/>
  <c r="C10" i="44"/>
  <c r="B10" i="44"/>
  <c r="A10" i="44"/>
  <c r="P9" i="44"/>
  <c r="N9" i="44"/>
  <c r="L9" i="44"/>
  <c r="K9" i="44"/>
  <c r="J9" i="44"/>
  <c r="I9" i="44"/>
  <c r="H9" i="44"/>
  <c r="G9" i="44"/>
  <c r="F9" i="44"/>
  <c r="E9" i="44"/>
  <c r="D9" i="44"/>
  <c r="C9" i="44"/>
  <c r="B9" i="44"/>
  <c r="A9" i="44"/>
  <c r="P8" i="44"/>
  <c r="N8" i="44"/>
  <c r="L8" i="44"/>
  <c r="K8" i="44"/>
  <c r="J8" i="44"/>
  <c r="I8" i="44"/>
  <c r="H8" i="44"/>
  <c r="G8" i="44"/>
  <c r="F8" i="44"/>
  <c r="E8" i="44"/>
  <c r="D8" i="44"/>
  <c r="C8" i="44"/>
  <c r="B8" i="44"/>
  <c r="A8" i="44"/>
  <c r="P7" i="44"/>
  <c r="N7" i="44"/>
  <c r="L7" i="44"/>
  <c r="K7" i="44"/>
  <c r="J7" i="44"/>
  <c r="I7" i="44"/>
  <c r="H7" i="44"/>
  <c r="G7" i="44"/>
  <c r="F7" i="44"/>
  <c r="E7" i="44"/>
  <c r="D7" i="44"/>
  <c r="C7" i="44"/>
  <c r="B7" i="44"/>
  <c r="A7" i="44"/>
  <c r="R6" i="44"/>
  <c r="U4" i="87" s="1"/>
  <c r="C6" i="44"/>
  <c r="A6" i="44"/>
  <c r="F3" i="44"/>
  <c r="C3" i="44"/>
  <c r="F2" i="44"/>
  <c r="C2" i="44"/>
  <c r="A2" i="44"/>
  <c r="P21" i="43"/>
  <c r="N21" i="43"/>
  <c r="L21" i="43"/>
  <c r="K21" i="43"/>
  <c r="J21" i="43"/>
  <c r="I21" i="43"/>
  <c r="H21" i="43"/>
  <c r="G21" i="43"/>
  <c r="F21" i="43"/>
  <c r="E21" i="43"/>
  <c r="D21" i="43"/>
  <c r="C21" i="43"/>
  <c r="B21" i="43"/>
  <c r="A21" i="43"/>
  <c r="W22" i="87" l="1"/>
  <c r="AF22" i="87"/>
  <c r="V22" i="87"/>
  <c r="F2" i="23"/>
  <c r="AG5" i="87"/>
  <c r="AG22" i="87" s="1"/>
  <c r="U22" i="87"/>
  <c r="F2" i="33"/>
  <c r="F2" i="34"/>
  <c r="G14" i="72"/>
  <c r="H14" i="72"/>
  <c r="F2" i="31"/>
  <c r="F14" i="72"/>
  <c r="F2" i="26"/>
  <c r="P7" i="72"/>
  <c r="R20" i="43"/>
  <c r="C20" i="43"/>
  <c r="A20" i="43"/>
  <c r="P18" i="43"/>
  <c r="N18" i="43"/>
  <c r="L18" i="43"/>
  <c r="K18" i="43"/>
  <c r="J18" i="43"/>
  <c r="I18" i="43"/>
  <c r="H18" i="43"/>
  <c r="G18" i="43"/>
  <c r="F18" i="43"/>
  <c r="E18" i="43"/>
  <c r="D18" i="43"/>
  <c r="C18" i="43"/>
  <c r="B18" i="43"/>
  <c r="A18" i="43"/>
  <c r="R17" i="43"/>
  <c r="C17" i="43"/>
  <c r="A17" i="43"/>
  <c r="P16" i="43"/>
  <c r="N16" i="43"/>
  <c r="L16" i="43"/>
  <c r="K16" i="43"/>
  <c r="J16" i="43"/>
  <c r="I16" i="43"/>
  <c r="H16" i="43"/>
  <c r="G16" i="43"/>
  <c r="F16" i="43"/>
  <c r="E16" i="43"/>
  <c r="D16" i="43"/>
  <c r="C16" i="43"/>
  <c r="B16" i="43"/>
  <c r="P15" i="43"/>
  <c r="N15" i="43"/>
  <c r="L15" i="43"/>
  <c r="K15" i="43"/>
  <c r="J15" i="43"/>
  <c r="I15" i="43"/>
  <c r="H15" i="43"/>
  <c r="G15" i="43"/>
  <c r="F15" i="43"/>
  <c r="E15" i="43"/>
  <c r="D15" i="43"/>
  <c r="C15" i="43"/>
  <c r="B15" i="43"/>
  <c r="A15" i="43"/>
  <c r="R14" i="43"/>
  <c r="T14" i="87" s="1"/>
  <c r="C14" i="43"/>
  <c r="A14" i="43"/>
  <c r="P13" i="43"/>
  <c r="N13" i="43"/>
  <c r="L13" i="43"/>
  <c r="K13" i="43"/>
  <c r="J13" i="43"/>
  <c r="I13" i="43"/>
  <c r="H13" i="43"/>
  <c r="G13" i="43"/>
  <c r="F13" i="43"/>
  <c r="E13" i="43"/>
  <c r="D13" i="43"/>
  <c r="C13" i="43"/>
  <c r="B13" i="43"/>
  <c r="P12" i="43"/>
  <c r="N12" i="43"/>
  <c r="L12" i="43"/>
  <c r="K12" i="43"/>
  <c r="J12" i="43"/>
  <c r="I12" i="43"/>
  <c r="H12" i="43"/>
  <c r="G12" i="43"/>
  <c r="F12" i="43"/>
  <c r="E12" i="43"/>
  <c r="D12" i="43"/>
  <c r="C12" i="43"/>
  <c r="B12" i="43"/>
  <c r="P11" i="43"/>
  <c r="N11" i="43"/>
  <c r="L11" i="43"/>
  <c r="K11" i="43"/>
  <c r="J11" i="43"/>
  <c r="I11" i="43"/>
  <c r="H11" i="43"/>
  <c r="G11" i="43"/>
  <c r="F11" i="43"/>
  <c r="E11" i="43"/>
  <c r="D11" i="43"/>
  <c r="C11" i="43"/>
  <c r="B11" i="43"/>
  <c r="P10" i="43"/>
  <c r="N10" i="43"/>
  <c r="L10" i="43"/>
  <c r="K10" i="43"/>
  <c r="J10" i="43"/>
  <c r="I10" i="43"/>
  <c r="H10" i="43"/>
  <c r="G10" i="43"/>
  <c r="F10" i="43"/>
  <c r="E10" i="43"/>
  <c r="D10" i="43"/>
  <c r="C10" i="43"/>
  <c r="B10" i="43"/>
  <c r="A10" i="43"/>
  <c r="C9" i="43"/>
  <c r="A9" i="43"/>
  <c r="P8" i="43"/>
  <c r="N8" i="43"/>
  <c r="L8" i="43"/>
  <c r="K8" i="43"/>
  <c r="J8" i="43"/>
  <c r="I8" i="43"/>
  <c r="H8" i="43"/>
  <c r="G8" i="43"/>
  <c r="F8" i="43"/>
  <c r="E8" i="43"/>
  <c r="D8" i="43"/>
  <c r="C8" i="43"/>
  <c r="B8" i="43"/>
  <c r="P7" i="43"/>
  <c r="N7" i="43"/>
  <c r="L7" i="43"/>
  <c r="K7" i="43"/>
  <c r="J7" i="43"/>
  <c r="I7" i="43"/>
  <c r="H7" i="43"/>
  <c r="G7" i="43"/>
  <c r="F7" i="43"/>
  <c r="E7" i="43"/>
  <c r="D7" i="43"/>
  <c r="C7" i="43"/>
  <c r="B7" i="43"/>
  <c r="A7" i="43"/>
  <c r="R6" i="43"/>
  <c r="T9" i="87" s="1"/>
  <c r="C6" i="43"/>
  <c r="A6" i="43"/>
  <c r="C3" i="43"/>
  <c r="C2" i="43"/>
  <c r="A2" i="43"/>
  <c r="P21" i="71"/>
  <c r="N21" i="71"/>
  <c r="L21" i="71"/>
  <c r="K21" i="71"/>
  <c r="J21" i="71"/>
  <c r="I21" i="71"/>
  <c r="H21" i="71"/>
  <c r="G21" i="71"/>
  <c r="F21" i="71"/>
  <c r="E21" i="71"/>
  <c r="D21" i="71"/>
  <c r="C21" i="71"/>
  <c r="B21" i="71"/>
  <c r="A21" i="71"/>
  <c r="P20" i="71"/>
  <c r="N20" i="71"/>
  <c r="L20" i="71"/>
  <c r="K20" i="71"/>
  <c r="J20" i="71"/>
  <c r="I20" i="71"/>
  <c r="H20" i="71"/>
  <c r="G20" i="71"/>
  <c r="F20" i="71"/>
  <c r="E20" i="71"/>
  <c r="D20" i="71"/>
  <c r="C20" i="71"/>
  <c r="B20" i="71"/>
  <c r="A20" i="71"/>
  <c r="R19" i="71"/>
  <c r="S19" i="87" s="1"/>
  <c r="C19" i="71"/>
  <c r="B19" i="71"/>
  <c r="A19" i="71"/>
  <c r="P18" i="71"/>
  <c r="N18" i="71"/>
  <c r="L18" i="71"/>
  <c r="K18" i="71"/>
  <c r="J18" i="71"/>
  <c r="I18" i="71"/>
  <c r="H18" i="71"/>
  <c r="G18" i="71"/>
  <c r="F18" i="71"/>
  <c r="E18" i="71"/>
  <c r="D18" i="71"/>
  <c r="C18" i="71"/>
  <c r="B18" i="71"/>
  <c r="A18" i="71"/>
  <c r="R17" i="71"/>
  <c r="S15" i="87" s="1"/>
  <c r="C17" i="71"/>
  <c r="A17" i="71"/>
  <c r="P16" i="71"/>
  <c r="N16" i="71"/>
  <c r="L16" i="71"/>
  <c r="K16" i="71"/>
  <c r="J16" i="71"/>
  <c r="I16" i="71"/>
  <c r="H16" i="71"/>
  <c r="G16" i="71"/>
  <c r="F16" i="71"/>
  <c r="E16" i="71"/>
  <c r="D16" i="71"/>
  <c r="C16" i="71"/>
  <c r="B16" i="71"/>
  <c r="A16" i="71"/>
  <c r="R15" i="71"/>
  <c r="S14" i="87" s="1"/>
  <c r="C15" i="71"/>
  <c r="A15" i="71"/>
  <c r="P14" i="71"/>
  <c r="N14" i="71"/>
  <c r="L14" i="71"/>
  <c r="K14" i="71"/>
  <c r="J14" i="71"/>
  <c r="I14" i="71"/>
  <c r="H14" i="71"/>
  <c r="G14" i="71"/>
  <c r="F14" i="71"/>
  <c r="E14" i="71"/>
  <c r="D14" i="71"/>
  <c r="C14" i="71"/>
  <c r="B14" i="71"/>
  <c r="A14" i="71"/>
  <c r="R13" i="71"/>
  <c r="C13" i="71"/>
  <c r="A13" i="71"/>
  <c r="P12" i="71"/>
  <c r="N12" i="71"/>
  <c r="L12" i="71"/>
  <c r="K12" i="71"/>
  <c r="J12" i="71"/>
  <c r="I12" i="71"/>
  <c r="H12" i="71"/>
  <c r="G12" i="71"/>
  <c r="F12" i="71"/>
  <c r="E12" i="71"/>
  <c r="D12" i="71"/>
  <c r="C12" i="71"/>
  <c r="B12" i="71"/>
  <c r="P11" i="71"/>
  <c r="N11" i="71"/>
  <c r="L11" i="71"/>
  <c r="K11" i="71"/>
  <c r="J11" i="71"/>
  <c r="I11" i="71"/>
  <c r="H11" i="71"/>
  <c r="G11" i="71"/>
  <c r="F11" i="71"/>
  <c r="E11" i="71"/>
  <c r="D11" i="71"/>
  <c r="C11" i="71"/>
  <c r="B11" i="71"/>
  <c r="A11" i="71"/>
  <c r="R10" i="71"/>
  <c r="S12" i="87" s="1"/>
  <c r="C10" i="71"/>
  <c r="A10" i="71"/>
  <c r="P9" i="71"/>
  <c r="N9" i="71"/>
  <c r="L9" i="71"/>
  <c r="K9" i="71"/>
  <c r="J9" i="71"/>
  <c r="I9" i="71"/>
  <c r="H9" i="71"/>
  <c r="G9" i="71"/>
  <c r="F9" i="71"/>
  <c r="E9" i="71"/>
  <c r="D9" i="71"/>
  <c r="C9" i="71"/>
  <c r="B9" i="71"/>
  <c r="A9" i="71"/>
  <c r="R8" i="71"/>
  <c r="C8" i="71"/>
  <c r="A8" i="71"/>
  <c r="P7" i="71"/>
  <c r="N7" i="71"/>
  <c r="L7" i="71"/>
  <c r="K7" i="71"/>
  <c r="G7" i="71"/>
  <c r="F7" i="71"/>
  <c r="E7" i="71"/>
  <c r="D7" i="71"/>
  <c r="C7" i="71"/>
  <c r="B7" i="71"/>
  <c r="A7" i="71"/>
  <c r="R6" i="71"/>
  <c r="S6" i="87" s="1"/>
  <c r="C6" i="71"/>
  <c r="A6" i="71"/>
  <c r="C3" i="71"/>
  <c r="C2" i="71"/>
  <c r="A2" i="71"/>
  <c r="P23" i="53"/>
  <c r="N23" i="53"/>
  <c r="L23" i="53"/>
  <c r="K23" i="53"/>
  <c r="J23" i="53"/>
  <c r="I23" i="53"/>
  <c r="H23" i="53"/>
  <c r="G23" i="53"/>
  <c r="F23" i="53"/>
  <c r="E23" i="53"/>
  <c r="D23" i="53"/>
  <c r="C23" i="53"/>
  <c r="B23" i="53"/>
  <c r="A23" i="53"/>
  <c r="R22" i="53"/>
  <c r="C22" i="53"/>
  <c r="P21" i="53"/>
  <c r="N21" i="53"/>
  <c r="L21" i="53"/>
  <c r="K21" i="53"/>
  <c r="J21" i="53"/>
  <c r="I21" i="53"/>
  <c r="H21" i="53"/>
  <c r="G21" i="53"/>
  <c r="F21" i="53"/>
  <c r="E21" i="53"/>
  <c r="D21" i="53"/>
  <c r="C21" i="53"/>
  <c r="B21" i="53"/>
  <c r="A21" i="53"/>
  <c r="R20" i="53"/>
  <c r="C20" i="53"/>
  <c r="A20" i="53"/>
  <c r="P19" i="53"/>
  <c r="N19" i="53"/>
  <c r="L19" i="53"/>
  <c r="K19" i="53"/>
  <c r="J19" i="53"/>
  <c r="I19" i="53"/>
  <c r="H19" i="53"/>
  <c r="G19" i="53"/>
  <c r="F19" i="53"/>
  <c r="E19" i="53"/>
  <c r="D19" i="53"/>
  <c r="C19" i="53"/>
  <c r="B19" i="53"/>
  <c r="A19" i="53"/>
  <c r="R18" i="53"/>
  <c r="C18" i="53"/>
  <c r="A18" i="53"/>
  <c r="P17" i="53"/>
  <c r="N17" i="53"/>
  <c r="L17" i="53"/>
  <c r="K17" i="53"/>
  <c r="J17" i="53"/>
  <c r="I17" i="53"/>
  <c r="H17" i="53"/>
  <c r="G17" i="53"/>
  <c r="F17" i="53"/>
  <c r="E17" i="53"/>
  <c r="D17" i="53"/>
  <c r="C17" i="53"/>
  <c r="B17" i="53"/>
  <c r="P16" i="53"/>
  <c r="N16" i="53"/>
  <c r="L16" i="53"/>
  <c r="K16" i="53"/>
  <c r="J16" i="53"/>
  <c r="I16" i="53"/>
  <c r="H16" i="53"/>
  <c r="G16" i="53"/>
  <c r="F16" i="53"/>
  <c r="E16" i="53"/>
  <c r="D16" i="53"/>
  <c r="C16" i="53"/>
  <c r="B16" i="53"/>
  <c r="A16" i="53"/>
  <c r="R15" i="53"/>
  <c r="C15" i="53"/>
  <c r="A15" i="53"/>
  <c r="P14" i="53"/>
  <c r="N14" i="53"/>
  <c r="L14" i="53"/>
  <c r="K14" i="53"/>
  <c r="J14" i="53"/>
  <c r="I14" i="53"/>
  <c r="H14" i="53"/>
  <c r="G14" i="53"/>
  <c r="F14" i="53"/>
  <c r="E14" i="53"/>
  <c r="D14" i="53"/>
  <c r="C14" i="53"/>
  <c r="B14" i="53"/>
  <c r="P13" i="53"/>
  <c r="N13" i="53"/>
  <c r="L13" i="53"/>
  <c r="K13" i="53"/>
  <c r="J13" i="53"/>
  <c r="I13" i="53"/>
  <c r="H13" i="53"/>
  <c r="G13" i="53"/>
  <c r="F13" i="53"/>
  <c r="E13" i="53"/>
  <c r="D13" i="53"/>
  <c r="C13" i="53"/>
  <c r="B13" i="53"/>
  <c r="A13" i="53"/>
  <c r="P12" i="53"/>
  <c r="N12" i="53"/>
  <c r="L12" i="53"/>
  <c r="K12" i="53"/>
  <c r="J12" i="53"/>
  <c r="I12" i="53"/>
  <c r="H12" i="53"/>
  <c r="G12" i="53"/>
  <c r="F12" i="53"/>
  <c r="E12" i="53"/>
  <c r="D12" i="53"/>
  <c r="C12" i="53"/>
  <c r="B12" i="53"/>
  <c r="P11" i="53"/>
  <c r="N11" i="53"/>
  <c r="L11" i="53"/>
  <c r="K11" i="53"/>
  <c r="J11" i="53"/>
  <c r="I11" i="53"/>
  <c r="H11" i="53"/>
  <c r="G11" i="53"/>
  <c r="F11" i="53"/>
  <c r="E11" i="53"/>
  <c r="D11" i="53"/>
  <c r="C11" i="53"/>
  <c r="B11" i="53"/>
  <c r="A11" i="53"/>
  <c r="R10" i="53"/>
  <c r="M9" i="87" s="1"/>
  <c r="M22" i="87" s="1"/>
  <c r="C10" i="53"/>
  <c r="A10" i="53"/>
  <c r="P9" i="53"/>
  <c r="N9" i="53"/>
  <c r="L9" i="53"/>
  <c r="K9" i="53"/>
  <c r="J9" i="53"/>
  <c r="I9" i="53"/>
  <c r="H9" i="53"/>
  <c r="G9" i="53"/>
  <c r="F9" i="53"/>
  <c r="E9" i="53"/>
  <c r="D9" i="53"/>
  <c r="C9" i="53"/>
  <c r="B9" i="53"/>
  <c r="A9" i="53"/>
  <c r="P8" i="53"/>
  <c r="N8" i="53"/>
  <c r="L8" i="53"/>
  <c r="K8" i="53"/>
  <c r="J8" i="53"/>
  <c r="I8" i="53"/>
  <c r="H8" i="53"/>
  <c r="G8" i="53"/>
  <c r="F8" i="53"/>
  <c r="E8" i="53"/>
  <c r="D8" i="53"/>
  <c r="C8" i="53"/>
  <c r="B8" i="53"/>
  <c r="A8" i="53"/>
  <c r="P7" i="53"/>
  <c r="N7" i="53"/>
  <c r="L7" i="53"/>
  <c r="K7" i="53"/>
  <c r="J7" i="53"/>
  <c r="I7" i="53"/>
  <c r="H7" i="53"/>
  <c r="G7" i="53"/>
  <c r="F7" i="53"/>
  <c r="E7" i="53"/>
  <c r="D7" i="53"/>
  <c r="C7" i="53"/>
  <c r="B7" i="53"/>
  <c r="A7" i="53"/>
  <c r="R6" i="53"/>
  <c r="C6" i="53"/>
  <c r="B6" i="53"/>
  <c r="A6" i="53"/>
  <c r="C3" i="53"/>
  <c r="C2" i="53"/>
  <c r="B2" i="53"/>
  <c r="A2" i="53"/>
  <c r="P73" i="24"/>
  <c r="N73" i="24"/>
  <c r="L73" i="24"/>
  <c r="K73" i="24"/>
  <c r="J73" i="24"/>
  <c r="I73" i="24"/>
  <c r="H73" i="24"/>
  <c r="G73" i="24"/>
  <c r="F73" i="24"/>
  <c r="E73" i="24"/>
  <c r="D73" i="24"/>
  <c r="C73" i="24"/>
  <c r="B73" i="24"/>
  <c r="A73" i="24"/>
  <c r="P72" i="24"/>
  <c r="N72" i="24"/>
  <c r="L72" i="24"/>
  <c r="K72" i="24"/>
  <c r="J72" i="24"/>
  <c r="I72" i="24"/>
  <c r="H72" i="24"/>
  <c r="G72" i="24"/>
  <c r="F72" i="24"/>
  <c r="E72" i="24"/>
  <c r="D72" i="24"/>
  <c r="C72" i="24"/>
  <c r="B72" i="24"/>
  <c r="A72" i="24"/>
  <c r="P71" i="24"/>
  <c r="N71" i="24"/>
  <c r="L71" i="24"/>
  <c r="K71" i="24"/>
  <c r="J71" i="24"/>
  <c r="I71" i="24"/>
  <c r="H71" i="24"/>
  <c r="G71" i="24"/>
  <c r="F71" i="24"/>
  <c r="E71" i="24"/>
  <c r="D71" i="24"/>
  <c r="C71" i="24"/>
  <c r="B71" i="24"/>
  <c r="A71" i="24"/>
  <c r="P70" i="24"/>
  <c r="N70" i="24"/>
  <c r="L70" i="24"/>
  <c r="K70" i="24"/>
  <c r="J70" i="24"/>
  <c r="I70" i="24"/>
  <c r="H70" i="24"/>
  <c r="G70" i="24"/>
  <c r="F70" i="24"/>
  <c r="E70" i="24"/>
  <c r="D70" i="24"/>
  <c r="C70" i="24"/>
  <c r="B70" i="24"/>
  <c r="A70" i="24"/>
  <c r="P69" i="24"/>
  <c r="N69" i="24"/>
  <c r="L69" i="24"/>
  <c r="K69" i="24"/>
  <c r="J69" i="24"/>
  <c r="I69" i="24"/>
  <c r="H69" i="24"/>
  <c r="G69" i="24"/>
  <c r="F69" i="24"/>
  <c r="E69" i="24"/>
  <c r="D69" i="24"/>
  <c r="C69" i="24"/>
  <c r="B69" i="24"/>
  <c r="A69" i="24"/>
  <c r="P68" i="24"/>
  <c r="N68" i="24"/>
  <c r="L68" i="24"/>
  <c r="K68" i="24"/>
  <c r="J68" i="24"/>
  <c r="I68" i="24"/>
  <c r="H68" i="24"/>
  <c r="G68" i="24"/>
  <c r="F68" i="24"/>
  <c r="E68" i="24"/>
  <c r="D68" i="24"/>
  <c r="C68" i="24"/>
  <c r="B68" i="24"/>
  <c r="A68" i="24"/>
  <c r="P67" i="24"/>
  <c r="N67" i="24"/>
  <c r="L67" i="24"/>
  <c r="K67" i="24"/>
  <c r="J67" i="24"/>
  <c r="I67" i="24"/>
  <c r="H67" i="24"/>
  <c r="G67" i="24"/>
  <c r="F67" i="24"/>
  <c r="E67" i="24"/>
  <c r="D67" i="24"/>
  <c r="C67" i="24"/>
  <c r="B67" i="24"/>
  <c r="A67" i="24"/>
  <c r="P66" i="24"/>
  <c r="N66" i="24"/>
  <c r="L66" i="24"/>
  <c r="K66" i="24"/>
  <c r="J66" i="24"/>
  <c r="I66" i="24"/>
  <c r="H66" i="24"/>
  <c r="G66" i="24"/>
  <c r="F66" i="24"/>
  <c r="E66" i="24"/>
  <c r="D66" i="24"/>
  <c r="C66" i="24"/>
  <c r="B66" i="24"/>
  <c r="A66" i="24"/>
  <c r="P65" i="24"/>
  <c r="N65" i="24"/>
  <c r="L65" i="24"/>
  <c r="K65" i="24"/>
  <c r="J65" i="24"/>
  <c r="I65" i="24"/>
  <c r="H65" i="24"/>
  <c r="G65" i="24"/>
  <c r="F65" i="24"/>
  <c r="E65" i="24"/>
  <c r="D65" i="24"/>
  <c r="C65" i="24"/>
  <c r="B65" i="24"/>
  <c r="A65" i="24"/>
  <c r="P64" i="24"/>
  <c r="N64" i="24"/>
  <c r="L64" i="24"/>
  <c r="K64" i="24"/>
  <c r="J64" i="24"/>
  <c r="I64" i="24"/>
  <c r="H64" i="24"/>
  <c r="G64" i="24"/>
  <c r="F64" i="24"/>
  <c r="E64" i="24"/>
  <c r="D64" i="24"/>
  <c r="C64" i="24"/>
  <c r="B64" i="24"/>
  <c r="A64" i="24"/>
  <c r="P63" i="24"/>
  <c r="N63" i="24"/>
  <c r="L63" i="24"/>
  <c r="K63" i="24"/>
  <c r="J63" i="24"/>
  <c r="H63" i="24"/>
  <c r="G63" i="24"/>
  <c r="F63" i="24"/>
  <c r="E63" i="24"/>
  <c r="D63" i="24"/>
  <c r="C63" i="24"/>
  <c r="B63" i="24"/>
  <c r="A63" i="24"/>
  <c r="P62" i="24"/>
  <c r="N62" i="24"/>
  <c r="L62" i="24"/>
  <c r="K62" i="24"/>
  <c r="J62" i="24"/>
  <c r="I62" i="24"/>
  <c r="H62" i="24"/>
  <c r="G62" i="24"/>
  <c r="F62" i="24"/>
  <c r="E62" i="24"/>
  <c r="D62" i="24"/>
  <c r="C62" i="24"/>
  <c r="B62" i="24"/>
  <c r="A62" i="24"/>
  <c r="R61" i="24"/>
  <c r="AJ19" i="87" s="1"/>
  <c r="C61" i="24"/>
  <c r="A61" i="24"/>
  <c r="P60" i="24"/>
  <c r="N60" i="24"/>
  <c r="L60" i="24"/>
  <c r="K60" i="24"/>
  <c r="J60" i="24"/>
  <c r="I60" i="24"/>
  <c r="H60" i="24"/>
  <c r="G60" i="24"/>
  <c r="F60" i="24"/>
  <c r="E60" i="24"/>
  <c r="D60" i="24"/>
  <c r="C60" i="24"/>
  <c r="A60" i="24"/>
  <c r="P59" i="24"/>
  <c r="N59" i="24"/>
  <c r="L59" i="24"/>
  <c r="K59" i="24"/>
  <c r="J59" i="24"/>
  <c r="I59" i="24"/>
  <c r="H59" i="24"/>
  <c r="G59" i="24"/>
  <c r="F59" i="24"/>
  <c r="E59" i="24"/>
  <c r="D59" i="24"/>
  <c r="C59" i="24"/>
  <c r="B59" i="24"/>
  <c r="A59" i="24"/>
  <c r="P58" i="24"/>
  <c r="N58" i="24"/>
  <c r="L58" i="24"/>
  <c r="K58" i="24"/>
  <c r="J58" i="24"/>
  <c r="I58" i="24"/>
  <c r="H58" i="24"/>
  <c r="G58" i="24"/>
  <c r="F58" i="24"/>
  <c r="E58" i="24"/>
  <c r="D58" i="24"/>
  <c r="C58" i="24"/>
  <c r="B58" i="24"/>
  <c r="A58" i="24"/>
  <c r="P57" i="24"/>
  <c r="N57" i="24"/>
  <c r="L57" i="24"/>
  <c r="K57" i="24"/>
  <c r="J57" i="24"/>
  <c r="I57" i="24"/>
  <c r="H57" i="24"/>
  <c r="G57" i="24"/>
  <c r="F57" i="24"/>
  <c r="E57" i="24"/>
  <c r="D57" i="24"/>
  <c r="C57" i="24"/>
  <c r="B57" i="24"/>
  <c r="A57" i="24"/>
  <c r="R56" i="24"/>
  <c r="C56" i="24"/>
  <c r="A56" i="24"/>
  <c r="P55" i="24"/>
  <c r="N55" i="24"/>
  <c r="L55" i="24"/>
  <c r="K55" i="24"/>
  <c r="J55" i="24"/>
  <c r="I55" i="24"/>
  <c r="H55" i="24"/>
  <c r="G55" i="24"/>
  <c r="F55" i="24"/>
  <c r="E55" i="24"/>
  <c r="D55" i="24"/>
  <c r="C55" i="24"/>
  <c r="B55" i="24"/>
  <c r="P54" i="24"/>
  <c r="L54" i="24"/>
  <c r="K54" i="24"/>
  <c r="J54" i="24"/>
  <c r="I54" i="24"/>
  <c r="H54" i="24"/>
  <c r="G54" i="24"/>
  <c r="F54" i="24"/>
  <c r="E54" i="24"/>
  <c r="D54" i="24"/>
  <c r="C54" i="24"/>
  <c r="B54" i="24"/>
  <c r="P53" i="24"/>
  <c r="N53" i="24"/>
  <c r="L53" i="24"/>
  <c r="K53" i="24"/>
  <c r="J53" i="24"/>
  <c r="I53" i="24"/>
  <c r="H53" i="24"/>
  <c r="G53" i="24"/>
  <c r="F53" i="24"/>
  <c r="E53" i="24"/>
  <c r="D53" i="24"/>
  <c r="C53" i="24"/>
  <c r="B53" i="24"/>
  <c r="P52" i="24"/>
  <c r="N52" i="24"/>
  <c r="L52" i="24"/>
  <c r="K52" i="24"/>
  <c r="J52" i="24"/>
  <c r="I52" i="24"/>
  <c r="H52" i="24"/>
  <c r="G52" i="24"/>
  <c r="F52" i="24"/>
  <c r="E52" i="24"/>
  <c r="D52" i="24"/>
  <c r="C52" i="24"/>
  <c r="B52" i="24"/>
  <c r="A52" i="24"/>
  <c r="R51" i="24"/>
  <c r="AJ15" i="87" s="1"/>
  <c r="C51" i="24"/>
  <c r="A51" i="24"/>
  <c r="P50" i="24"/>
  <c r="N50" i="24"/>
  <c r="L50" i="24"/>
  <c r="K50" i="24"/>
  <c r="J50" i="24"/>
  <c r="I50" i="24"/>
  <c r="H50" i="24"/>
  <c r="G50" i="24"/>
  <c r="F50" i="24"/>
  <c r="E50" i="24"/>
  <c r="D50" i="24"/>
  <c r="C50" i="24"/>
  <c r="B50" i="24"/>
  <c r="P49" i="24"/>
  <c r="N49" i="24"/>
  <c r="L49" i="24"/>
  <c r="K49" i="24"/>
  <c r="J49" i="24"/>
  <c r="I49" i="24"/>
  <c r="H49" i="24"/>
  <c r="G49" i="24"/>
  <c r="F49" i="24"/>
  <c r="E49" i="24"/>
  <c r="D49" i="24"/>
  <c r="C49" i="24"/>
  <c r="B49" i="24"/>
  <c r="P48" i="24"/>
  <c r="N48" i="24"/>
  <c r="L48" i="24"/>
  <c r="K48" i="24"/>
  <c r="J48" i="24"/>
  <c r="I48" i="24"/>
  <c r="H48" i="24"/>
  <c r="G48" i="24"/>
  <c r="F48" i="24"/>
  <c r="E48" i="24"/>
  <c r="D48" i="24"/>
  <c r="C48" i="24"/>
  <c r="B48" i="24"/>
  <c r="P47" i="24"/>
  <c r="N47" i="24"/>
  <c r="L47" i="24"/>
  <c r="K47" i="24"/>
  <c r="J47" i="24"/>
  <c r="I47" i="24"/>
  <c r="H47" i="24"/>
  <c r="G47" i="24"/>
  <c r="F47" i="24"/>
  <c r="E47" i="24"/>
  <c r="D47" i="24"/>
  <c r="C47" i="24"/>
  <c r="B47" i="24"/>
  <c r="A47" i="24"/>
  <c r="R46" i="24"/>
  <c r="AJ14" i="87" s="1"/>
  <c r="C46" i="24"/>
  <c r="A46" i="24"/>
  <c r="P45" i="24"/>
  <c r="N45" i="24"/>
  <c r="L45" i="24"/>
  <c r="K45" i="24"/>
  <c r="J45" i="24"/>
  <c r="I45" i="24"/>
  <c r="H45" i="24"/>
  <c r="G45" i="24"/>
  <c r="F45" i="24"/>
  <c r="E45" i="24"/>
  <c r="D45" i="24"/>
  <c r="C45" i="24"/>
  <c r="A45" i="24"/>
  <c r="P44" i="24"/>
  <c r="N44" i="24"/>
  <c r="L44" i="24"/>
  <c r="K44" i="24"/>
  <c r="J44" i="24"/>
  <c r="I44" i="24"/>
  <c r="H44" i="24"/>
  <c r="G44" i="24"/>
  <c r="F44" i="24"/>
  <c r="E44" i="24"/>
  <c r="D44" i="24"/>
  <c r="C44" i="24"/>
  <c r="B44" i="24"/>
  <c r="A44" i="24"/>
  <c r="P43" i="24"/>
  <c r="N43" i="24"/>
  <c r="L43" i="24"/>
  <c r="K43" i="24"/>
  <c r="J43" i="24"/>
  <c r="I43" i="24"/>
  <c r="H43" i="24"/>
  <c r="G43" i="24"/>
  <c r="F43" i="24"/>
  <c r="E43" i="24"/>
  <c r="D43" i="24"/>
  <c r="C43" i="24"/>
  <c r="B43" i="24"/>
  <c r="A43" i="24"/>
  <c r="P42" i="24"/>
  <c r="N42" i="24"/>
  <c r="L42" i="24"/>
  <c r="K42" i="24"/>
  <c r="J42" i="24"/>
  <c r="I42" i="24"/>
  <c r="H42" i="24"/>
  <c r="G42" i="24"/>
  <c r="F42" i="24"/>
  <c r="E42" i="24"/>
  <c r="D42" i="24"/>
  <c r="C42" i="24"/>
  <c r="B42" i="24"/>
  <c r="A42" i="24"/>
  <c r="P41" i="24"/>
  <c r="N41" i="24"/>
  <c r="L41" i="24"/>
  <c r="K41" i="24"/>
  <c r="J41" i="24"/>
  <c r="I41" i="24"/>
  <c r="H41" i="24"/>
  <c r="G41" i="24"/>
  <c r="F41" i="24"/>
  <c r="E41" i="24"/>
  <c r="D41" i="24"/>
  <c r="C41" i="24"/>
  <c r="B41" i="24"/>
  <c r="A41" i="24"/>
  <c r="R40" i="24"/>
  <c r="C40" i="24"/>
  <c r="A40" i="24"/>
  <c r="P39" i="24"/>
  <c r="N39" i="24"/>
  <c r="L39" i="24"/>
  <c r="K39" i="24"/>
  <c r="J39" i="24"/>
  <c r="I39" i="24"/>
  <c r="H39" i="24"/>
  <c r="G39" i="24"/>
  <c r="F39" i="24"/>
  <c r="E39" i="24"/>
  <c r="D39" i="24"/>
  <c r="C39" i="24"/>
  <c r="B39" i="24"/>
  <c r="P38" i="24"/>
  <c r="L38" i="24"/>
  <c r="K38" i="24"/>
  <c r="J38" i="24"/>
  <c r="I38" i="24"/>
  <c r="H38" i="24"/>
  <c r="G38" i="24"/>
  <c r="E38" i="24"/>
  <c r="D38" i="24"/>
  <c r="C38" i="24"/>
  <c r="B38" i="24"/>
  <c r="P37" i="24"/>
  <c r="N37" i="24"/>
  <c r="L37" i="24"/>
  <c r="K37" i="24"/>
  <c r="J37" i="24"/>
  <c r="I37" i="24"/>
  <c r="H37" i="24"/>
  <c r="G37" i="24"/>
  <c r="F37" i="24"/>
  <c r="E37" i="24"/>
  <c r="D37" i="24"/>
  <c r="C37" i="24"/>
  <c r="B37" i="24"/>
  <c r="P36" i="24"/>
  <c r="N36" i="24"/>
  <c r="L36" i="24"/>
  <c r="K36" i="24"/>
  <c r="J36" i="24"/>
  <c r="I36" i="24"/>
  <c r="H36" i="24"/>
  <c r="G36" i="24"/>
  <c r="F36" i="24"/>
  <c r="E36" i="24"/>
  <c r="D36" i="24"/>
  <c r="C36" i="24"/>
  <c r="B36" i="24"/>
  <c r="A36" i="24"/>
  <c r="R35" i="24"/>
  <c r="AJ12" i="87" s="1"/>
  <c r="C35" i="24"/>
  <c r="A35" i="24"/>
  <c r="P34" i="24"/>
  <c r="N34" i="24"/>
  <c r="L34" i="24"/>
  <c r="K34" i="24"/>
  <c r="J34" i="24"/>
  <c r="I34" i="24"/>
  <c r="H34" i="24"/>
  <c r="G34" i="24"/>
  <c r="F34" i="24"/>
  <c r="E34" i="24"/>
  <c r="D34" i="24"/>
  <c r="C34" i="24"/>
  <c r="B34" i="24"/>
  <c r="A34" i="24"/>
  <c r="P33" i="24"/>
  <c r="N33" i="24"/>
  <c r="L33" i="24"/>
  <c r="K33" i="24"/>
  <c r="J33" i="24"/>
  <c r="I33" i="24"/>
  <c r="H33" i="24"/>
  <c r="G33" i="24"/>
  <c r="F33" i="24"/>
  <c r="E33" i="24"/>
  <c r="D33" i="24"/>
  <c r="C33" i="24"/>
  <c r="B33" i="24"/>
  <c r="A33" i="24"/>
  <c r="R32" i="24"/>
  <c r="C32" i="24"/>
  <c r="A32" i="24"/>
  <c r="P31" i="24"/>
  <c r="L31" i="24"/>
  <c r="K31" i="24"/>
  <c r="J31" i="24"/>
  <c r="I31" i="24"/>
  <c r="H31" i="24"/>
  <c r="G31" i="24"/>
  <c r="F31" i="24"/>
  <c r="E31" i="24"/>
  <c r="D31" i="24"/>
  <c r="C31" i="24"/>
  <c r="B31" i="24"/>
  <c r="P30" i="24"/>
  <c r="N30" i="24"/>
  <c r="L30" i="24"/>
  <c r="K30" i="24"/>
  <c r="J30" i="24"/>
  <c r="I30" i="24"/>
  <c r="H30" i="24"/>
  <c r="G30" i="24"/>
  <c r="F30" i="24"/>
  <c r="E30" i="24"/>
  <c r="D30" i="24"/>
  <c r="C30" i="24"/>
  <c r="B30" i="24"/>
  <c r="P29" i="24"/>
  <c r="N29" i="24"/>
  <c r="L29" i="24"/>
  <c r="K29" i="24"/>
  <c r="J29" i="24"/>
  <c r="I29" i="24"/>
  <c r="H29" i="24"/>
  <c r="G29" i="24"/>
  <c r="F29" i="24"/>
  <c r="E29" i="24"/>
  <c r="D29" i="24"/>
  <c r="C29" i="24"/>
  <c r="B29" i="24"/>
  <c r="P28" i="24"/>
  <c r="N28" i="24"/>
  <c r="L28" i="24"/>
  <c r="K28" i="24"/>
  <c r="J28" i="24"/>
  <c r="I28" i="24"/>
  <c r="H28" i="24"/>
  <c r="G28" i="24"/>
  <c r="F28" i="24"/>
  <c r="E28" i="24"/>
  <c r="D28" i="24"/>
  <c r="C28" i="24"/>
  <c r="B28" i="24"/>
  <c r="P27" i="24"/>
  <c r="N27" i="24"/>
  <c r="L27" i="24"/>
  <c r="K27" i="24"/>
  <c r="J27" i="24"/>
  <c r="I27" i="24"/>
  <c r="H27" i="24"/>
  <c r="G27" i="24"/>
  <c r="F27" i="24"/>
  <c r="E27" i="24"/>
  <c r="D27" i="24"/>
  <c r="C27" i="24"/>
  <c r="B27" i="24"/>
  <c r="P26" i="24"/>
  <c r="N26" i="24"/>
  <c r="L26" i="24"/>
  <c r="K26" i="24"/>
  <c r="J26" i="24"/>
  <c r="I26" i="24"/>
  <c r="H26" i="24"/>
  <c r="G26" i="24"/>
  <c r="F26" i="24"/>
  <c r="E26" i="24"/>
  <c r="D26" i="24"/>
  <c r="C26" i="24"/>
  <c r="B26" i="24"/>
  <c r="P25" i="24"/>
  <c r="N25" i="24"/>
  <c r="L25" i="24"/>
  <c r="K25" i="24"/>
  <c r="J25" i="24"/>
  <c r="I25" i="24"/>
  <c r="H25" i="24"/>
  <c r="G25" i="24"/>
  <c r="F25" i="24"/>
  <c r="E25" i="24"/>
  <c r="D25" i="24"/>
  <c r="C25" i="24"/>
  <c r="B25" i="24"/>
  <c r="P24" i="24"/>
  <c r="N24" i="24"/>
  <c r="L24" i="24"/>
  <c r="K24" i="24"/>
  <c r="J24" i="24"/>
  <c r="I24" i="24"/>
  <c r="H24" i="24"/>
  <c r="G24" i="24"/>
  <c r="F24" i="24"/>
  <c r="E24" i="24"/>
  <c r="D24" i="24"/>
  <c r="C24" i="24"/>
  <c r="B24" i="24"/>
  <c r="A24" i="24"/>
  <c r="P23" i="24"/>
  <c r="N23" i="24"/>
  <c r="L23" i="24"/>
  <c r="K23" i="24"/>
  <c r="J23" i="24"/>
  <c r="I23" i="24"/>
  <c r="H23" i="24"/>
  <c r="G23" i="24"/>
  <c r="F23" i="24"/>
  <c r="E23" i="24"/>
  <c r="D23" i="24"/>
  <c r="C23" i="24"/>
  <c r="B23" i="24"/>
  <c r="P22" i="24"/>
  <c r="N22" i="24"/>
  <c r="L22" i="24"/>
  <c r="K22" i="24"/>
  <c r="J22" i="24"/>
  <c r="I22" i="24"/>
  <c r="H22" i="24"/>
  <c r="G22" i="24"/>
  <c r="F22" i="24"/>
  <c r="E22" i="24"/>
  <c r="D22" i="24"/>
  <c r="C22" i="24"/>
  <c r="P21" i="24"/>
  <c r="N21" i="24"/>
  <c r="L21" i="24"/>
  <c r="K21" i="24"/>
  <c r="J21" i="24"/>
  <c r="I21" i="24"/>
  <c r="H21" i="24"/>
  <c r="G21" i="24"/>
  <c r="F21" i="24"/>
  <c r="E21" i="24"/>
  <c r="D21" i="24"/>
  <c r="C21" i="24"/>
  <c r="B21" i="24"/>
  <c r="P20" i="24"/>
  <c r="N20" i="24"/>
  <c r="L20" i="24"/>
  <c r="K20" i="24"/>
  <c r="J20" i="24"/>
  <c r="I20" i="24"/>
  <c r="H20" i="24"/>
  <c r="G20" i="24"/>
  <c r="F20" i="24"/>
  <c r="E20" i="24"/>
  <c r="D20" i="24"/>
  <c r="C20" i="24"/>
  <c r="B20" i="24"/>
  <c r="P19" i="24"/>
  <c r="N19" i="24"/>
  <c r="L19" i="24"/>
  <c r="K19" i="24"/>
  <c r="J19" i="24"/>
  <c r="I19" i="24"/>
  <c r="H19" i="24"/>
  <c r="G19" i="24"/>
  <c r="F19" i="24"/>
  <c r="E19" i="24"/>
  <c r="D19" i="24"/>
  <c r="C19" i="24"/>
  <c r="B19" i="24"/>
  <c r="P18" i="24"/>
  <c r="N18" i="24"/>
  <c r="L18" i="24"/>
  <c r="K18" i="24"/>
  <c r="J18" i="24"/>
  <c r="I18" i="24"/>
  <c r="H18" i="24"/>
  <c r="G18" i="24"/>
  <c r="F18" i="24"/>
  <c r="E18" i="24"/>
  <c r="D18" i="24"/>
  <c r="C18" i="24"/>
  <c r="B18" i="24"/>
  <c r="A18" i="24"/>
  <c r="R17" i="24"/>
  <c r="AJ9" i="87" s="1"/>
  <c r="C17" i="24"/>
  <c r="A17" i="24"/>
  <c r="P16" i="24"/>
  <c r="N16" i="24"/>
  <c r="L16" i="24"/>
  <c r="K16" i="24"/>
  <c r="J16" i="24"/>
  <c r="I16" i="24"/>
  <c r="H16" i="24"/>
  <c r="G16" i="24"/>
  <c r="F16" i="24"/>
  <c r="E16" i="24"/>
  <c r="D16" i="24"/>
  <c r="C16" i="24"/>
  <c r="B16" i="24"/>
  <c r="A16" i="24"/>
  <c r="R15" i="24"/>
  <c r="C15" i="24"/>
  <c r="A15" i="24"/>
  <c r="P14" i="24"/>
  <c r="N14" i="24"/>
  <c r="L14" i="24"/>
  <c r="K14" i="24"/>
  <c r="J14" i="24"/>
  <c r="I14" i="24"/>
  <c r="H14" i="24"/>
  <c r="G14" i="24"/>
  <c r="F14" i="24"/>
  <c r="E14" i="24"/>
  <c r="D14" i="24"/>
  <c r="C14" i="24"/>
  <c r="B14" i="24"/>
  <c r="A14" i="24"/>
  <c r="R13" i="24"/>
  <c r="C13" i="24"/>
  <c r="A13" i="24"/>
  <c r="P12" i="24"/>
  <c r="N12" i="24"/>
  <c r="L12" i="24"/>
  <c r="K12" i="24"/>
  <c r="J12" i="24"/>
  <c r="I12" i="24"/>
  <c r="H12" i="24"/>
  <c r="G12" i="24"/>
  <c r="F12" i="24"/>
  <c r="E12" i="24"/>
  <c r="D12" i="24"/>
  <c r="C12" i="24"/>
  <c r="B12" i="24"/>
  <c r="A12" i="24"/>
  <c r="P11" i="24"/>
  <c r="N11" i="24"/>
  <c r="L11" i="24"/>
  <c r="K11" i="24"/>
  <c r="J11" i="24"/>
  <c r="I11" i="24"/>
  <c r="H11" i="24"/>
  <c r="G11" i="24"/>
  <c r="F11" i="24"/>
  <c r="E11" i="24"/>
  <c r="D11" i="24"/>
  <c r="C11" i="24"/>
  <c r="B11" i="24"/>
  <c r="A11" i="24"/>
  <c r="P10" i="24"/>
  <c r="N10" i="24"/>
  <c r="L10" i="24"/>
  <c r="K10" i="24"/>
  <c r="J10" i="24"/>
  <c r="I10" i="24"/>
  <c r="H10" i="24"/>
  <c r="G10" i="24"/>
  <c r="F10" i="24"/>
  <c r="E10" i="24"/>
  <c r="D10" i="24"/>
  <c r="C10" i="24"/>
  <c r="B10" i="24"/>
  <c r="A10" i="24"/>
  <c r="P9" i="24"/>
  <c r="N9" i="24"/>
  <c r="L9" i="24"/>
  <c r="K9" i="24"/>
  <c r="J9" i="24"/>
  <c r="I9" i="24"/>
  <c r="H9" i="24"/>
  <c r="G9" i="24"/>
  <c r="F9" i="24"/>
  <c r="E9" i="24"/>
  <c r="D9" i="24"/>
  <c r="C9" i="24"/>
  <c r="B9" i="24"/>
  <c r="A9" i="24"/>
  <c r="P8" i="24"/>
  <c r="N8" i="24"/>
  <c r="L8" i="24"/>
  <c r="K8" i="24"/>
  <c r="J8" i="24"/>
  <c r="I8" i="24"/>
  <c r="H8" i="24"/>
  <c r="G8" i="24"/>
  <c r="F8" i="24"/>
  <c r="E8" i="24"/>
  <c r="D8" i="24"/>
  <c r="C8" i="24"/>
  <c r="B8" i="24"/>
  <c r="A8" i="24"/>
  <c r="P7" i="24"/>
  <c r="N7" i="24"/>
  <c r="L7" i="24"/>
  <c r="K7" i="24"/>
  <c r="J7" i="24"/>
  <c r="I7" i="24"/>
  <c r="H7" i="24"/>
  <c r="G7" i="24"/>
  <c r="F7" i="24"/>
  <c r="E7" i="24"/>
  <c r="D7" i="24"/>
  <c r="C7" i="24"/>
  <c r="B7" i="24"/>
  <c r="A7" i="24"/>
  <c r="R6" i="24"/>
  <c r="AJ4" i="87" s="1"/>
  <c r="C6" i="24"/>
  <c r="A6" i="24"/>
  <c r="C3" i="24"/>
  <c r="C2" i="24"/>
  <c r="B2" i="24"/>
  <c r="A2" i="24"/>
  <c r="P35" i="32"/>
  <c r="N35" i="32"/>
  <c r="L35" i="32"/>
  <c r="K35" i="32"/>
  <c r="J35" i="32"/>
  <c r="I35" i="32"/>
  <c r="H35" i="32"/>
  <c r="G35" i="32"/>
  <c r="F35" i="32"/>
  <c r="E35" i="32"/>
  <c r="D35" i="32"/>
  <c r="C35" i="32"/>
  <c r="B35" i="32"/>
  <c r="A35" i="32"/>
  <c r="P34" i="32"/>
  <c r="N34" i="32"/>
  <c r="L34" i="32"/>
  <c r="K34" i="32"/>
  <c r="J34" i="32"/>
  <c r="I34" i="32"/>
  <c r="H34" i="32"/>
  <c r="G34" i="32"/>
  <c r="F34" i="32"/>
  <c r="E34" i="32"/>
  <c r="D34" i="32"/>
  <c r="C34" i="32"/>
  <c r="B34" i="32"/>
  <c r="A34" i="32"/>
  <c r="P33" i="32"/>
  <c r="N33" i="32"/>
  <c r="L33" i="32"/>
  <c r="K33" i="32"/>
  <c r="J33" i="32"/>
  <c r="I33" i="32"/>
  <c r="H33" i="32"/>
  <c r="G33" i="32"/>
  <c r="F33" i="32"/>
  <c r="E33" i="32"/>
  <c r="D33" i="32"/>
  <c r="C33" i="32"/>
  <c r="B33" i="32"/>
  <c r="A33" i="32"/>
  <c r="P32" i="32"/>
  <c r="N32" i="32"/>
  <c r="L32" i="32"/>
  <c r="K32" i="32"/>
  <c r="J32" i="32"/>
  <c r="I32" i="32"/>
  <c r="H32" i="32"/>
  <c r="G32" i="32"/>
  <c r="F32" i="32"/>
  <c r="E32" i="32"/>
  <c r="D32" i="32"/>
  <c r="C32" i="32"/>
  <c r="B32" i="32"/>
  <c r="A32" i="32"/>
  <c r="P31" i="32"/>
  <c r="N31" i="32"/>
  <c r="L31" i="32"/>
  <c r="K31" i="32"/>
  <c r="J31" i="32"/>
  <c r="I31" i="32"/>
  <c r="H31" i="32"/>
  <c r="G31" i="32"/>
  <c r="F31" i="32"/>
  <c r="E31" i="32"/>
  <c r="D31" i="32"/>
  <c r="C31" i="32"/>
  <c r="B31" i="32"/>
  <c r="A31" i="32"/>
  <c r="P30" i="32"/>
  <c r="N30" i="32"/>
  <c r="L30" i="32"/>
  <c r="K30" i="32"/>
  <c r="J30" i="32"/>
  <c r="I30" i="32"/>
  <c r="H30" i="32"/>
  <c r="G30" i="32"/>
  <c r="F30" i="32"/>
  <c r="E30" i="32"/>
  <c r="D30" i="32"/>
  <c r="C30" i="32"/>
  <c r="B30" i="32"/>
  <c r="A30" i="32"/>
  <c r="P29" i="32"/>
  <c r="N29" i="32"/>
  <c r="L29" i="32"/>
  <c r="K29" i="32"/>
  <c r="J29" i="32"/>
  <c r="I29" i="32"/>
  <c r="H29" i="32"/>
  <c r="G29" i="32"/>
  <c r="F29" i="32"/>
  <c r="E29" i="32"/>
  <c r="D29" i="32"/>
  <c r="C29" i="32"/>
  <c r="B29" i="32"/>
  <c r="A29" i="32"/>
  <c r="R28" i="32"/>
  <c r="AI19" i="87" s="1"/>
  <c r="C28" i="32"/>
  <c r="B28" i="32"/>
  <c r="A28" i="32"/>
  <c r="P27" i="32"/>
  <c r="N27" i="32"/>
  <c r="L27" i="32"/>
  <c r="K27" i="32"/>
  <c r="J27" i="32"/>
  <c r="I27" i="32"/>
  <c r="H27" i="32"/>
  <c r="G27" i="32"/>
  <c r="F27" i="32"/>
  <c r="E27" i="32"/>
  <c r="D27" i="32"/>
  <c r="C27" i="32"/>
  <c r="P26" i="32"/>
  <c r="N26" i="32"/>
  <c r="L26" i="32"/>
  <c r="K26" i="32"/>
  <c r="J26" i="32"/>
  <c r="I26" i="32"/>
  <c r="H26" i="32"/>
  <c r="G26" i="32"/>
  <c r="F26" i="32"/>
  <c r="E26" i="32"/>
  <c r="D26" i="32"/>
  <c r="C26" i="32"/>
  <c r="B26" i="32"/>
  <c r="A26" i="32"/>
  <c r="R25" i="32"/>
  <c r="C25" i="32"/>
  <c r="A25" i="32"/>
  <c r="P24" i="32"/>
  <c r="N24" i="32"/>
  <c r="L24" i="32"/>
  <c r="K24" i="32"/>
  <c r="J24" i="32"/>
  <c r="I24" i="32"/>
  <c r="H24" i="32"/>
  <c r="G24" i="32"/>
  <c r="F24" i="32"/>
  <c r="E24" i="32"/>
  <c r="D24" i="32"/>
  <c r="C24" i="32"/>
  <c r="B24" i="32"/>
  <c r="A24" i="32"/>
  <c r="R23" i="32"/>
  <c r="AI14" i="87" s="1"/>
  <c r="C23" i="32"/>
  <c r="A23" i="32"/>
  <c r="P22" i="32"/>
  <c r="N22" i="32"/>
  <c r="L22" i="32"/>
  <c r="K22" i="32"/>
  <c r="J22" i="32"/>
  <c r="I22" i="32"/>
  <c r="H22" i="32"/>
  <c r="G22" i="32"/>
  <c r="F22" i="32"/>
  <c r="E22" i="32"/>
  <c r="D22" i="32"/>
  <c r="C22" i="32"/>
  <c r="B22" i="32"/>
  <c r="A22" i="32"/>
  <c r="P21" i="32"/>
  <c r="N21" i="32"/>
  <c r="L21" i="32"/>
  <c r="K21" i="32"/>
  <c r="J21" i="32"/>
  <c r="I21" i="32"/>
  <c r="H21" i="32"/>
  <c r="G21" i="32"/>
  <c r="F21" i="32"/>
  <c r="E21" i="32"/>
  <c r="D21" i="32"/>
  <c r="C21" i="32"/>
  <c r="B21" i="32"/>
  <c r="A21" i="32"/>
  <c r="R20" i="32"/>
  <c r="C20" i="32"/>
  <c r="A20" i="32"/>
  <c r="P19" i="32"/>
  <c r="N19" i="32"/>
  <c r="L19" i="32"/>
  <c r="K19" i="32"/>
  <c r="J19" i="32"/>
  <c r="I19" i="32"/>
  <c r="H19" i="32"/>
  <c r="G19" i="32"/>
  <c r="F19" i="32"/>
  <c r="E19" i="32"/>
  <c r="D19" i="32"/>
  <c r="C19" i="32"/>
  <c r="B19" i="32"/>
  <c r="P18" i="32"/>
  <c r="N18" i="32"/>
  <c r="L18" i="32"/>
  <c r="K18" i="32"/>
  <c r="J18" i="32"/>
  <c r="I18" i="32"/>
  <c r="H18" i="32"/>
  <c r="G18" i="32"/>
  <c r="F18" i="32"/>
  <c r="E18" i="32"/>
  <c r="D18" i="32"/>
  <c r="C18" i="32"/>
  <c r="B18" i="32"/>
  <c r="A18" i="32"/>
  <c r="R17" i="32"/>
  <c r="AI12" i="87" s="1"/>
  <c r="C17" i="32"/>
  <c r="A17" i="32"/>
  <c r="P16" i="32"/>
  <c r="N16" i="32"/>
  <c r="L16" i="32"/>
  <c r="K16" i="32"/>
  <c r="J16" i="32"/>
  <c r="I16" i="32"/>
  <c r="H16" i="32"/>
  <c r="G16" i="32"/>
  <c r="F16" i="32"/>
  <c r="E16" i="32"/>
  <c r="D16" i="32"/>
  <c r="C16" i="32"/>
  <c r="B16" i="32"/>
  <c r="P15" i="32"/>
  <c r="N15" i="32"/>
  <c r="L15" i="32"/>
  <c r="K15" i="32"/>
  <c r="J15" i="32"/>
  <c r="I15" i="32"/>
  <c r="H15" i="32"/>
  <c r="G15" i="32"/>
  <c r="F15" i="32"/>
  <c r="E15" i="32"/>
  <c r="D15" i="32"/>
  <c r="C15" i="32"/>
  <c r="B15" i="32"/>
  <c r="A15" i="32"/>
  <c r="P14" i="32"/>
  <c r="N14" i="32"/>
  <c r="L14" i="32"/>
  <c r="K14" i="32"/>
  <c r="J14" i="32"/>
  <c r="I14" i="32"/>
  <c r="H14" i="32"/>
  <c r="G14" i="32"/>
  <c r="F14" i="32"/>
  <c r="E14" i="32"/>
  <c r="D14" i="32"/>
  <c r="C14" i="32"/>
  <c r="B14" i="32"/>
  <c r="P13" i="32"/>
  <c r="N13" i="32"/>
  <c r="L13" i="32"/>
  <c r="K13" i="32"/>
  <c r="J13" i="32"/>
  <c r="I13" i="32"/>
  <c r="H13" i="32"/>
  <c r="G13" i="32"/>
  <c r="F13" i="32"/>
  <c r="E13" i="32"/>
  <c r="D13" i="32"/>
  <c r="C13" i="32"/>
  <c r="B13" i="32"/>
  <c r="P12" i="32"/>
  <c r="N12" i="32"/>
  <c r="L12" i="32"/>
  <c r="K12" i="32"/>
  <c r="J12" i="32"/>
  <c r="I12" i="32"/>
  <c r="H12" i="32"/>
  <c r="G12" i="32"/>
  <c r="F12" i="32"/>
  <c r="E12" i="32"/>
  <c r="D12" i="32"/>
  <c r="C12" i="32"/>
  <c r="B12" i="32"/>
  <c r="A12" i="32"/>
  <c r="R11" i="32"/>
  <c r="AI9" i="87" s="1"/>
  <c r="C11" i="32"/>
  <c r="A11" i="32"/>
  <c r="P10" i="32"/>
  <c r="N10" i="32"/>
  <c r="L10" i="32"/>
  <c r="K10" i="32"/>
  <c r="H10" i="32"/>
  <c r="G10" i="32"/>
  <c r="F10" i="32"/>
  <c r="E10" i="32"/>
  <c r="D10" i="32"/>
  <c r="C10" i="32"/>
  <c r="B10" i="32"/>
  <c r="A10" i="32"/>
  <c r="R9" i="32"/>
  <c r="AI6" i="87" s="1"/>
  <c r="C9" i="32"/>
  <c r="A9" i="32"/>
  <c r="P8" i="32"/>
  <c r="N8" i="32"/>
  <c r="L8" i="32"/>
  <c r="K8" i="32"/>
  <c r="J8" i="32"/>
  <c r="I8" i="32"/>
  <c r="H8" i="32"/>
  <c r="G8" i="32"/>
  <c r="F8" i="32"/>
  <c r="E8" i="32"/>
  <c r="D8" i="32"/>
  <c r="C8" i="32"/>
  <c r="B8" i="32"/>
  <c r="A8" i="32"/>
  <c r="P7" i="32"/>
  <c r="N7" i="32"/>
  <c r="L7" i="32"/>
  <c r="K7" i="32"/>
  <c r="J7" i="32"/>
  <c r="I7" i="32"/>
  <c r="H7" i="32"/>
  <c r="G7" i="32"/>
  <c r="F7" i="32"/>
  <c r="E7" i="32"/>
  <c r="D7" i="32"/>
  <c r="C7" i="32"/>
  <c r="B7" i="32"/>
  <c r="A7" i="32"/>
  <c r="R6" i="32"/>
  <c r="AI5" i="87" s="1"/>
  <c r="C6" i="32"/>
  <c r="A6" i="32"/>
  <c r="F3" i="32"/>
  <c r="C3" i="32"/>
  <c r="F2" i="32"/>
  <c r="C2" i="32"/>
  <c r="B2" i="32"/>
  <c r="A2" i="32"/>
  <c r="P33" i="42"/>
  <c r="N33" i="42"/>
  <c r="L33" i="42"/>
  <c r="K33" i="42"/>
  <c r="J33" i="42"/>
  <c r="I33" i="42"/>
  <c r="H33" i="42"/>
  <c r="G33" i="42"/>
  <c r="F33" i="42"/>
  <c r="E33" i="42"/>
  <c r="D33" i="42"/>
  <c r="C33" i="42"/>
  <c r="B33" i="42"/>
  <c r="A33" i="42"/>
  <c r="R32" i="42"/>
  <c r="C32" i="42"/>
  <c r="A32" i="42"/>
  <c r="P31" i="42"/>
  <c r="N31" i="42"/>
  <c r="L31" i="42"/>
  <c r="K31" i="42"/>
  <c r="J31" i="42"/>
  <c r="I31" i="42"/>
  <c r="H31" i="42"/>
  <c r="G31" i="42"/>
  <c r="F31" i="42"/>
  <c r="E31" i="42"/>
  <c r="D31" i="42"/>
  <c r="C31" i="42"/>
  <c r="B31" i="42"/>
  <c r="A31" i="42"/>
  <c r="R30" i="42"/>
  <c r="C30" i="42"/>
  <c r="A30" i="42"/>
  <c r="P29" i="42"/>
  <c r="N29" i="42"/>
  <c r="L29" i="42"/>
  <c r="K29" i="42"/>
  <c r="J29" i="42"/>
  <c r="I29" i="42"/>
  <c r="H29" i="42"/>
  <c r="G29" i="42"/>
  <c r="F29" i="42"/>
  <c r="E29" i="42"/>
  <c r="D29" i="42"/>
  <c r="C29" i="42"/>
  <c r="P28" i="42"/>
  <c r="N28" i="42"/>
  <c r="L28" i="42"/>
  <c r="K28" i="42"/>
  <c r="J28" i="42"/>
  <c r="I28" i="42"/>
  <c r="H28" i="42"/>
  <c r="G28" i="42"/>
  <c r="F28" i="42"/>
  <c r="E28" i="42"/>
  <c r="D28" i="42"/>
  <c r="C28" i="42"/>
  <c r="B28" i="42"/>
  <c r="A28" i="42"/>
  <c r="R27" i="42"/>
  <c r="AH14" i="87" s="1"/>
  <c r="C27" i="42"/>
  <c r="A27" i="42"/>
  <c r="P26" i="42"/>
  <c r="N26" i="42"/>
  <c r="L26" i="42"/>
  <c r="K26" i="42"/>
  <c r="J26" i="42"/>
  <c r="I26" i="42"/>
  <c r="H26" i="42"/>
  <c r="G26" i="42"/>
  <c r="F26" i="42"/>
  <c r="E26" i="42"/>
  <c r="D26" i="42"/>
  <c r="C26" i="42"/>
  <c r="A26" i="42"/>
  <c r="R25" i="42"/>
  <c r="C25" i="42"/>
  <c r="A25" i="42"/>
  <c r="P24" i="42"/>
  <c r="N24" i="42"/>
  <c r="L24" i="42"/>
  <c r="K24" i="42"/>
  <c r="J24" i="42"/>
  <c r="I24" i="42"/>
  <c r="H24" i="42"/>
  <c r="G24" i="42"/>
  <c r="F24" i="42"/>
  <c r="E24" i="42"/>
  <c r="D24" i="42"/>
  <c r="C24" i="42"/>
  <c r="P23" i="42"/>
  <c r="N23" i="42"/>
  <c r="L23" i="42"/>
  <c r="K23" i="42"/>
  <c r="J23" i="42"/>
  <c r="I23" i="42"/>
  <c r="H23" i="42"/>
  <c r="G23" i="42"/>
  <c r="F23" i="42"/>
  <c r="E23" i="42"/>
  <c r="D23" i="42"/>
  <c r="C23" i="42"/>
  <c r="B23" i="42"/>
  <c r="P22" i="42"/>
  <c r="N22" i="42"/>
  <c r="L22" i="42"/>
  <c r="K22" i="42"/>
  <c r="J22" i="42"/>
  <c r="I22" i="42"/>
  <c r="H22" i="42"/>
  <c r="G22" i="42"/>
  <c r="F22" i="42"/>
  <c r="E22" i="42"/>
  <c r="D22" i="42"/>
  <c r="C22" i="42"/>
  <c r="B22" i="42"/>
  <c r="P21" i="42"/>
  <c r="N21" i="42"/>
  <c r="L21" i="42"/>
  <c r="K21" i="42"/>
  <c r="J21" i="42"/>
  <c r="I21" i="42"/>
  <c r="H21" i="42"/>
  <c r="G21" i="42"/>
  <c r="F21" i="42"/>
  <c r="E21" i="42"/>
  <c r="D21" i="42"/>
  <c r="C21" i="42"/>
  <c r="B21" i="42"/>
  <c r="A21" i="42"/>
  <c r="R20" i="42"/>
  <c r="AH12" i="87" s="1"/>
  <c r="C20" i="42"/>
  <c r="A20" i="42"/>
  <c r="P19" i="42"/>
  <c r="N19" i="42"/>
  <c r="L19" i="42"/>
  <c r="K19" i="42"/>
  <c r="J19" i="42"/>
  <c r="I19" i="42"/>
  <c r="H19" i="42"/>
  <c r="G19" i="42"/>
  <c r="F19" i="42"/>
  <c r="E19" i="42"/>
  <c r="D19" i="42"/>
  <c r="C19" i="42"/>
  <c r="P18" i="42"/>
  <c r="N18" i="42"/>
  <c r="L18" i="42"/>
  <c r="K18" i="42"/>
  <c r="J18" i="42"/>
  <c r="I18" i="42"/>
  <c r="H18" i="42"/>
  <c r="G18" i="42"/>
  <c r="F18" i="42"/>
  <c r="E18" i="42"/>
  <c r="D18" i="42"/>
  <c r="C18" i="42"/>
  <c r="A18" i="42"/>
  <c r="P17" i="42"/>
  <c r="N17" i="42"/>
  <c r="L17" i="42"/>
  <c r="K17" i="42"/>
  <c r="J17" i="42"/>
  <c r="I17" i="42"/>
  <c r="H17" i="42"/>
  <c r="G17" i="42"/>
  <c r="F17" i="42"/>
  <c r="E17" i="42"/>
  <c r="D17" i="42"/>
  <c r="C17" i="42"/>
  <c r="B17" i="42"/>
  <c r="P16" i="42"/>
  <c r="N16" i="42"/>
  <c r="L16" i="42"/>
  <c r="K16" i="42"/>
  <c r="J16" i="42"/>
  <c r="I16" i="42"/>
  <c r="H16" i="42"/>
  <c r="G16" i="42"/>
  <c r="F16" i="42"/>
  <c r="E16" i="42"/>
  <c r="D16" i="42"/>
  <c r="C16" i="42"/>
  <c r="B16" i="42"/>
  <c r="P15" i="42"/>
  <c r="N15" i="42"/>
  <c r="L15" i="42"/>
  <c r="K15" i="42"/>
  <c r="J15" i="42"/>
  <c r="I15" i="42"/>
  <c r="H15" i="42"/>
  <c r="G15" i="42"/>
  <c r="F15" i="42"/>
  <c r="E15" i="42"/>
  <c r="D15" i="42"/>
  <c r="C15" i="42"/>
  <c r="B15" i="42"/>
  <c r="P14" i="42"/>
  <c r="N14" i="42"/>
  <c r="L14" i="42"/>
  <c r="K14" i="42"/>
  <c r="J14" i="42"/>
  <c r="I14" i="42"/>
  <c r="H14" i="42"/>
  <c r="G14" i="42"/>
  <c r="F14" i="42"/>
  <c r="E14" i="42"/>
  <c r="D14" i="42"/>
  <c r="C14" i="42"/>
  <c r="B14" i="42"/>
  <c r="P13" i="42"/>
  <c r="N13" i="42"/>
  <c r="L13" i="42"/>
  <c r="K13" i="42"/>
  <c r="J13" i="42"/>
  <c r="I13" i="42"/>
  <c r="H13" i="42"/>
  <c r="G13" i="42"/>
  <c r="F13" i="42"/>
  <c r="E13" i="42"/>
  <c r="D13" i="42"/>
  <c r="C13" i="42"/>
  <c r="B13" i="42"/>
  <c r="P12" i="42"/>
  <c r="N12" i="42"/>
  <c r="L12" i="42"/>
  <c r="K12" i="42"/>
  <c r="J12" i="42"/>
  <c r="I12" i="42"/>
  <c r="H12" i="42"/>
  <c r="G12" i="42"/>
  <c r="F12" i="42"/>
  <c r="E12" i="42"/>
  <c r="D12" i="42"/>
  <c r="C12" i="42"/>
  <c r="B12" i="42"/>
  <c r="P11" i="42"/>
  <c r="N11" i="42"/>
  <c r="L11" i="42"/>
  <c r="K11" i="42"/>
  <c r="J11" i="42"/>
  <c r="I11" i="42"/>
  <c r="H11" i="42"/>
  <c r="G11" i="42"/>
  <c r="F11" i="42"/>
  <c r="E11" i="42"/>
  <c r="D11" i="42"/>
  <c r="C11" i="42"/>
  <c r="B11" i="42"/>
  <c r="A11" i="42"/>
  <c r="R10" i="42"/>
  <c r="AH9" i="87" s="1"/>
  <c r="C10" i="42"/>
  <c r="A10" i="42"/>
  <c r="P9" i="42"/>
  <c r="N9" i="42"/>
  <c r="K9" i="42"/>
  <c r="J9" i="42"/>
  <c r="I9" i="42"/>
  <c r="H9" i="42"/>
  <c r="G9" i="42"/>
  <c r="F9" i="42"/>
  <c r="E9" i="42"/>
  <c r="D9" i="42"/>
  <c r="C9" i="42"/>
  <c r="B9" i="42"/>
  <c r="A9" i="42"/>
  <c r="R8" i="42"/>
  <c r="C8" i="42"/>
  <c r="A8" i="42"/>
  <c r="P7" i="42"/>
  <c r="N7" i="42"/>
  <c r="L7" i="42"/>
  <c r="K7" i="42"/>
  <c r="J7" i="42"/>
  <c r="I7" i="42"/>
  <c r="H7" i="42"/>
  <c r="G7" i="42"/>
  <c r="F7" i="42"/>
  <c r="E7" i="42"/>
  <c r="D7" i="42"/>
  <c r="C7" i="42"/>
  <c r="A7" i="42"/>
  <c r="R6" i="42"/>
  <c r="C6" i="42"/>
  <c r="A6" i="42"/>
  <c r="C3" i="42"/>
  <c r="C2" i="42"/>
  <c r="A2" i="42"/>
  <c r="P23" i="75"/>
  <c r="N23" i="75"/>
  <c r="L23" i="75"/>
  <c r="K23" i="75"/>
  <c r="J23" i="75"/>
  <c r="I23" i="75"/>
  <c r="H23" i="75"/>
  <c r="G23" i="75"/>
  <c r="F23" i="75"/>
  <c r="E23" i="75"/>
  <c r="C23" i="75"/>
  <c r="B23" i="75"/>
  <c r="A23" i="75"/>
  <c r="P21" i="75"/>
  <c r="N21" i="75"/>
  <c r="L21" i="75"/>
  <c r="K21" i="75"/>
  <c r="J21" i="75"/>
  <c r="I21" i="75"/>
  <c r="H21" i="75"/>
  <c r="G21" i="75"/>
  <c r="F21" i="75"/>
  <c r="E21" i="75"/>
  <c r="C21" i="75"/>
  <c r="B21" i="75"/>
  <c r="A21" i="75"/>
  <c r="P17" i="75"/>
  <c r="N17" i="75"/>
  <c r="L17" i="75"/>
  <c r="K17" i="75"/>
  <c r="J17" i="75"/>
  <c r="I17" i="75"/>
  <c r="H17" i="75"/>
  <c r="G17" i="75"/>
  <c r="F17" i="75"/>
  <c r="E17" i="75"/>
  <c r="D17" i="75"/>
  <c r="C17" i="75"/>
  <c r="A17" i="75"/>
  <c r="P16" i="75"/>
  <c r="N16" i="75"/>
  <c r="L16" i="75"/>
  <c r="K16" i="75"/>
  <c r="J16" i="75"/>
  <c r="I16" i="75"/>
  <c r="H16" i="75"/>
  <c r="G16" i="75"/>
  <c r="F16" i="75"/>
  <c r="E16" i="75"/>
  <c r="D16" i="75"/>
  <c r="C16" i="75"/>
  <c r="A16" i="75"/>
  <c r="R15" i="75"/>
  <c r="C15" i="75"/>
  <c r="A15" i="75"/>
  <c r="P14" i="75"/>
  <c r="N14" i="75"/>
  <c r="M14" i="75"/>
  <c r="L14" i="75"/>
  <c r="K14" i="75"/>
  <c r="G14" i="75"/>
  <c r="F14" i="75"/>
  <c r="E14" i="75"/>
  <c r="D14" i="75"/>
  <c r="C14" i="75"/>
  <c r="A14" i="75"/>
  <c r="R13" i="75"/>
  <c r="C13" i="75"/>
  <c r="A13" i="75"/>
  <c r="P12" i="75"/>
  <c r="N12" i="75"/>
  <c r="L12" i="75"/>
  <c r="K12" i="75"/>
  <c r="J12" i="75"/>
  <c r="I12" i="75"/>
  <c r="H12" i="75"/>
  <c r="G12" i="75"/>
  <c r="F12" i="75"/>
  <c r="E12" i="75"/>
  <c r="D12" i="75"/>
  <c r="C12" i="75"/>
  <c r="A12" i="75"/>
  <c r="R11" i="75"/>
  <c r="AE14" i="87" s="1"/>
  <c r="C11" i="75"/>
  <c r="A11" i="75"/>
  <c r="P10" i="75"/>
  <c r="N10" i="75"/>
  <c r="L10" i="75"/>
  <c r="K10" i="75"/>
  <c r="J10" i="75"/>
  <c r="I10" i="75"/>
  <c r="H10" i="75"/>
  <c r="G10" i="75"/>
  <c r="F10" i="75"/>
  <c r="E10" i="75"/>
  <c r="D10" i="75"/>
  <c r="C10" i="75"/>
  <c r="A10" i="75"/>
  <c r="R9" i="75"/>
  <c r="AE12" i="87" s="1"/>
  <c r="C9" i="75"/>
  <c r="A9" i="75"/>
  <c r="P8" i="75"/>
  <c r="N8" i="75"/>
  <c r="L8" i="75"/>
  <c r="K8" i="75"/>
  <c r="J8" i="75"/>
  <c r="I8" i="75"/>
  <c r="H8" i="75"/>
  <c r="G8" i="75"/>
  <c r="F8" i="75"/>
  <c r="E8" i="75"/>
  <c r="D8" i="75"/>
  <c r="C8" i="75"/>
  <c r="P7" i="75"/>
  <c r="N7" i="75"/>
  <c r="L7" i="75"/>
  <c r="K7" i="75"/>
  <c r="J7" i="75"/>
  <c r="I7" i="75"/>
  <c r="H7" i="75"/>
  <c r="G7" i="75"/>
  <c r="F7" i="75"/>
  <c r="E7" i="75"/>
  <c r="D7" i="75"/>
  <c r="C7" i="75"/>
  <c r="A7" i="75"/>
  <c r="R6" i="75"/>
  <c r="AE9" i="87" s="1"/>
  <c r="C6" i="75"/>
  <c r="A6" i="75"/>
  <c r="C3" i="75"/>
  <c r="C2" i="75"/>
  <c r="A2" i="75"/>
  <c r="P22" i="70"/>
  <c r="N22" i="70"/>
  <c r="L22" i="70"/>
  <c r="K22" i="70"/>
  <c r="J22" i="70"/>
  <c r="I22" i="70"/>
  <c r="H22" i="70"/>
  <c r="G22" i="70"/>
  <c r="F22" i="70"/>
  <c r="E22" i="70"/>
  <c r="C22" i="70"/>
  <c r="B22" i="70"/>
  <c r="A22" i="70"/>
  <c r="P20" i="70"/>
  <c r="N20" i="70"/>
  <c r="L20" i="70"/>
  <c r="K20" i="70"/>
  <c r="J20" i="70"/>
  <c r="I20" i="70"/>
  <c r="H20" i="70"/>
  <c r="G20" i="70"/>
  <c r="F20" i="70"/>
  <c r="E20" i="70"/>
  <c r="C20" i="70"/>
  <c r="B20" i="70"/>
  <c r="A20" i="70"/>
  <c r="P16" i="70"/>
  <c r="N16" i="70"/>
  <c r="L16" i="70"/>
  <c r="K16" i="70"/>
  <c r="J16" i="70"/>
  <c r="I16" i="70"/>
  <c r="H16" i="70"/>
  <c r="G16" i="70"/>
  <c r="F16" i="70"/>
  <c r="E16" i="70"/>
  <c r="D16" i="70"/>
  <c r="C16" i="70"/>
  <c r="A16" i="70"/>
  <c r="R15" i="70"/>
  <c r="AD19" i="87" s="1"/>
  <c r="C15" i="70"/>
  <c r="A15" i="70"/>
  <c r="P14" i="70"/>
  <c r="N14" i="70"/>
  <c r="L14" i="70"/>
  <c r="K14" i="70"/>
  <c r="J14" i="70"/>
  <c r="I14" i="70"/>
  <c r="H14" i="70"/>
  <c r="G14" i="70"/>
  <c r="F14" i="70"/>
  <c r="E14" i="70"/>
  <c r="D14" i="70"/>
  <c r="C14" i="70"/>
  <c r="A14" i="70"/>
  <c r="R13" i="70"/>
  <c r="AD15" i="87" s="1"/>
  <c r="C13" i="70"/>
  <c r="A13" i="70"/>
  <c r="P12" i="70"/>
  <c r="N12" i="70"/>
  <c r="L12" i="70"/>
  <c r="K12" i="70"/>
  <c r="J12" i="70"/>
  <c r="I12" i="70"/>
  <c r="H12" i="70"/>
  <c r="G12" i="70"/>
  <c r="F12" i="70"/>
  <c r="E12" i="70"/>
  <c r="D12" i="70"/>
  <c r="C12" i="70"/>
  <c r="A12" i="70"/>
  <c r="R11" i="70"/>
  <c r="AD14" i="87" s="1"/>
  <c r="C11" i="70"/>
  <c r="A11" i="70"/>
  <c r="P10" i="70"/>
  <c r="N10" i="70"/>
  <c r="L10" i="70"/>
  <c r="K10" i="70"/>
  <c r="J10" i="70"/>
  <c r="I10" i="70"/>
  <c r="H10" i="70"/>
  <c r="G10" i="70"/>
  <c r="F10" i="70"/>
  <c r="E10" i="70"/>
  <c r="D10" i="70"/>
  <c r="C10" i="70"/>
  <c r="A10" i="70"/>
  <c r="R9" i="70"/>
  <c r="AD12" i="87" s="1"/>
  <c r="C9" i="70"/>
  <c r="A9" i="70"/>
  <c r="P8" i="70"/>
  <c r="N8" i="70"/>
  <c r="L8" i="70"/>
  <c r="K8" i="70"/>
  <c r="J8" i="70"/>
  <c r="I8" i="70"/>
  <c r="H8" i="70"/>
  <c r="G8" i="70"/>
  <c r="F8" i="70"/>
  <c r="E8" i="70"/>
  <c r="D8" i="70"/>
  <c r="C8" i="70"/>
  <c r="B8" i="70"/>
  <c r="A8" i="70"/>
  <c r="P7" i="70"/>
  <c r="N7" i="70"/>
  <c r="L7" i="70"/>
  <c r="K7" i="70"/>
  <c r="J7" i="70"/>
  <c r="I7" i="70"/>
  <c r="H7" i="70"/>
  <c r="G7" i="70"/>
  <c r="F7" i="70"/>
  <c r="E7" i="70"/>
  <c r="D7" i="70"/>
  <c r="C7" i="70"/>
  <c r="B7" i="70"/>
  <c r="A7" i="70"/>
  <c r="R6" i="70"/>
  <c r="AD9" i="87" s="1"/>
  <c r="C6" i="70"/>
  <c r="A6" i="70"/>
  <c r="C3" i="70"/>
  <c r="C2" i="70"/>
  <c r="A2" i="70"/>
  <c r="P50" i="68"/>
  <c r="N50" i="68"/>
  <c r="L50" i="68"/>
  <c r="K50" i="68"/>
  <c r="J50" i="68"/>
  <c r="I50" i="68"/>
  <c r="H50" i="68"/>
  <c r="G50" i="68"/>
  <c r="F50" i="68"/>
  <c r="E50" i="68"/>
  <c r="C50" i="68"/>
  <c r="B50" i="68"/>
  <c r="A50" i="68"/>
  <c r="P48" i="68"/>
  <c r="N48" i="68"/>
  <c r="L48" i="68"/>
  <c r="K48" i="68"/>
  <c r="J48" i="68"/>
  <c r="I48" i="68"/>
  <c r="H48" i="68"/>
  <c r="G48" i="68"/>
  <c r="F48" i="68"/>
  <c r="E48" i="68"/>
  <c r="C48" i="68"/>
  <c r="B48" i="68"/>
  <c r="A48" i="68"/>
  <c r="P44" i="68"/>
  <c r="N44" i="68"/>
  <c r="L44" i="68"/>
  <c r="K44" i="68"/>
  <c r="J44" i="68"/>
  <c r="I44" i="68"/>
  <c r="H44" i="68"/>
  <c r="G44" i="68"/>
  <c r="F44" i="68"/>
  <c r="E44" i="68"/>
  <c r="D44" i="68"/>
  <c r="C44" i="68"/>
  <c r="B44" i="68"/>
  <c r="A44" i="68"/>
  <c r="P43" i="68"/>
  <c r="N43" i="68"/>
  <c r="L43" i="68"/>
  <c r="K43" i="68"/>
  <c r="J43" i="68"/>
  <c r="I43" i="68"/>
  <c r="H43" i="68"/>
  <c r="G43" i="68"/>
  <c r="F43" i="68"/>
  <c r="E43" i="68"/>
  <c r="D43" i="68"/>
  <c r="C43" i="68"/>
  <c r="B43" i="68"/>
  <c r="A43" i="68"/>
  <c r="P42" i="68"/>
  <c r="N42" i="68"/>
  <c r="L42" i="68"/>
  <c r="K42" i="68"/>
  <c r="J42" i="68"/>
  <c r="I42" i="68"/>
  <c r="H42" i="68"/>
  <c r="G42" i="68"/>
  <c r="F42" i="68"/>
  <c r="E42" i="68"/>
  <c r="D42" i="68"/>
  <c r="C42" i="68"/>
  <c r="B42" i="68"/>
  <c r="A42" i="68"/>
  <c r="P41" i="68"/>
  <c r="N41" i="68"/>
  <c r="L41" i="68"/>
  <c r="K41" i="68"/>
  <c r="J41" i="68"/>
  <c r="I41" i="68"/>
  <c r="H41" i="68"/>
  <c r="G41" i="68"/>
  <c r="F41" i="68"/>
  <c r="E41" i="68"/>
  <c r="D41" i="68"/>
  <c r="C41" i="68"/>
  <c r="B41" i="68"/>
  <c r="A41" i="68"/>
  <c r="R40" i="68"/>
  <c r="AC19" i="87" s="1"/>
  <c r="C40" i="68"/>
  <c r="A40" i="68"/>
  <c r="P39" i="68"/>
  <c r="N39" i="68"/>
  <c r="L39" i="68"/>
  <c r="K39" i="68"/>
  <c r="J39" i="68"/>
  <c r="I39" i="68"/>
  <c r="H39" i="68"/>
  <c r="G39" i="68"/>
  <c r="F39" i="68"/>
  <c r="E39" i="68"/>
  <c r="D39" i="68"/>
  <c r="C39" i="68"/>
  <c r="B39" i="68"/>
  <c r="A39" i="68"/>
  <c r="R38" i="68"/>
  <c r="C38" i="68"/>
  <c r="A38" i="68"/>
  <c r="P37" i="68"/>
  <c r="N37" i="68"/>
  <c r="L37" i="68"/>
  <c r="K37" i="68"/>
  <c r="J37" i="68"/>
  <c r="I37" i="68"/>
  <c r="H37" i="68"/>
  <c r="G37" i="68"/>
  <c r="F37" i="68"/>
  <c r="E37" i="68"/>
  <c r="D37" i="68"/>
  <c r="C37" i="68"/>
  <c r="A37" i="68"/>
  <c r="R36" i="68"/>
  <c r="AC17" i="87" s="1"/>
  <c r="C36" i="68"/>
  <c r="A36" i="68"/>
  <c r="P35" i="68"/>
  <c r="N35" i="68"/>
  <c r="L35" i="68"/>
  <c r="K35" i="68"/>
  <c r="J35" i="68"/>
  <c r="I35" i="68"/>
  <c r="H35" i="68"/>
  <c r="G35" i="68"/>
  <c r="F35" i="68"/>
  <c r="E35" i="68"/>
  <c r="D35" i="68"/>
  <c r="C35" i="68"/>
  <c r="B35" i="68"/>
  <c r="A35" i="68"/>
  <c r="R34" i="68"/>
  <c r="AC15" i="87" s="1"/>
  <c r="C34" i="68"/>
  <c r="A34" i="68"/>
  <c r="P33" i="68"/>
  <c r="N33" i="68"/>
  <c r="L33" i="68"/>
  <c r="K33" i="68"/>
  <c r="J33" i="68"/>
  <c r="I33" i="68"/>
  <c r="H33" i="68"/>
  <c r="G33" i="68"/>
  <c r="F33" i="68"/>
  <c r="E33" i="68"/>
  <c r="D33" i="68"/>
  <c r="C33" i="68"/>
  <c r="B33" i="68"/>
  <c r="A33" i="68"/>
  <c r="R32" i="68"/>
  <c r="AC14" i="87" s="1"/>
  <c r="C32" i="68"/>
  <c r="A32" i="68"/>
  <c r="P31" i="68"/>
  <c r="N31" i="68"/>
  <c r="L31" i="68"/>
  <c r="K31" i="68"/>
  <c r="J31" i="68"/>
  <c r="I31" i="68"/>
  <c r="H31" i="68"/>
  <c r="G31" i="68"/>
  <c r="F31" i="68"/>
  <c r="E31" i="68"/>
  <c r="D31" i="68"/>
  <c r="C31" i="68"/>
  <c r="B31" i="68"/>
  <c r="P30" i="68"/>
  <c r="N30" i="68"/>
  <c r="L30" i="68"/>
  <c r="K30" i="68"/>
  <c r="J30" i="68"/>
  <c r="I30" i="68"/>
  <c r="H30" i="68"/>
  <c r="G30" i="68"/>
  <c r="F30" i="68"/>
  <c r="E30" i="68"/>
  <c r="D30" i="68"/>
  <c r="C30" i="68"/>
  <c r="B30" i="68"/>
  <c r="P29" i="68"/>
  <c r="N29" i="68"/>
  <c r="L29" i="68"/>
  <c r="K29" i="68"/>
  <c r="J29" i="68"/>
  <c r="I29" i="68"/>
  <c r="H29" i="68"/>
  <c r="G29" i="68"/>
  <c r="F29" i="68"/>
  <c r="E29" i="68"/>
  <c r="D29" i="68"/>
  <c r="C29" i="68"/>
  <c r="P28" i="68"/>
  <c r="N28" i="68"/>
  <c r="L28" i="68"/>
  <c r="K28" i="68"/>
  <c r="J28" i="68"/>
  <c r="I28" i="68"/>
  <c r="H28" i="68"/>
  <c r="G28" i="68"/>
  <c r="F28" i="68"/>
  <c r="E28" i="68"/>
  <c r="D28" i="68"/>
  <c r="C28" i="68"/>
  <c r="P27" i="68"/>
  <c r="N27" i="68"/>
  <c r="L27" i="68"/>
  <c r="K27" i="68"/>
  <c r="J27" i="68"/>
  <c r="I27" i="68"/>
  <c r="H27" i="68"/>
  <c r="G27" i="68"/>
  <c r="F27" i="68"/>
  <c r="E27" i="68"/>
  <c r="D27" i="68"/>
  <c r="C27" i="68"/>
  <c r="P26" i="68"/>
  <c r="N26" i="68"/>
  <c r="L26" i="68"/>
  <c r="K26" i="68"/>
  <c r="J26" i="68"/>
  <c r="I26" i="68"/>
  <c r="H26" i="68"/>
  <c r="G26" i="68"/>
  <c r="F26" i="68"/>
  <c r="E26" i="68"/>
  <c r="D26" i="68"/>
  <c r="C26" i="68"/>
  <c r="P25" i="68"/>
  <c r="N25" i="68"/>
  <c r="L25" i="68"/>
  <c r="K25" i="68"/>
  <c r="J25" i="68"/>
  <c r="I25" i="68"/>
  <c r="H25" i="68"/>
  <c r="G25" i="68"/>
  <c r="F25" i="68"/>
  <c r="E25" i="68"/>
  <c r="D25" i="68"/>
  <c r="C25" i="68"/>
  <c r="A25" i="68"/>
  <c r="R24" i="68"/>
  <c r="AC12" i="87" s="1"/>
  <c r="C24" i="68"/>
  <c r="A24" i="68"/>
  <c r="P23" i="68"/>
  <c r="N23" i="68"/>
  <c r="L23" i="68"/>
  <c r="K23" i="68"/>
  <c r="J23" i="68"/>
  <c r="I23" i="68"/>
  <c r="H23" i="68"/>
  <c r="G23" i="68"/>
  <c r="F23" i="68"/>
  <c r="E23" i="68"/>
  <c r="D23" i="68"/>
  <c r="C23" i="68"/>
  <c r="B23" i="68"/>
  <c r="A23" i="68"/>
  <c r="R22" i="68"/>
  <c r="AC11" i="87" s="1"/>
  <c r="C22" i="68"/>
  <c r="A22" i="68"/>
  <c r="P21" i="68"/>
  <c r="N21" i="68"/>
  <c r="L21" i="68"/>
  <c r="K21" i="68"/>
  <c r="J21" i="68"/>
  <c r="I21" i="68"/>
  <c r="H21" i="68"/>
  <c r="G21" i="68"/>
  <c r="F21" i="68"/>
  <c r="E21" i="68"/>
  <c r="D21" i="68"/>
  <c r="C21" i="68"/>
  <c r="B21" i="68"/>
  <c r="P20" i="68"/>
  <c r="N20" i="68"/>
  <c r="L20" i="68"/>
  <c r="K20" i="68"/>
  <c r="J20" i="68"/>
  <c r="I20" i="68"/>
  <c r="H20" i="68"/>
  <c r="G20" i="68"/>
  <c r="F20" i="68"/>
  <c r="E20" i="68"/>
  <c r="D20" i="68"/>
  <c r="C20" i="68"/>
  <c r="B20" i="68"/>
  <c r="P19" i="68"/>
  <c r="N19" i="68"/>
  <c r="L19" i="68"/>
  <c r="K19" i="68"/>
  <c r="J19" i="68"/>
  <c r="I19" i="68"/>
  <c r="H19" i="68"/>
  <c r="G19" i="68"/>
  <c r="F19" i="68"/>
  <c r="E19" i="68"/>
  <c r="D19" i="68"/>
  <c r="C19" i="68"/>
  <c r="B19" i="68"/>
  <c r="P18" i="68"/>
  <c r="N18" i="68"/>
  <c r="L18" i="68"/>
  <c r="K18" i="68"/>
  <c r="J18" i="68"/>
  <c r="I18" i="68"/>
  <c r="H18" i="68"/>
  <c r="G18" i="68"/>
  <c r="F18" i="68"/>
  <c r="E18" i="68"/>
  <c r="D18" i="68"/>
  <c r="C18" i="68"/>
  <c r="B18" i="68"/>
  <c r="A18" i="68"/>
  <c r="R17" i="68"/>
  <c r="AC9" i="87" s="1"/>
  <c r="C17" i="68"/>
  <c r="A17" i="68"/>
  <c r="P16" i="68"/>
  <c r="N16" i="68"/>
  <c r="L16" i="68"/>
  <c r="K16" i="68"/>
  <c r="J16" i="68"/>
  <c r="I16" i="68"/>
  <c r="H16" i="68"/>
  <c r="G16" i="68"/>
  <c r="F16" i="68"/>
  <c r="E16" i="68"/>
  <c r="D16" i="68"/>
  <c r="C16" i="68"/>
  <c r="P15" i="68"/>
  <c r="N15" i="68"/>
  <c r="L15" i="68"/>
  <c r="K15" i="68"/>
  <c r="J15" i="68"/>
  <c r="I15" i="68"/>
  <c r="H15" i="68"/>
  <c r="G15" i="68"/>
  <c r="F15" i="68"/>
  <c r="E15" i="68"/>
  <c r="D15" i="68"/>
  <c r="C15" i="68"/>
  <c r="A15" i="68"/>
  <c r="R14" i="68"/>
  <c r="AC6" i="87" s="1"/>
  <c r="C14" i="68"/>
  <c r="A14" i="68"/>
  <c r="P13" i="68"/>
  <c r="N13" i="68"/>
  <c r="L13" i="68"/>
  <c r="K13" i="68"/>
  <c r="J13" i="68"/>
  <c r="I13" i="68"/>
  <c r="H13" i="68"/>
  <c r="G13" i="68"/>
  <c r="F13" i="68"/>
  <c r="E13" i="68"/>
  <c r="D13" i="68"/>
  <c r="C13" i="68"/>
  <c r="B13" i="68"/>
  <c r="A13" i="68"/>
  <c r="R12" i="68"/>
  <c r="AC5" i="87" s="1"/>
  <c r="C12" i="68"/>
  <c r="A12" i="68"/>
  <c r="P11" i="68"/>
  <c r="N11" i="68"/>
  <c r="L11" i="68"/>
  <c r="K11" i="68"/>
  <c r="J11" i="68"/>
  <c r="I11" i="68"/>
  <c r="H11" i="68"/>
  <c r="G11" i="68"/>
  <c r="F11" i="68"/>
  <c r="E11" i="68"/>
  <c r="D11" i="68"/>
  <c r="C11" i="68"/>
  <c r="B11" i="68"/>
  <c r="A11" i="68"/>
  <c r="P10" i="68"/>
  <c r="N10" i="68"/>
  <c r="L10" i="68"/>
  <c r="K10" i="68"/>
  <c r="J10" i="68"/>
  <c r="I10" i="68"/>
  <c r="H10" i="68"/>
  <c r="G10" i="68"/>
  <c r="F10" i="68"/>
  <c r="E10" i="68"/>
  <c r="D10" i="68"/>
  <c r="C10" i="68"/>
  <c r="B10" i="68"/>
  <c r="A10" i="68"/>
  <c r="P9" i="68"/>
  <c r="N9" i="68"/>
  <c r="L9" i="68"/>
  <c r="K9" i="68"/>
  <c r="J9" i="68"/>
  <c r="I9" i="68"/>
  <c r="H9" i="68"/>
  <c r="G9" i="68"/>
  <c r="F9" i="68"/>
  <c r="E9" i="68"/>
  <c r="D9" i="68"/>
  <c r="C9" i="68"/>
  <c r="B9" i="68"/>
  <c r="A9" i="68"/>
  <c r="P8" i="68"/>
  <c r="N8" i="68"/>
  <c r="L8" i="68"/>
  <c r="K8" i="68"/>
  <c r="J8" i="68"/>
  <c r="I8" i="68"/>
  <c r="H8" i="68"/>
  <c r="G8" i="68"/>
  <c r="F8" i="68"/>
  <c r="E8" i="68"/>
  <c r="D8" i="68"/>
  <c r="C8" i="68"/>
  <c r="B8" i="68"/>
  <c r="A8" i="68"/>
  <c r="P7" i="68"/>
  <c r="N7" i="68"/>
  <c r="L7" i="68"/>
  <c r="K7" i="68"/>
  <c r="J7" i="68"/>
  <c r="I7" i="68"/>
  <c r="H7" i="68"/>
  <c r="G7" i="68"/>
  <c r="F7" i="68"/>
  <c r="E7" i="68"/>
  <c r="D7" i="68"/>
  <c r="C7" i="68"/>
  <c r="B7" i="68"/>
  <c r="A7" i="68"/>
  <c r="R6" i="68"/>
  <c r="AC4" i="87" s="1"/>
  <c r="C6" i="68"/>
  <c r="A6" i="68"/>
  <c r="C3" i="68"/>
  <c r="C2" i="68"/>
  <c r="A2" i="68"/>
  <c r="P69" i="41"/>
  <c r="N69" i="41"/>
  <c r="L69" i="41"/>
  <c r="K69" i="41"/>
  <c r="J69" i="41"/>
  <c r="I69" i="41"/>
  <c r="H69" i="41"/>
  <c r="G69" i="41"/>
  <c r="F69" i="41"/>
  <c r="E69" i="41"/>
  <c r="C69" i="41"/>
  <c r="B69" i="41"/>
  <c r="A69" i="41"/>
  <c r="P67" i="41"/>
  <c r="N67" i="41"/>
  <c r="L67" i="41"/>
  <c r="K67" i="41"/>
  <c r="J67" i="41"/>
  <c r="I67" i="41"/>
  <c r="H67" i="41"/>
  <c r="G67" i="41"/>
  <c r="F67" i="41"/>
  <c r="E67" i="41"/>
  <c r="C67" i="41"/>
  <c r="B67" i="41"/>
  <c r="A67" i="41"/>
  <c r="P63" i="41"/>
  <c r="N63" i="41"/>
  <c r="L63" i="41"/>
  <c r="K63" i="41"/>
  <c r="J63" i="41"/>
  <c r="I63" i="41"/>
  <c r="H63" i="41"/>
  <c r="G63" i="41"/>
  <c r="F63" i="41"/>
  <c r="E63" i="41"/>
  <c r="D63" i="41"/>
  <c r="C63" i="41"/>
  <c r="B63" i="41"/>
  <c r="A63" i="41"/>
  <c r="P62" i="41"/>
  <c r="N62" i="41"/>
  <c r="L62" i="41"/>
  <c r="K62" i="41"/>
  <c r="J62" i="41"/>
  <c r="I62" i="41"/>
  <c r="H62" i="41"/>
  <c r="G62" i="41"/>
  <c r="F62" i="41"/>
  <c r="E62" i="41"/>
  <c r="D62" i="41"/>
  <c r="C62" i="41"/>
  <c r="B62" i="41"/>
  <c r="A62" i="41"/>
  <c r="P61" i="41"/>
  <c r="N61" i="41"/>
  <c r="L61" i="41"/>
  <c r="K61" i="41"/>
  <c r="J61" i="41"/>
  <c r="I61" i="41"/>
  <c r="H61" i="41"/>
  <c r="G61" i="41"/>
  <c r="F61" i="41"/>
  <c r="E61" i="41"/>
  <c r="D61" i="41"/>
  <c r="C61" i="41"/>
  <c r="B61" i="41"/>
  <c r="A61" i="41"/>
  <c r="P60" i="41"/>
  <c r="N60" i="41"/>
  <c r="L60" i="41"/>
  <c r="K60" i="41"/>
  <c r="J60" i="41"/>
  <c r="I60" i="41"/>
  <c r="H60" i="41"/>
  <c r="G60" i="41"/>
  <c r="F60" i="41"/>
  <c r="E60" i="41"/>
  <c r="D60" i="41"/>
  <c r="C60" i="41"/>
  <c r="B60" i="41"/>
  <c r="A60" i="41"/>
  <c r="P59" i="41"/>
  <c r="N59" i="41"/>
  <c r="L59" i="41"/>
  <c r="K59" i="41"/>
  <c r="J59" i="41"/>
  <c r="H59" i="41"/>
  <c r="G59" i="41"/>
  <c r="F59" i="41"/>
  <c r="E59" i="41"/>
  <c r="D59" i="41"/>
  <c r="C59" i="41"/>
  <c r="B59" i="41"/>
  <c r="A59" i="41"/>
  <c r="P58" i="41"/>
  <c r="N58" i="41"/>
  <c r="L58" i="41"/>
  <c r="K58" i="41"/>
  <c r="J58" i="41"/>
  <c r="I58" i="41"/>
  <c r="H58" i="41"/>
  <c r="G58" i="41"/>
  <c r="F58" i="41"/>
  <c r="E58" i="41"/>
  <c r="D58" i="41"/>
  <c r="C58" i="41"/>
  <c r="B58" i="41"/>
  <c r="A58" i="41"/>
  <c r="P57" i="41"/>
  <c r="N57" i="41"/>
  <c r="L57" i="41"/>
  <c r="K57" i="41"/>
  <c r="J57" i="41"/>
  <c r="I57" i="41"/>
  <c r="H57" i="41"/>
  <c r="G57" i="41"/>
  <c r="F57" i="41"/>
  <c r="E57" i="41"/>
  <c r="D57" i="41"/>
  <c r="C57" i="41"/>
  <c r="B57" i="41"/>
  <c r="A57" i="41"/>
  <c r="R56" i="41"/>
  <c r="AB19" i="87" s="1"/>
  <c r="C56" i="41"/>
  <c r="A56" i="41"/>
  <c r="P55" i="41"/>
  <c r="N55" i="41"/>
  <c r="L55" i="41"/>
  <c r="K55" i="41"/>
  <c r="J55" i="41"/>
  <c r="I55" i="41"/>
  <c r="H55" i="41"/>
  <c r="G55" i="41"/>
  <c r="F55" i="41"/>
  <c r="E55" i="41"/>
  <c r="D55" i="41"/>
  <c r="C55" i="41"/>
  <c r="B55" i="41"/>
  <c r="A55" i="41"/>
  <c r="P54" i="41"/>
  <c r="N54" i="41"/>
  <c r="L54" i="41"/>
  <c r="K54" i="41"/>
  <c r="J54" i="41"/>
  <c r="I54" i="41"/>
  <c r="H54" i="41"/>
  <c r="G54" i="41"/>
  <c r="F54" i="41"/>
  <c r="E54" i="41"/>
  <c r="D54" i="41"/>
  <c r="C54" i="41"/>
  <c r="B54" i="41"/>
  <c r="A54" i="41"/>
  <c r="P53" i="41"/>
  <c r="N53" i="41"/>
  <c r="L53" i="41"/>
  <c r="K53" i="41"/>
  <c r="J53" i="41"/>
  <c r="I53" i="41"/>
  <c r="H53" i="41"/>
  <c r="G53" i="41"/>
  <c r="F53" i="41"/>
  <c r="E53" i="41"/>
  <c r="D53" i="41"/>
  <c r="C53" i="41"/>
  <c r="B53" i="41"/>
  <c r="A53" i="41"/>
  <c r="P52" i="41"/>
  <c r="N52" i="41"/>
  <c r="L52" i="41"/>
  <c r="K52" i="41"/>
  <c r="J52" i="41"/>
  <c r="I52" i="41"/>
  <c r="H52" i="41"/>
  <c r="G52" i="41"/>
  <c r="F52" i="41"/>
  <c r="E52" i="41"/>
  <c r="D52" i="41"/>
  <c r="C52" i="41"/>
  <c r="B52" i="41"/>
  <c r="A52" i="41"/>
  <c r="R51" i="41"/>
  <c r="AB18" i="87" s="1"/>
  <c r="C51" i="41"/>
  <c r="A51" i="41"/>
  <c r="P50" i="41"/>
  <c r="N50" i="41"/>
  <c r="L50" i="41"/>
  <c r="K50" i="41"/>
  <c r="J50" i="41"/>
  <c r="I50" i="41"/>
  <c r="H50" i="41"/>
  <c r="G50" i="41"/>
  <c r="F50" i="41"/>
  <c r="E50" i="41"/>
  <c r="D50" i="41"/>
  <c r="C50" i="41"/>
  <c r="B50" i="41"/>
  <c r="A50" i="41"/>
  <c r="P49" i="41"/>
  <c r="N49" i="41"/>
  <c r="L49" i="41"/>
  <c r="K49" i="41"/>
  <c r="J49" i="41"/>
  <c r="I49" i="41"/>
  <c r="H49" i="41"/>
  <c r="G49" i="41"/>
  <c r="F49" i="41"/>
  <c r="E49" i="41"/>
  <c r="D49" i="41"/>
  <c r="C49" i="41"/>
  <c r="B49" i="41"/>
  <c r="A49" i="41"/>
  <c r="P48" i="41"/>
  <c r="N48" i="41"/>
  <c r="L48" i="41"/>
  <c r="K48" i="41"/>
  <c r="J48" i="41"/>
  <c r="I48" i="41"/>
  <c r="H48" i="41"/>
  <c r="G48" i="41"/>
  <c r="F48" i="41"/>
  <c r="E48" i="41"/>
  <c r="D48" i="41"/>
  <c r="C48" i="41"/>
  <c r="B48" i="41"/>
  <c r="A48" i="41"/>
  <c r="R47" i="41"/>
  <c r="AB17" i="87" s="1"/>
  <c r="C47" i="41"/>
  <c r="A47" i="41"/>
  <c r="P46" i="41"/>
  <c r="N46" i="41"/>
  <c r="L46" i="41"/>
  <c r="K46" i="41"/>
  <c r="J46" i="41"/>
  <c r="I46" i="41"/>
  <c r="H46" i="41"/>
  <c r="G46" i="41"/>
  <c r="F46" i="41"/>
  <c r="E46" i="41"/>
  <c r="D46" i="41"/>
  <c r="C46" i="41"/>
  <c r="B46" i="41"/>
  <c r="P45" i="41"/>
  <c r="N45" i="41"/>
  <c r="L45" i="41"/>
  <c r="K45" i="41"/>
  <c r="J45" i="41"/>
  <c r="I45" i="41"/>
  <c r="H45" i="41"/>
  <c r="G45" i="41"/>
  <c r="F45" i="41"/>
  <c r="E45" i="41"/>
  <c r="D45" i="41"/>
  <c r="C45" i="41"/>
  <c r="B45" i="41"/>
  <c r="A45" i="41"/>
  <c r="R44" i="41"/>
  <c r="AB15" i="87" s="1"/>
  <c r="C44" i="41"/>
  <c r="A44" i="41"/>
  <c r="P43" i="41"/>
  <c r="N43" i="41"/>
  <c r="L43" i="41"/>
  <c r="K43" i="41"/>
  <c r="J43" i="41"/>
  <c r="I43" i="41"/>
  <c r="H43" i="41"/>
  <c r="G43" i="41"/>
  <c r="F43" i="41"/>
  <c r="E43" i="41"/>
  <c r="D43" i="41"/>
  <c r="C43" i="41"/>
  <c r="B43" i="41"/>
  <c r="P42" i="41"/>
  <c r="N42" i="41"/>
  <c r="L42" i="41"/>
  <c r="K42" i="41"/>
  <c r="J42" i="41"/>
  <c r="I42" i="41"/>
  <c r="H42" i="41"/>
  <c r="G42" i="41"/>
  <c r="F42" i="41"/>
  <c r="E42" i="41"/>
  <c r="D42" i="41"/>
  <c r="C42" i="41"/>
  <c r="B42" i="41"/>
  <c r="P41" i="41"/>
  <c r="N41" i="41"/>
  <c r="L41" i="41"/>
  <c r="K41" i="41"/>
  <c r="J41" i="41"/>
  <c r="I41" i="41"/>
  <c r="H41" i="41"/>
  <c r="G41" i="41"/>
  <c r="F41" i="41"/>
  <c r="E41" i="41"/>
  <c r="D41" i="41"/>
  <c r="C41" i="41"/>
  <c r="B41" i="41"/>
  <c r="A41" i="41"/>
  <c r="R40" i="41"/>
  <c r="AB14" i="87" s="1"/>
  <c r="C40" i="41"/>
  <c r="A40" i="41"/>
  <c r="P39" i="41"/>
  <c r="N39" i="41"/>
  <c r="L39" i="41"/>
  <c r="K39" i="41"/>
  <c r="J39" i="41"/>
  <c r="I39" i="41"/>
  <c r="H39" i="41"/>
  <c r="G39" i="41"/>
  <c r="F39" i="41"/>
  <c r="E39" i="41"/>
  <c r="D39" i="41"/>
  <c r="C39" i="41"/>
  <c r="B39" i="41"/>
  <c r="A39" i="41"/>
  <c r="P38" i="41"/>
  <c r="N38" i="41"/>
  <c r="L38" i="41"/>
  <c r="K38" i="41"/>
  <c r="J38" i="41"/>
  <c r="I38" i="41"/>
  <c r="H38" i="41"/>
  <c r="G38" i="41"/>
  <c r="F38" i="41"/>
  <c r="E38" i="41"/>
  <c r="D38" i="41"/>
  <c r="C38" i="41"/>
  <c r="B38" i="41"/>
  <c r="A38" i="41"/>
  <c r="P37" i="41"/>
  <c r="N37" i="41"/>
  <c r="L37" i="41"/>
  <c r="K37" i="41"/>
  <c r="J37" i="41"/>
  <c r="I37" i="41"/>
  <c r="H37" i="41"/>
  <c r="G37" i="41"/>
  <c r="F37" i="41"/>
  <c r="E37" i="41"/>
  <c r="D37" i="41"/>
  <c r="C37" i="41"/>
  <c r="B37" i="41"/>
  <c r="A37" i="41"/>
  <c r="R36" i="41"/>
  <c r="AB13" i="87" s="1"/>
  <c r="C36" i="41"/>
  <c r="A36" i="41"/>
  <c r="P35" i="41"/>
  <c r="N35" i="41"/>
  <c r="L35" i="41"/>
  <c r="K35" i="41"/>
  <c r="J35" i="41"/>
  <c r="I35" i="41"/>
  <c r="H35" i="41"/>
  <c r="G35" i="41"/>
  <c r="F35" i="41"/>
  <c r="E35" i="41"/>
  <c r="D35" i="41"/>
  <c r="C35" i="41"/>
  <c r="P34" i="41"/>
  <c r="N34" i="41"/>
  <c r="L34" i="41"/>
  <c r="K34" i="41"/>
  <c r="J34" i="41"/>
  <c r="I34" i="41"/>
  <c r="H34" i="41"/>
  <c r="G34" i="41"/>
  <c r="F34" i="41"/>
  <c r="E34" i="41"/>
  <c r="D34" i="41"/>
  <c r="C34" i="41"/>
  <c r="B34" i="41"/>
  <c r="P33" i="41"/>
  <c r="N33" i="41"/>
  <c r="L33" i="41"/>
  <c r="K33" i="41"/>
  <c r="J33" i="41"/>
  <c r="I33" i="41"/>
  <c r="H33" i="41"/>
  <c r="G33" i="41"/>
  <c r="F33" i="41"/>
  <c r="E33" i="41"/>
  <c r="D33" i="41"/>
  <c r="C33" i="41"/>
  <c r="B33" i="41"/>
  <c r="A33" i="41"/>
  <c r="R32" i="41"/>
  <c r="AB12" i="87" s="1"/>
  <c r="C32" i="41"/>
  <c r="A32" i="41"/>
  <c r="P31" i="41"/>
  <c r="N31" i="41"/>
  <c r="L31" i="41"/>
  <c r="K31" i="41"/>
  <c r="J31" i="41"/>
  <c r="I31" i="41"/>
  <c r="H31" i="41"/>
  <c r="G31" i="41"/>
  <c r="F31" i="41"/>
  <c r="E31" i="41"/>
  <c r="D31" i="41"/>
  <c r="C31" i="41"/>
  <c r="A31" i="41"/>
  <c r="P30" i="41"/>
  <c r="N30" i="41"/>
  <c r="L30" i="41"/>
  <c r="K30" i="41"/>
  <c r="J30" i="41"/>
  <c r="I30" i="41"/>
  <c r="H30" i="41"/>
  <c r="G30" i="41"/>
  <c r="F30" i="41"/>
  <c r="E30" i="41"/>
  <c r="D30" i="41"/>
  <c r="C30" i="41"/>
  <c r="B30" i="41"/>
  <c r="A30" i="41"/>
  <c r="R29" i="41"/>
  <c r="AB10" i="87" s="1"/>
  <c r="C29" i="41"/>
  <c r="A29" i="41"/>
  <c r="P28" i="41"/>
  <c r="N28" i="41"/>
  <c r="L28" i="41"/>
  <c r="K28" i="41"/>
  <c r="J28" i="41"/>
  <c r="I28" i="41"/>
  <c r="H28" i="41"/>
  <c r="G28" i="41"/>
  <c r="F28" i="41"/>
  <c r="E28" i="41"/>
  <c r="D28" i="41"/>
  <c r="C28" i="41"/>
  <c r="P27" i="41"/>
  <c r="N27" i="41"/>
  <c r="L27" i="41"/>
  <c r="K27" i="41"/>
  <c r="J27" i="41"/>
  <c r="I27" i="41"/>
  <c r="H27" i="41"/>
  <c r="G27" i="41"/>
  <c r="F27" i="41"/>
  <c r="E27" i="41"/>
  <c r="D27" i="41"/>
  <c r="C27" i="41"/>
  <c r="B27" i="41"/>
  <c r="P26" i="41"/>
  <c r="N26" i="41"/>
  <c r="L26" i="41"/>
  <c r="K26" i="41"/>
  <c r="J26" i="41"/>
  <c r="I26" i="41"/>
  <c r="H26" i="41"/>
  <c r="G26" i="41"/>
  <c r="F26" i="41"/>
  <c r="E26" i="41"/>
  <c r="D26" i="41"/>
  <c r="C26" i="41"/>
  <c r="B26" i="41"/>
  <c r="A26" i="41"/>
  <c r="P25" i="41"/>
  <c r="N25" i="41"/>
  <c r="L25" i="41"/>
  <c r="K25" i="41"/>
  <c r="J25" i="41"/>
  <c r="I25" i="41"/>
  <c r="H25" i="41"/>
  <c r="G25" i="41"/>
  <c r="F25" i="41"/>
  <c r="E25" i="41"/>
  <c r="D25" i="41"/>
  <c r="C25" i="41"/>
  <c r="P24" i="41"/>
  <c r="N24" i="41"/>
  <c r="L24" i="41"/>
  <c r="K24" i="41"/>
  <c r="J24" i="41"/>
  <c r="I24" i="41"/>
  <c r="H24" i="41"/>
  <c r="G24" i="41"/>
  <c r="F24" i="41"/>
  <c r="E24" i="41"/>
  <c r="D24" i="41"/>
  <c r="C24" i="41"/>
  <c r="B24" i="41"/>
  <c r="A24" i="41"/>
  <c r="P23" i="41"/>
  <c r="N23" i="41"/>
  <c r="K23" i="41"/>
  <c r="J23" i="41"/>
  <c r="I23" i="41"/>
  <c r="H23" i="41"/>
  <c r="G23" i="41"/>
  <c r="F23" i="41"/>
  <c r="E23" i="41"/>
  <c r="D23" i="41"/>
  <c r="C23" i="41"/>
  <c r="B23" i="41"/>
  <c r="P22" i="41"/>
  <c r="N22" i="41"/>
  <c r="L22" i="41"/>
  <c r="K22" i="41"/>
  <c r="J22" i="41"/>
  <c r="I22" i="41"/>
  <c r="H22" i="41"/>
  <c r="G22" i="41"/>
  <c r="F22" i="41"/>
  <c r="E22" i="41"/>
  <c r="D22" i="41"/>
  <c r="C22" i="41"/>
  <c r="B22" i="41"/>
  <c r="P21" i="41"/>
  <c r="N21" i="41"/>
  <c r="L21" i="41"/>
  <c r="K21" i="41"/>
  <c r="J21" i="41"/>
  <c r="I21" i="41"/>
  <c r="H21" i="41"/>
  <c r="G21" i="41"/>
  <c r="F21" i="41"/>
  <c r="E21" i="41"/>
  <c r="D21" i="41"/>
  <c r="C21" i="41"/>
  <c r="B21" i="41"/>
  <c r="A21" i="41"/>
  <c r="R20" i="41"/>
  <c r="AB9" i="87" s="1"/>
  <c r="C20" i="41"/>
  <c r="A20" i="41"/>
  <c r="P19" i="41"/>
  <c r="N19" i="41"/>
  <c r="L19" i="41"/>
  <c r="K19" i="41"/>
  <c r="J19" i="41"/>
  <c r="I19" i="41"/>
  <c r="H19" i="41"/>
  <c r="G19" i="41"/>
  <c r="F19" i="41"/>
  <c r="E19" i="41"/>
  <c r="D19" i="41"/>
  <c r="C19" i="41"/>
  <c r="A19" i="41"/>
  <c r="R18" i="41"/>
  <c r="AB8" i="87" s="1"/>
  <c r="C18" i="41"/>
  <c r="A18" i="41"/>
  <c r="P17" i="41"/>
  <c r="N17" i="41"/>
  <c r="L17" i="41"/>
  <c r="K17" i="41"/>
  <c r="J17" i="41"/>
  <c r="I17" i="41"/>
  <c r="H17" i="41"/>
  <c r="G17" i="41"/>
  <c r="F17" i="41"/>
  <c r="E17" i="41"/>
  <c r="D17" i="41"/>
  <c r="C17" i="41"/>
  <c r="B17" i="41"/>
  <c r="P16" i="41"/>
  <c r="N16" i="41"/>
  <c r="L16" i="41"/>
  <c r="K16" i="41"/>
  <c r="J16" i="41"/>
  <c r="I16" i="41"/>
  <c r="H16" i="41"/>
  <c r="G16" i="41"/>
  <c r="F16" i="41"/>
  <c r="E16" i="41"/>
  <c r="D16" i="41"/>
  <c r="C16" i="41"/>
  <c r="B16" i="41"/>
  <c r="A16" i="41"/>
  <c r="P15" i="41"/>
  <c r="N15" i="41"/>
  <c r="L15" i="41"/>
  <c r="K15" i="41"/>
  <c r="J15" i="41"/>
  <c r="I15" i="41"/>
  <c r="G15" i="41"/>
  <c r="F15" i="41"/>
  <c r="E15" i="41"/>
  <c r="D15" i="41"/>
  <c r="C15" i="41"/>
  <c r="B15" i="41"/>
  <c r="A15" i="41"/>
  <c r="P14" i="41"/>
  <c r="N14" i="41"/>
  <c r="L14" i="41"/>
  <c r="K14" i="41"/>
  <c r="J14" i="41"/>
  <c r="I14" i="41"/>
  <c r="H14" i="41"/>
  <c r="G14" i="41"/>
  <c r="F14" i="41"/>
  <c r="E14" i="41"/>
  <c r="D14" i="41"/>
  <c r="C14" i="41"/>
  <c r="B14" i="41"/>
  <c r="A14" i="41"/>
  <c r="P13" i="41"/>
  <c r="N13" i="41"/>
  <c r="L13" i="41"/>
  <c r="K13" i="41"/>
  <c r="J13" i="41"/>
  <c r="I13" i="41"/>
  <c r="H13" i="41"/>
  <c r="G13" i="41"/>
  <c r="F13" i="41"/>
  <c r="E13" i="41"/>
  <c r="D13" i="41"/>
  <c r="C13" i="41"/>
  <c r="B13" i="41"/>
  <c r="A13" i="41"/>
  <c r="R12" i="41"/>
  <c r="AB6" i="87" s="1"/>
  <c r="C12" i="41"/>
  <c r="A12" i="41"/>
  <c r="P11" i="41"/>
  <c r="N11" i="41"/>
  <c r="L11" i="41"/>
  <c r="K11" i="41"/>
  <c r="J11" i="41"/>
  <c r="I11" i="41"/>
  <c r="H11" i="41"/>
  <c r="G11" i="41"/>
  <c r="F11" i="41"/>
  <c r="E11" i="41"/>
  <c r="D11" i="41"/>
  <c r="C11" i="41"/>
  <c r="B11" i="41"/>
  <c r="A11" i="41"/>
  <c r="R10" i="41"/>
  <c r="AB5" i="87" s="1"/>
  <c r="C10" i="41"/>
  <c r="A10" i="41"/>
  <c r="P9" i="41"/>
  <c r="N9" i="41"/>
  <c r="L9" i="41"/>
  <c r="K9" i="41"/>
  <c r="J9" i="41"/>
  <c r="I9" i="41"/>
  <c r="H9" i="41"/>
  <c r="G9" i="41"/>
  <c r="F9" i="41"/>
  <c r="E9" i="41"/>
  <c r="D9" i="41"/>
  <c r="C9" i="41"/>
  <c r="B9" i="41"/>
  <c r="A9" i="41"/>
  <c r="P8" i="41"/>
  <c r="N8" i="41"/>
  <c r="L8" i="41"/>
  <c r="K8" i="41"/>
  <c r="J8" i="41"/>
  <c r="I8" i="41"/>
  <c r="H8" i="41"/>
  <c r="G8" i="41"/>
  <c r="F8" i="41"/>
  <c r="E8" i="41"/>
  <c r="D8" i="41"/>
  <c r="C8" i="41"/>
  <c r="B8" i="41"/>
  <c r="A8" i="41"/>
  <c r="P7" i="41"/>
  <c r="N7" i="41"/>
  <c r="L7" i="41"/>
  <c r="K7" i="41"/>
  <c r="J7" i="41"/>
  <c r="I7" i="41"/>
  <c r="H7" i="41"/>
  <c r="G7" i="41"/>
  <c r="F7" i="41"/>
  <c r="E7" i="41"/>
  <c r="D7" i="41"/>
  <c r="C7" i="41"/>
  <c r="B7" i="41"/>
  <c r="A7" i="41"/>
  <c r="R6" i="41"/>
  <c r="AB4" i="87" s="1"/>
  <c r="C6" i="41"/>
  <c r="A6" i="41"/>
  <c r="C3" i="41"/>
  <c r="C2" i="41"/>
  <c r="A2" i="41"/>
  <c r="P54" i="20"/>
  <c r="N54" i="20"/>
  <c r="L54" i="20"/>
  <c r="K54" i="20"/>
  <c r="J54" i="20"/>
  <c r="I54" i="20"/>
  <c r="H54" i="20"/>
  <c r="G54" i="20"/>
  <c r="F54" i="20"/>
  <c r="E54" i="20"/>
  <c r="C54" i="20"/>
  <c r="B54" i="20"/>
  <c r="A54" i="20"/>
  <c r="P52" i="20"/>
  <c r="N52" i="20"/>
  <c r="L52" i="20"/>
  <c r="K52" i="20"/>
  <c r="J52" i="20"/>
  <c r="I52" i="20"/>
  <c r="H52" i="20"/>
  <c r="G52" i="20"/>
  <c r="F52" i="20"/>
  <c r="E52" i="20"/>
  <c r="C52" i="20"/>
  <c r="B52" i="20"/>
  <c r="A52" i="20"/>
  <c r="P48" i="20"/>
  <c r="N48" i="20"/>
  <c r="L48" i="20"/>
  <c r="K48" i="20"/>
  <c r="J48" i="20"/>
  <c r="I48" i="20"/>
  <c r="H48" i="20"/>
  <c r="G48" i="20"/>
  <c r="F48" i="20"/>
  <c r="E48" i="20"/>
  <c r="D48" i="20"/>
  <c r="C48" i="20"/>
  <c r="B48" i="20"/>
  <c r="A48" i="20"/>
  <c r="P47" i="20"/>
  <c r="N47" i="20"/>
  <c r="L47" i="20"/>
  <c r="K47" i="20"/>
  <c r="J47" i="20"/>
  <c r="I47" i="20"/>
  <c r="H47" i="20"/>
  <c r="G47" i="20"/>
  <c r="F47" i="20"/>
  <c r="E47" i="20"/>
  <c r="D47" i="20"/>
  <c r="C47" i="20"/>
  <c r="B47" i="20"/>
  <c r="A47" i="20"/>
  <c r="P46" i="20"/>
  <c r="N46" i="20"/>
  <c r="L46" i="20"/>
  <c r="K46" i="20"/>
  <c r="J46" i="20"/>
  <c r="I46" i="20"/>
  <c r="H46" i="20"/>
  <c r="G46" i="20"/>
  <c r="F46" i="20"/>
  <c r="E46" i="20"/>
  <c r="D46" i="20"/>
  <c r="C46" i="20"/>
  <c r="B46" i="20"/>
  <c r="A46" i="20"/>
  <c r="P45" i="20"/>
  <c r="N45" i="20"/>
  <c r="L45" i="20"/>
  <c r="K45" i="20"/>
  <c r="J45" i="20"/>
  <c r="I45" i="20"/>
  <c r="H45" i="20"/>
  <c r="G45" i="20"/>
  <c r="F45" i="20"/>
  <c r="E45" i="20"/>
  <c r="D45" i="20"/>
  <c r="C45" i="20"/>
  <c r="B45" i="20"/>
  <c r="A45" i="20"/>
  <c r="P44" i="20"/>
  <c r="N44" i="20"/>
  <c r="L44" i="20"/>
  <c r="K44" i="20"/>
  <c r="J44" i="20"/>
  <c r="I44" i="20"/>
  <c r="H44" i="20"/>
  <c r="G44" i="20"/>
  <c r="F44" i="20"/>
  <c r="E44" i="20"/>
  <c r="D44" i="20"/>
  <c r="C44" i="20"/>
  <c r="B44" i="20"/>
  <c r="A44" i="20"/>
  <c r="P43" i="20"/>
  <c r="N43" i="20"/>
  <c r="L43" i="20"/>
  <c r="K43" i="20"/>
  <c r="J43" i="20"/>
  <c r="I43" i="20"/>
  <c r="H43" i="20"/>
  <c r="G43" i="20"/>
  <c r="F43" i="20"/>
  <c r="E43" i="20"/>
  <c r="D43" i="20"/>
  <c r="C43" i="20"/>
  <c r="B43" i="20"/>
  <c r="A43" i="20"/>
  <c r="P42" i="20"/>
  <c r="N42" i="20"/>
  <c r="L42" i="20"/>
  <c r="K42" i="20"/>
  <c r="J42" i="20"/>
  <c r="I42" i="20"/>
  <c r="H42" i="20"/>
  <c r="G42" i="20"/>
  <c r="F42" i="20"/>
  <c r="E42" i="20"/>
  <c r="D42" i="20"/>
  <c r="C42" i="20"/>
  <c r="B42" i="20"/>
  <c r="A42" i="20"/>
  <c r="P41" i="20"/>
  <c r="N41" i="20"/>
  <c r="L41" i="20"/>
  <c r="K41" i="20"/>
  <c r="J41" i="20"/>
  <c r="I41" i="20"/>
  <c r="H41" i="20"/>
  <c r="G41" i="20"/>
  <c r="F41" i="20"/>
  <c r="E41" i="20"/>
  <c r="D41" i="20"/>
  <c r="C41" i="20"/>
  <c r="B41" i="20"/>
  <c r="A41" i="20"/>
  <c r="P40" i="20"/>
  <c r="N40" i="20"/>
  <c r="L40" i="20"/>
  <c r="K40" i="20"/>
  <c r="J40" i="20"/>
  <c r="I40" i="20"/>
  <c r="H40" i="20"/>
  <c r="G40" i="20"/>
  <c r="F40" i="20"/>
  <c r="E40" i="20"/>
  <c r="D40" i="20"/>
  <c r="C40" i="20"/>
  <c r="B40" i="20"/>
  <c r="A40" i="20"/>
  <c r="P39" i="20"/>
  <c r="N39" i="20"/>
  <c r="L39" i="20"/>
  <c r="K39" i="20"/>
  <c r="J39" i="20"/>
  <c r="I39" i="20"/>
  <c r="H39" i="20"/>
  <c r="G39" i="20"/>
  <c r="F39" i="20"/>
  <c r="E39" i="20"/>
  <c r="D39" i="20"/>
  <c r="C39" i="20"/>
  <c r="B39" i="20"/>
  <c r="A39" i="20"/>
  <c r="P38" i="20"/>
  <c r="N38" i="20"/>
  <c r="L38" i="20"/>
  <c r="K38" i="20"/>
  <c r="J38" i="20"/>
  <c r="I38" i="20"/>
  <c r="H38" i="20"/>
  <c r="G38" i="20"/>
  <c r="F38" i="20"/>
  <c r="E38" i="20"/>
  <c r="D38" i="20"/>
  <c r="C38" i="20"/>
  <c r="B38" i="20"/>
  <c r="A38" i="20"/>
  <c r="R37" i="20"/>
  <c r="AA19" i="87" s="1"/>
  <c r="C37" i="20"/>
  <c r="A37" i="20"/>
  <c r="P36" i="20"/>
  <c r="N36" i="20"/>
  <c r="L36" i="20"/>
  <c r="K36" i="20"/>
  <c r="J36" i="20"/>
  <c r="I36" i="20"/>
  <c r="H36" i="20"/>
  <c r="G36" i="20"/>
  <c r="F36" i="20"/>
  <c r="E36" i="20"/>
  <c r="D36" i="20"/>
  <c r="C36" i="20"/>
  <c r="A36" i="20"/>
  <c r="P35" i="20"/>
  <c r="N35" i="20"/>
  <c r="L35" i="20"/>
  <c r="K35" i="20"/>
  <c r="J35" i="20"/>
  <c r="I35" i="20"/>
  <c r="H35" i="20"/>
  <c r="G35" i="20"/>
  <c r="F35" i="20"/>
  <c r="E35" i="20"/>
  <c r="D35" i="20"/>
  <c r="C35" i="20"/>
  <c r="B35" i="20"/>
  <c r="A35" i="20"/>
  <c r="R34" i="20"/>
  <c r="C34" i="20"/>
  <c r="A34" i="20"/>
  <c r="P33" i="20"/>
  <c r="N33" i="20"/>
  <c r="L33" i="20"/>
  <c r="K33" i="20"/>
  <c r="J33" i="20"/>
  <c r="I33" i="20"/>
  <c r="H33" i="20"/>
  <c r="G33" i="20"/>
  <c r="F33" i="20"/>
  <c r="E33" i="20"/>
  <c r="D33" i="20"/>
  <c r="C33" i="20"/>
  <c r="B33" i="20"/>
  <c r="A33" i="20"/>
  <c r="R32" i="20"/>
  <c r="AA15" i="87" s="1"/>
  <c r="C32" i="20"/>
  <c r="A32" i="20"/>
  <c r="P31" i="20"/>
  <c r="N31" i="20"/>
  <c r="L31" i="20"/>
  <c r="K31" i="20"/>
  <c r="J31" i="20"/>
  <c r="I31" i="20"/>
  <c r="H31" i="20"/>
  <c r="G31" i="20"/>
  <c r="F31" i="20"/>
  <c r="E31" i="20"/>
  <c r="D31" i="20"/>
  <c r="C31" i="20"/>
  <c r="P30" i="20"/>
  <c r="N30" i="20"/>
  <c r="L30" i="20"/>
  <c r="K30" i="20"/>
  <c r="J30" i="20"/>
  <c r="I30" i="20"/>
  <c r="H30" i="20"/>
  <c r="G30" i="20"/>
  <c r="F30" i="20"/>
  <c r="E30" i="20"/>
  <c r="D30" i="20"/>
  <c r="C30" i="20"/>
  <c r="B30" i="20"/>
  <c r="A30" i="20"/>
  <c r="R29" i="20"/>
  <c r="AA14" i="87" s="1"/>
  <c r="C29" i="20"/>
  <c r="A29" i="20"/>
  <c r="P28" i="20"/>
  <c r="N28" i="20"/>
  <c r="L28" i="20"/>
  <c r="K28" i="20"/>
  <c r="J28" i="20"/>
  <c r="I28" i="20"/>
  <c r="H28" i="20"/>
  <c r="G28" i="20"/>
  <c r="F28" i="20"/>
  <c r="E28" i="20"/>
  <c r="D28" i="20"/>
  <c r="C28" i="20"/>
  <c r="B28" i="20"/>
  <c r="A28" i="20"/>
  <c r="R27" i="20"/>
  <c r="C27" i="20"/>
  <c r="A27" i="20"/>
  <c r="P26" i="20"/>
  <c r="N26" i="20"/>
  <c r="L26" i="20"/>
  <c r="K26" i="20"/>
  <c r="J26" i="20"/>
  <c r="I26" i="20"/>
  <c r="H26" i="20"/>
  <c r="G26" i="20"/>
  <c r="F26" i="20"/>
  <c r="E26" i="20"/>
  <c r="D26" i="20"/>
  <c r="C26" i="20"/>
  <c r="B26" i="20"/>
  <c r="P25" i="20"/>
  <c r="N25" i="20"/>
  <c r="L25" i="20"/>
  <c r="K25" i="20"/>
  <c r="J25" i="20"/>
  <c r="I25" i="20"/>
  <c r="H25" i="20"/>
  <c r="G25" i="20"/>
  <c r="F25" i="20"/>
  <c r="E25" i="20"/>
  <c r="D25" i="20"/>
  <c r="C25" i="20"/>
  <c r="B25" i="20"/>
  <c r="A25" i="20"/>
  <c r="R24" i="20"/>
  <c r="AA12" i="87" s="1"/>
  <c r="C24" i="20"/>
  <c r="A24" i="20"/>
  <c r="P23" i="20"/>
  <c r="N23" i="20"/>
  <c r="L23" i="20"/>
  <c r="K23" i="20"/>
  <c r="J23" i="20"/>
  <c r="I23" i="20"/>
  <c r="H23" i="20"/>
  <c r="G23" i="20"/>
  <c r="F23" i="20"/>
  <c r="E23" i="20"/>
  <c r="D23" i="20"/>
  <c r="C23" i="20"/>
  <c r="P22" i="20"/>
  <c r="N22" i="20"/>
  <c r="L22" i="20"/>
  <c r="K22" i="20"/>
  <c r="J22" i="20"/>
  <c r="I22" i="20"/>
  <c r="H22" i="20"/>
  <c r="G22" i="20"/>
  <c r="F22" i="20"/>
  <c r="E22" i="20"/>
  <c r="D22" i="20"/>
  <c r="C22" i="20"/>
  <c r="B22" i="20"/>
  <c r="A22" i="20"/>
  <c r="P21" i="20"/>
  <c r="N21" i="20"/>
  <c r="L21" i="20"/>
  <c r="K21" i="20"/>
  <c r="J21" i="20"/>
  <c r="I21" i="20"/>
  <c r="H21" i="20"/>
  <c r="G21" i="20"/>
  <c r="F21" i="20"/>
  <c r="E21" i="20"/>
  <c r="D21" i="20"/>
  <c r="C21" i="20"/>
  <c r="B21" i="20"/>
  <c r="P20" i="20"/>
  <c r="N20" i="20"/>
  <c r="L20" i="20"/>
  <c r="K20" i="20"/>
  <c r="J20" i="20"/>
  <c r="I20" i="20"/>
  <c r="H20" i="20"/>
  <c r="G20" i="20"/>
  <c r="F20" i="20"/>
  <c r="E20" i="20"/>
  <c r="D20" i="20"/>
  <c r="C20" i="20"/>
  <c r="B20" i="20"/>
  <c r="P19" i="20"/>
  <c r="N19" i="20"/>
  <c r="L19" i="20"/>
  <c r="K19" i="20"/>
  <c r="J19" i="20"/>
  <c r="I19" i="20"/>
  <c r="H19" i="20"/>
  <c r="G19" i="20"/>
  <c r="F19" i="20"/>
  <c r="E19" i="20"/>
  <c r="D19" i="20"/>
  <c r="C19" i="20"/>
  <c r="B19" i="20"/>
  <c r="P18" i="20"/>
  <c r="N18" i="20"/>
  <c r="L18" i="20"/>
  <c r="K18" i="20"/>
  <c r="J18" i="20"/>
  <c r="I18" i="20"/>
  <c r="H18" i="20"/>
  <c r="G18" i="20"/>
  <c r="F18" i="20"/>
  <c r="E18" i="20"/>
  <c r="D18" i="20"/>
  <c r="C18" i="20"/>
  <c r="B18" i="20"/>
  <c r="A18" i="20"/>
  <c r="R17" i="20"/>
  <c r="AA9" i="87" s="1"/>
  <c r="C17" i="20"/>
  <c r="A17" i="20"/>
  <c r="P16" i="20"/>
  <c r="N16" i="20"/>
  <c r="L16" i="20"/>
  <c r="K16" i="20"/>
  <c r="J16" i="20"/>
  <c r="I16" i="20"/>
  <c r="H16" i="20"/>
  <c r="G16" i="20"/>
  <c r="F16" i="20"/>
  <c r="E16" i="20"/>
  <c r="D16" i="20"/>
  <c r="C16" i="20"/>
  <c r="B16" i="20"/>
  <c r="P15" i="20"/>
  <c r="N15" i="20"/>
  <c r="L15" i="20"/>
  <c r="K15" i="20"/>
  <c r="J15" i="20"/>
  <c r="I15" i="20"/>
  <c r="H15" i="20"/>
  <c r="G15" i="20"/>
  <c r="F15" i="20"/>
  <c r="E15" i="20"/>
  <c r="D15" i="20"/>
  <c r="C15" i="20"/>
  <c r="B15" i="20"/>
  <c r="P14" i="20"/>
  <c r="N14" i="20"/>
  <c r="L14" i="20"/>
  <c r="K14" i="20"/>
  <c r="J14" i="20"/>
  <c r="I14" i="20"/>
  <c r="H14" i="20"/>
  <c r="G14" i="20"/>
  <c r="F14" i="20"/>
  <c r="E14" i="20"/>
  <c r="D14" i="20"/>
  <c r="C14" i="20"/>
  <c r="B14" i="20"/>
  <c r="A14" i="20"/>
  <c r="R13" i="20"/>
  <c r="AA6" i="87" s="1"/>
  <c r="C13" i="20"/>
  <c r="A13" i="20"/>
  <c r="P12" i="20"/>
  <c r="N12" i="20"/>
  <c r="L12" i="20"/>
  <c r="K12" i="20"/>
  <c r="J12" i="20"/>
  <c r="I12" i="20"/>
  <c r="H12" i="20"/>
  <c r="G12" i="20"/>
  <c r="F12" i="20"/>
  <c r="E12" i="20"/>
  <c r="D12" i="20"/>
  <c r="C12" i="20"/>
  <c r="B12" i="20"/>
  <c r="A12" i="20"/>
  <c r="R11" i="20"/>
  <c r="C11" i="20"/>
  <c r="A11" i="20"/>
  <c r="P10" i="20"/>
  <c r="N10" i="20"/>
  <c r="L10" i="20"/>
  <c r="K10" i="20"/>
  <c r="J10" i="20"/>
  <c r="I10" i="20"/>
  <c r="H10" i="20"/>
  <c r="G10" i="20"/>
  <c r="F10" i="20"/>
  <c r="E10" i="20"/>
  <c r="D10" i="20"/>
  <c r="C10" i="20"/>
  <c r="B10" i="20"/>
  <c r="A10" i="20"/>
  <c r="P9" i="20"/>
  <c r="N9" i="20"/>
  <c r="L9" i="20"/>
  <c r="K9" i="20"/>
  <c r="J9" i="20"/>
  <c r="I9" i="20"/>
  <c r="H9" i="20"/>
  <c r="G9" i="20"/>
  <c r="F9" i="20"/>
  <c r="E9" i="20"/>
  <c r="D9" i="20"/>
  <c r="C9" i="20"/>
  <c r="B9" i="20"/>
  <c r="A9" i="20"/>
  <c r="P8" i="20"/>
  <c r="N8" i="20"/>
  <c r="L8" i="20"/>
  <c r="K8" i="20"/>
  <c r="J8" i="20"/>
  <c r="I8" i="20"/>
  <c r="H8" i="20"/>
  <c r="G8" i="20"/>
  <c r="F8" i="20"/>
  <c r="E8" i="20"/>
  <c r="D8" i="20"/>
  <c r="C8" i="20"/>
  <c r="B8" i="20"/>
  <c r="A8" i="20"/>
  <c r="P7" i="20"/>
  <c r="N7" i="20"/>
  <c r="L7" i="20"/>
  <c r="K7" i="20"/>
  <c r="J7" i="20"/>
  <c r="I7" i="20"/>
  <c r="H7" i="20"/>
  <c r="G7" i="20"/>
  <c r="F7" i="20"/>
  <c r="E7" i="20"/>
  <c r="D7" i="20"/>
  <c r="C7" i="20"/>
  <c r="B7" i="20"/>
  <c r="A7" i="20"/>
  <c r="R6" i="20"/>
  <c r="AA4" i="87" s="1"/>
  <c r="C6" i="20"/>
  <c r="A6" i="20"/>
  <c r="C3" i="20"/>
  <c r="C2" i="20"/>
  <c r="A2" i="20"/>
  <c r="P139" i="30"/>
  <c r="N139" i="30"/>
  <c r="L139" i="30"/>
  <c r="K139" i="30"/>
  <c r="J139" i="30"/>
  <c r="I139" i="30"/>
  <c r="H139" i="30"/>
  <c r="G139" i="30"/>
  <c r="F139" i="30"/>
  <c r="E139" i="30"/>
  <c r="C139" i="30"/>
  <c r="A139" i="30"/>
  <c r="P137" i="30"/>
  <c r="N137" i="30"/>
  <c r="L137" i="30"/>
  <c r="K137" i="30"/>
  <c r="J137" i="30"/>
  <c r="I137" i="30"/>
  <c r="H137" i="30"/>
  <c r="G137" i="30"/>
  <c r="F137" i="30"/>
  <c r="E137" i="30"/>
  <c r="C137" i="30"/>
  <c r="A137" i="30"/>
  <c r="P133" i="30"/>
  <c r="N133" i="30"/>
  <c r="L133" i="30"/>
  <c r="K133" i="30"/>
  <c r="J133" i="30"/>
  <c r="I133" i="30"/>
  <c r="H133" i="30"/>
  <c r="G133" i="30"/>
  <c r="F133" i="30"/>
  <c r="E133" i="30"/>
  <c r="D133" i="30"/>
  <c r="C133" i="30"/>
  <c r="B133" i="30"/>
  <c r="A133" i="30"/>
  <c r="P132" i="30"/>
  <c r="N132" i="30"/>
  <c r="L132" i="30"/>
  <c r="K132" i="30"/>
  <c r="J132" i="30"/>
  <c r="I132" i="30"/>
  <c r="H132" i="30"/>
  <c r="G132" i="30"/>
  <c r="F132" i="30"/>
  <c r="E132" i="30"/>
  <c r="D132" i="30"/>
  <c r="C132" i="30"/>
  <c r="B132" i="30"/>
  <c r="A132" i="30"/>
  <c r="P131" i="30"/>
  <c r="N131" i="30"/>
  <c r="AJ22" i="87" l="1"/>
  <c r="AH22" i="87"/>
  <c r="AA22" i="87"/>
  <c r="AC22" i="87"/>
  <c r="AE22" i="87"/>
  <c r="AI22" i="87"/>
  <c r="S22" i="87"/>
  <c r="AB22" i="87"/>
  <c r="AD22" i="87"/>
  <c r="F2" i="70"/>
  <c r="F2" i="20"/>
  <c r="F2" i="41"/>
  <c r="F2" i="68"/>
  <c r="F2" i="75"/>
  <c r="F2" i="71"/>
  <c r="F2" i="24"/>
  <c r="F2" i="53"/>
  <c r="F2" i="42"/>
  <c r="G8" i="72"/>
  <c r="P6" i="72"/>
  <c r="L131" i="30"/>
  <c r="K131" i="30"/>
  <c r="J131" i="30"/>
  <c r="I131" i="30"/>
  <c r="H131" i="30"/>
  <c r="G131" i="30"/>
  <c r="F131" i="30"/>
  <c r="E131" i="30"/>
  <c r="D131" i="30"/>
  <c r="C131" i="30"/>
  <c r="B131" i="30"/>
  <c r="A131" i="30"/>
  <c r="P130" i="30"/>
  <c r="N130" i="30"/>
  <c r="L130" i="30"/>
  <c r="K130" i="30"/>
  <c r="J130" i="30"/>
  <c r="I130" i="30"/>
  <c r="H130" i="30"/>
  <c r="G130" i="30"/>
  <c r="F130" i="30"/>
  <c r="E130" i="30"/>
  <c r="D130" i="30"/>
  <c r="C130" i="30"/>
  <c r="B130" i="30"/>
  <c r="A130" i="30"/>
  <c r="P129" i="30"/>
  <c r="N129" i="30"/>
  <c r="L129" i="30"/>
  <c r="K129" i="30"/>
  <c r="J129" i="30"/>
  <c r="I129" i="30"/>
  <c r="H129" i="30"/>
  <c r="G129" i="30"/>
  <c r="F129" i="30"/>
  <c r="E129" i="30"/>
  <c r="D129" i="30"/>
  <c r="C129" i="30"/>
  <c r="B129" i="30"/>
  <c r="A129" i="30"/>
  <c r="P128" i="30"/>
  <c r="N128" i="30"/>
  <c r="L128" i="30"/>
  <c r="K128" i="30"/>
  <c r="J128" i="30"/>
  <c r="I128" i="30"/>
  <c r="H128" i="30"/>
  <c r="G128" i="30"/>
  <c r="F128" i="30"/>
  <c r="E128" i="30"/>
  <c r="D128" i="30"/>
  <c r="C128" i="30"/>
  <c r="B128" i="30"/>
  <c r="A128" i="30"/>
  <c r="P127" i="30"/>
  <c r="N127" i="30"/>
  <c r="L127" i="30"/>
  <c r="K127" i="30"/>
  <c r="J127" i="30"/>
  <c r="I127" i="30"/>
  <c r="H127" i="30"/>
  <c r="G127" i="30"/>
  <c r="F127" i="30"/>
  <c r="E127" i="30"/>
  <c r="D127" i="30"/>
  <c r="C127" i="30"/>
  <c r="B127" i="30"/>
  <c r="A127" i="30"/>
  <c r="P126" i="30"/>
  <c r="N126" i="30"/>
  <c r="L126" i="30"/>
  <c r="K126" i="30"/>
  <c r="J126" i="30"/>
  <c r="I126" i="30"/>
  <c r="H126" i="30"/>
  <c r="G126" i="30"/>
  <c r="F126" i="30"/>
  <c r="E126" i="30"/>
  <c r="D126" i="30"/>
  <c r="C126" i="30"/>
  <c r="B126" i="30"/>
  <c r="A126" i="30"/>
  <c r="P125" i="30"/>
  <c r="N125" i="30"/>
  <c r="L125" i="30"/>
  <c r="K125" i="30"/>
  <c r="J125" i="30"/>
  <c r="I125" i="30"/>
  <c r="H125" i="30"/>
  <c r="G125" i="30"/>
  <c r="F125" i="30"/>
  <c r="E125" i="30"/>
  <c r="D125" i="30"/>
  <c r="C125" i="30"/>
  <c r="B125" i="30"/>
  <c r="A125" i="30"/>
  <c r="P124" i="30"/>
  <c r="N124" i="30"/>
  <c r="L124" i="30"/>
  <c r="K124" i="30"/>
  <c r="J124" i="30"/>
  <c r="I124" i="30"/>
  <c r="H124" i="30"/>
  <c r="G124" i="30"/>
  <c r="F124" i="30"/>
  <c r="E124" i="30"/>
  <c r="D124" i="30"/>
  <c r="C124" i="30"/>
  <c r="B124" i="30"/>
  <c r="A124" i="30"/>
  <c r="P123" i="30"/>
  <c r="N123" i="30"/>
  <c r="L123" i="30"/>
  <c r="K123" i="30"/>
  <c r="J123" i="30"/>
  <c r="I123" i="30"/>
  <c r="H123" i="30"/>
  <c r="G123" i="30"/>
  <c r="F123" i="30"/>
  <c r="E123" i="30"/>
  <c r="D123" i="30"/>
  <c r="C123" i="30"/>
  <c r="B123" i="30"/>
  <c r="A123" i="30"/>
  <c r="P122" i="30"/>
  <c r="N122" i="30"/>
  <c r="L122" i="30"/>
  <c r="K122" i="30"/>
  <c r="J122" i="30"/>
  <c r="I122" i="30"/>
  <c r="H122" i="30"/>
  <c r="G122" i="30"/>
  <c r="F122" i="30"/>
  <c r="E122" i="30"/>
  <c r="D122" i="30"/>
  <c r="C122" i="30"/>
  <c r="B122" i="30"/>
  <c r="A122" i="30"/>
  <c r="P121" i="30"/>
  <c r="N121" i="30"/>
  <c r="L121" i="30"/>
  <c r="K121" i="30"/>
  <c r="J121" i="30"/>
  <c r="I121" i="30"/>
  <c r="H121" i="30"/>
  <c r="G121" i="30"/>
  <c r="F121" i="30"/>
  <c r="E121" i="30"/>
  <c r="D121" i="30"/>
  <c r="C121" i="30"/>
  <c r="B121" i="30"/>
  <c r="A121" i="30"/>
  <c r="P120" i="30"/>
  <c r="N120" i="30"/>
  <c r="L120" i="30"/>
  <c r="K120" i="30"/>
  <c r="J120" i="30"/>
  <c r="I120" i="30"/>
  <c r="H120" i="30"/>
  <c r="G120" i="30"/>
  <c r="F120" i="30"/>
  <c r="E120" i="30"/>
  <c r="D120" i="30"/>
  <c r="C120" i="30"/>
  <c r="B120" i="30"/>
  <c r="A120" i="30"/>
  <c r="P119" i="30"/>
  <c r="N119" i="30"/>
  <c r="L119" i="30"/>
  <c r="K119" i="30"/>
  <c r="J119" i="30"/>
  <c r="I119" i="30"/>
  <c r="H119" i="30"/>
  <c r="G119" i="30"/>
  <c r="F119" i="30"/>
  <c r="E119" i="30"/>
  <c r="D119" i="30"/>
  <c r="C119" i="30"/>
  <c r="B119" i="30"/>
  <c r="A119" i="30"/>
  <c r="P118" i="30"/>
  <c r="N118" i="30"/>
  <c r="L118" i="30"/>
  <c r="K118" i="30"/>
  <c r="J118" i="30"/>
  <c r="I118" i="30"/>
  <c r="H118" i="30"/>
  <c r="G118" i="30"/>
  <c r="F118" i="30"/>
  <c r="E118" i="30"/>
  <c r="D118" i="30"/>
  <c r="C118" i="30"/>
  <c r="B118" i="30"/>
  <c r="A118" i="30"/>
  <c r="P117" i="30"/>
  <c r="N117" i="30"/>
  <c r="L117" i="30"/>
  <c r="K117" i="30"/>
  <c r="J117" i="30"/>
  <c r="I117" i="30"/>
  <c r="H117" i="30"/>
  <c r="G117" i="30"/>
  <c r="F117" i="30"/>
  <c r="E117" i="30"/>
  <c r="D117" i="30"/>
  <c r="C117" i="30"/>
  <c r="B117" i="30"/>
  <c r="A117" i="30"/>
  <c r="P116" i="30"/>
  <c r="N116" i="30"/>
  <c r="L116" i="30"/>
  <c r="K116" i="30"/>
  <c r="J116" i="30"/>
  <c r="I116" i="30"/>
  <c r="H116" i="30"/>
  <c r="G116" i="30"/>
  <c r="F116" i="30"/>
  <c r="E116" i="30"/>
  <c r="D116" i="30"/>
  <c r="C116" i="30"/>
  <c r="B116" i="30"/>
  <c r="A116" i="30"/>
  <c r="P115" i="30"/>
  <c r="N115" i="30"/>
  <c r="L115" i="30"/>
  <c r="K115" i="30"/>
  <c r="J115" i="30"/>
  <c r="I115" i="30"/>
  <c r="H115" i="30"/>
  <c r="G115" i="30"/>
  <c r="F115" i="30"/>
  <c r="E115" i="30"/>
  <c r="D115" i="30"/>
  <c r="C115" i="30"/>
  <c r="B115" i="30"/>
  <c r="A115" i="30"/>
  <c r="P114" i="30"/>
  <c r="N114" i="30"/>
  <c r="L114" i="30"/>
  <c r="K114" i="30"/>
  <c r="J114" i="30"/>
  <c r="I114" i="30"/>
  <c r="H114" i="30"/>
  <c r="G114" i="30"/>
  <c r="F114" i="30"/>
  <c r="E114" i="30"/>
  <c r="D114" i="30"/>
  <c r="C114" i="30"/>
  <c r="B114" i="30"/>
  <c r="A114" i="30"/>
  <c r="P113" i="30"/>
  <c r="N113" i="30"/>
  <c r="L113" i="30"/>
  <c r="K113" i="30"/>
  <c r="J113" i="30"/>
  <c r="I113" i="30"/>
  <c r="H113" i="30"/>
  <c r="G113" i="30"/>
  <c r="F113" i="30"/>
  <c r="E113" i="30"/>
  <c r="D113" i="30"/>
  <c r="C113" i="30"/>
  <c r="B113" i="30"/>
  <c r="A113" i="30"/>
  <c r="P112" i="30"/>
  <c r="N112" i="30"/>
  <c r="L112" i="30"/>
  <c r="K112" i="30"/>
  <c r="J112" i="30"/>
  <c r="I112" i="30"/>
  <c r="H112" i="30"/>
  <c r="G112" i="30"/>
  <c r="F112" i="30"/>
  <c r="E112" i="30"/>
  <c r="D112" i="30"/>
  <c r="C112" i="30"/>
  <c r="B112" i="30"/>
  <c r="A112" i="30"/>
  <c r="P111" i="30"/>
  <c r="N111" i="30"/>
  <c r="L111" i="30"/>
  <c r="K111" i="30"/>
  <c r="J111" i="30"/>
  <c r="I111" i="30"/>
  <c r="H111" i="30"/>
  <c r="G111" i="30"/>
  <c r="F111" i="30"/>
  <c r="E111" i="30"/>
  <c r="D111" i="30"/>
  <c r="C111" i="30"/>
  <c r="B111" i="30"/>
  <c r="A111" i="30"/>
  <c r="P110" i="30"/>
  <c r="N110" i="30"/>
  <c r="L110" i="30"/>
  <c r="K110" i="30"/>
  <c r="J110" i="30"/>
  <c r="I110" i="30"/>
  <c r="H110" i="30"/>
  <c r="G110" i="30"/>
  <c r="F110" i="30"/>
  <c r="E110" i="30"/>
  <c r="D110" i="30"/>
  <c r="C110" i="30"/>
  <c r="B110" i="30"/>
  <c r="A110" i="30"/>
  <c r="P109" i="30"/>
  <c r="N109" i="30"/>
  <c r="L109" i="30"/>
  <c r="K109" i="30"/>
  <c r="J109" i="30"/>
  <c r="I109" i="30"/>
  <c r="H109" i="30"/>
  <c r="G109" i="30"/>
  <c r="F109" i="30"/>
  <c r="E109" i="30"/>
  <c r="D109" i="30"/>
  <c r="C109" i="30"/>
  <c r="B109" i="30"/>
  <c r="A109" i="30"/>
  <c r="R108" i="30"/>
  <c r="Z19" i="87" s="1"/>
  <c r="C108" i="30"/>
  <c r="A108" i="30"/>
  <c r="P107" i="30"/>
  <c r="N107" i="30"/>
  <c r="L107" i="30"/>
  <c r="K107" i="30"/>
  <c r="J107" i="30"/>
  <c r="I107" i="30"/>
  <c r="H107" i="30"/>
  <c r="G107" i="30"/>
  <c r="F107" i="30"/>
  <c r="E107" i="30"/>
  <c r="D107" i="30"/>
  <c r="C107" i="30"/>
  <c r="B107" i="30"/>
  <c r="A107" i="30"/>
  <c r="P106" i="30"/>
  <c r="N106" i="30"/>
  <c r="L106" i="30"/>
  <c r="K106" i="30"/>
  <c r="J106" i="30"/>
  <c r="I106" i="30"/>
  <c r="H106" i="30"/>
  <c r="G106" i="30"/>
  <c r="F106" i="30"/>
  <c r="E106" i="30"/>
  <c r="D106" i="30"/>
  <c r="C106" i="30"/>
  <c r="B106" i="30"/>
  <c r="A106" i="30"/>
  <c r="R105" i="30"/>
  <c r="Z18" i="87" s="1"/>
  <c r="C105" i="30"/>
  <c r="A105" i="30"/>
  <c r="P104" i="30"/>
  <c r="N104" i="30"/>
  <c r="L104" i="30"/>
  <c r="K104" i="30"/>
  <c r="J104" i="30"/>
  <c r="I104" i="30"/>
  <c r="H104" i="30"/>
  <c r="G104" i="30"/>
  <c r="F104" i="30"/>
  <c r="E104" i="30"/>
  <c r="D104" i="30"/>
  <c r="C104" i="30"/>
  <c r="B104" i="30"/>
  <c r="A104" i="30"/>
  <c r="R103" i="30"/>
  <c r="C103" i="30"/>
  <c r="A103" i="30"/>
  <c r="P102" i="30"/>
  <c r="N102" i="30"/>
  <c r="L102" i="30"/>
  <c r="K102" i="30"/>
  <c r="J102" i="30"/>
  <c r="I102" i="30"/>
  <c r="H102" i="30"/>
  <c r="G102" i="30"/>
  <c r="F102" i="30"/>
  <c r="E102" i="30"/>
  <c r="D102" i="30"/>
  <c r="C102" i="30"/>
  <c r="P101" i="30"/>
  <c r="N101" i="30"/>
  <c r="L101" i="30"/>
  <c r="K101" i="30"/>
  <c r="J101" i="30"/>
  <c r="I101" i="30"/>
  <c r="H101" i="30"/>
  <c r="G101" i="30"/>
  <c r="F101" i="30"/>
  <c r="E101" i="30"/>
  <c r="D101" i="30"/>
  <c r="C101" i="30"/>
  <c r="B101" i="30"/>
  <c r="P100" i="30"/>
  <c r="N100" i="30"/>
  <c r="L100" i="30"/>
  <c r="K100" i="30"/>
  <c r="J100" i="30"/>
  <c r="I100" i="30"/>
  <c r="H100" i="30"/>
  <c r="G100" i="30"/>
  <c r="F100" i="30"/>
  <c r="E100" i="30"/>
  <c r="D100" i="30"/>
  <c r="C100" i="30"/>
  <c r="B100" i="30"/>
  <c r="P99" i="30"/>
  <c r="N99" i="30"/>
  <c r="L99" i="30"/>
  <c r="K99" i="30"/>
  <c r="J99" i="30"/>
  <c r="I99" i="30"/>
  <c r="H99" i="30"/>
  <c r="G99" i="30"/>
  <c r="F99" i="30"/>
  <c r="E99" i="30"/>
  <c r="D99" i="30"/>
  <c r="C99" i="30"/>
  <c r="B99" i="30"/>
  <c r="A99" i="30"/>
  <c r="R98" i="30"/>
  <c r="C98" i="30"/>
  <c r="A98" i="30"/>
  <c r="P97" i="30"/>
  <c r="N97" i="30"/>
  <c r="L97" i="30"/>
  <c r="K97" i="30"/>
  <c r="J97" i="30"/>
  <c r="I97" i="30"/>
  <c r="H97" i="30"/>
  <c r="G97" i="30"/>
  <c r="F97" i="30"/>
  <c r="E97" i="30"/>
  <c r="D97" i="30"/>
  <c r="C97" i="30"/>
  <c r="P96" i="30"/>
  <c r="N96" i="30"/>
  <c r="L96" i="30"/>
  <c r="K96" i="30"/>
  <c r="J96" i="30"/>
  <c r="I96" i="30"/>
  <c r="H96" i="30"/>
  <c r="G96" i="30"/>
  <c r="F96" i="30"/>
  <c r="E96" i="30"/>
  <c r="D96" i="30"/>
  <c r="C96" i="30"/>
  <c r="P95" i="30"/>
  <c r="N95" i="30"/>
  <c r="L95" i="30"/>
  <c r="K95" i="30"/>
  <c r="J95" i="30"/>
  <c r="I95" i="30"/>
  <c r="H95" i="30"/>
  <c r="G95" i="30"/>
  <c r="F95" i="30"/>
  <c r="E95" i="30"/>
  <c r="D95" i="30"/>
  <c r="C95" i="30"/>
  <c r="B95" i="30"/>
  <c r="P94" i="30"/>
  <c r="N94" i="30"/>
  <c r="L94" i="30"/>
  <c r="K94" i="30"/>
  <c r="J94" i="30"/>
  <c r="I94" i="30"/>
  <c r="H94" i="30"/>
  <c r="G94" i="30"/>
  <c r="F94" i="30"/>
  <c r="E94" i="30"/>
  <c r="D94" i="30"/>
  <c r="C94" i="30"/>
  <c r="B94" i="30"/>
  <c r="P93" i="30"/>
  <c r="N93" i="30"/>
  <c r="L93" i="30"/>
  <c r="K93" i="30"/>
  <c r="J93" i="30"/>
  <c r="I93" i="30"/>
  <c r="H93" i="30"/>
  <c r="G93" i="30"/>
  <c r="F93" i="30"/>
  <c r="E93" i="30"/>
  <c r="D93" i="30"/>
  <c r="C93" i="30"/>
  <c r="B93" i="30"/>
  <c r="P92" i="30"/>
  <c r="N92" i="30"/>
  <c r="L92" i="30"/>
  <c r="K92" i="30"/>
  <c r="J92" i="30"/>
  <c r="I92" i="30"/>
  <c r="H92" i="30"/>
  <c r="G92" i="30"/>
  <c r="F92" i="30"/>
  <c r="E92" i="30"/>
  <c r="D92" i="30"/>
  <c r="C92" i="30"/>
  <c r="B92" i="30"/>
  <c r="P91" i="30"/>
  <c r="N91" i="30"/>
  <c r="L91" i="30"/>
  <c r="K91" i="30"/>
  <c r="J91" i="30"/>
  <c r="I91" i="30"/>
  <c r="H91" i="30"/>
  <c r="G91" i="30"/>
  <c r="F91" i="30"/>
  <c r="E91" i="30"/>
  <c r="D91" i="30"/>
  <c r="C91" i="30"/>
  <c r="B91" i="30"/>
  <c r="P90" i="30"/>
  <c r="N90" i="30"/>
  <c r="L90" i="30"/>
  <c r="K90" i="30"/>
  <c r="J90" i="30"/>
  <c r="I90" i="30"/>
  <c r="H90" i="30"/>
  <c r="G90" i="30"/>
  <c r="F90" i="30"/>
  <c r="E90" i="30"/>
  <c r="D90" i="30"/>
  <c r="C90" i="30"/>
  <c r="B90" i="30"/>
  <c r="A90" i="30"/>
  <c r="R89" i="30"/>
  <c r="Z14" i="87" s="1"/>
  <c r="C89" i="30"/>
  <c r="A89" i="30"/>
  <c r="P88" i="30"/>
  <c r="N88" i="30"/>
  <c r="L88" i="30"/>
  <c r="K88" i="30"/>
  <c r="J88" i="30"/>
  <c r="I88" i="30"/>
  <c r="H88" i="30"/>
  <c r="G88" i="30"/>
  <c r="F88" i="30"/>
  <c r="E88" i="30"/>
  <c r="D88" i="30"/>
  <c r="C88" i="30"/>
  <c r="B88" i="30"/>
  <c r="A88" i="30"/>
  <c r="P87" i="30"/>
  <c r="N87" i="30"/>
  <c r="L87" i="30"/>
  <c r="K87" i="30"/>
  <c r="J87" i="30"/>
  <c r="I87" i="30"/>
  <c r="H87" i="30"/>
  <c r="G87" i="30"/>
  <c r="F87" i="30"/>
  <c r="E87" i="30"/>
  <c r="D87" i="30"/>
  <c r="C87" i="30"/>
  <c r="B87" i="30"/>
  <c r="A87" i="30"/>
  <c r="P86" i="30"/>
  <c r="N86" i="30"/>
  <c r="L86" i="30"/>
  <c r="K86" i="30"/>
  <c r="J86" i="30"/>
  <c r="I86" i="30"/>
  <c r="H86" i="30"/>
  <c r="G86" i="30"/>
  <c r="F86" i="30"/>
  <c r="E86" i="30"/>
  <c r="D86" i="30"/>
  <c r="C86" i="30"/>
  <c r="B86" i="30"/>
  <c r="A86" i="30"/>
  <c r="P85" i="30"/>
  <c r="N85" i="30"/>
  <c r="L85" i="30"/>
  <c r="K85" i="30"/>
  <c r="J85" i="30"/>
  <c r="I85" i="30"/>
  <c r="H85" i="30"/>
  <c r="G85" i="30"/>
  <c r="F85" i="30"/>
  <c r="E85" i="30"/>
  <c r="D85" i="30"/>
  <c r="C85" i="30"/>
  <c r="B85" i="30"/>
  <c r="A85" i="30"/>
  <c r="P84" i="30"/>
  <c r="N84" i="30"/>
  <c r="L84" i="30"/>
  <c r="K84" i="30"/>
  <c r="J84" i="30"/>
  <c r="I84" i="30"/>
  <c r="H84" i="30"/>
  <c r="G84" i="30"/>
  <c r="F84" i="30"/>
  <c r="E84" i="30"/>
  <c r="D84" i="30"/>
  <c r="C84" i="30"/>
  <c r="B84" i="30"/>
  <c r="A84" i="30"/>
  <c r="P83" i="30"/>
  <c r="N83" i="30"/>
  <c r="L83" i="30"/>
  <c r="K83" i="30"/>
  <c r="J83" i="30"/>
  <c r="I83" i="30"/>
  <c r="H83" i="30"/>
  <c r="G83" i="30"/>
  <c r="F83" i="30"/>
  <c r="E83" i="30"/>
  <c r="D83" i="30"/>
  <c r="C83" i="30"/>
  <c r="B83" i="30"/>
  <c r="A83" i="30"/>
  <c r="P82" i="30"/>
  <c r="N82" i="30"/>
  <c r="L82" i="30"/>
  <c r="K82" i="30"/>
  <c r="J82" i="30"/>
  <c r="I82" i="30"/>
  <c r="H82" i="30"/>
  <c r="G82" i="30"/>
  <c r="F82" i="30"/>
  <c r="E82" i="30"/>
  <c r="D82" i="30"/>
  <c r="C82" i="30"/>
  <c r="B82" i="30"/>
  <c r="A82" i="30"/>
  <c r="P81" i="30"/>
  <c r="N81" i="30"/>
  <c r="L81" i="30"/>
  <c r="K81" i="30"/>
  <c r="J81" i="30"/>
  <c r="I81" i="30"/>
  <c r="H81" i="30"/>
  <c r="G81" i="30"/>
  <c r="F81" i="30"/>
  <c r="E81" i="30"/>
  <c r="D81" i="30"/>
  <c r="C81" i="30"/>
  <c r="B81" i="30"/>
  <c r="A81" i="30"/>
  <c r="P80" i="30"/>
  <c r="N80" i="30"/>
  <c r="L80" i="30"/>
  <c r="K80" i="30"/>
  <c r="J80" i="30"/>
  <c r="I80" i="30"/>
  <c r="H80" i="30"/>
  <c r="G80" i="30"/>
  <c r="F80" i="30"/>
  <c r="E80" i="30"/>
  <c r="D80" i="30"/>
  <c r="C80" i="30"/>
  <c r="B80" i="30"/>
  <c r="A80" i="30"/>
  <c r="P79" i="30"/>
  <c r="N79" i="30"/>
  <c r="L79" i="30"/>
  <c r="K79" i="30"/>
  <c r="J79" i="30"/>
  <c r="I79" i="30"/>
  <c r="H79" i="30"/>
  <c r="G79" i="30"/>
  <c r="F79" i="30"/>
  <c r="E79" i="30"/>
  <c r="D79" i="30"/>
  <c r="C79" i="30"/>
  <c r="B79" i="30"/>
  <c r="A79" i="30"/>
  <c r="P78" i="30"/>
  <c r="N78" i="30"/>
  <c r="L78" i="30"/>
  <c r="K78" i="30"/>
  <c r="J78" i="30"/>
  <c r="I78" i="30"/>
  <c r="H78" i="30"/>
  <c r="G78" i="30"/>
  <c r="F78" i="30"/>
  <c r="E78" i="30"/>
  <c r="D78" i="30"/>
  <c r="C78" i="30"/>
  <c r="B78" i="30"/>
  <c r="A78" i="30"/>
  <c r="P77" i="30"/>
  <c r="N77" i="30"/>
  <c r="L77" i="30"/>
  <c r="K77" i="30"/>
  <c r="J77" i="30"/>
  <c r="I77" i="30"/>
  <c r="H77" i="30"/>
  <c r="G77" i="30"/>
  <c r="F77" i="30"/>
  <c r="E77" i="30"/>
  <c r="D77" i="30"/>
  <c r="C77" i="30"/>
  <c r="B77" i="30"/>
  <c r="A77" i="30"/>
  <c r="P76" i="30"/>
  <c r="N76" i="30"/>
  <c r="L76" i="30"/>
  <c r="K76" i="30"/>
  <c r="J76" i="30"/>
  <c r="I76" i="30"/>
  <c r="H76" i="30"/>
  <c r="G76" i="30"/>
  <c r="F76" i="30"/>
  <c r="E76" i="30"/>
  <c r="D76" i="30"/>
  <c r="C76" i="30"/>
  <c r="B76" i="30"/>
  <c r="A76" i="30"/>
  <c r="P75" i="30"/>
  <c r="N75" i="30"/>
  <c r="L75" i="30"/>
  <c r="K75" i="30"/>
  <c r="J75" i="30"/>
  <c r="I75" i="30"/>
  <c r="H75" i="30"/>
  <c r="G75" i="30"/>
  <c r="F75" i="30"/>
  <c r="E75" i="30"/>
  <c r="D75" i="30"/>
  <c r="C75" i="30"/>
  <c r="B75" i="30"/>
  <c r="A75" i="30"/>
  <c r="P74" i="30"/>
  <c r="N74" i="30"/>
  <c r="L74" i="30"/>
  <c r="K74" i="30"/>
  <c r="J74" i="30"/>
  <c r="I74" i="30"/>
  <c r="H74" i="30"/>
  <c r="G74" i="30"/>
  <c r="F74" i="30"/>
  <c r="E74" i="30"/>
  <c r="D74" i="30"/>
  <c r="C74" i="30"/>
  <c r="B74" i="30"/>
  <c r="A74" i="30"/>
  <c r="P73" i="30"/>
  <c r="N73" i="30"/>
  <c r="L73" i="30"/>
  <c r="K73" i="30"/>
  <c r="J73" i="30"/>
  <c r="I73" i="30"/>
  <c r="H73" i="30"/>
  <c r="G73" i="30"/>
  <c r="F73" i="30"/>
  <c r="E73" i="30"/>
  <c r="D73" i="30"/>
  <c r="C73" i="30"/>
  <c r="B73" i="30"/>
  <c r="A73" i="30"/>
  <c r="P72" i="30"/>
  <c r="N72" i="30"/>
  <c r="L72" i="30"/>
  <c r="K72" i="30"/>
  <c r="J72" i="30"/>
  <c r="I72" i="30"/>
  <c r="H72" i="30"/>
  <c r="G72" i="30"/>
  <c r="F72" i="30"/>
  <c r="E72" i="30"/>
  <c r="D72" i="30"/>
  <c r="C72" i="30"/>
  <c r="B72" i="30"/>
  <c r="A72" i="30"/>
  <c r="P71" i="30"/>
  <c r="N71" i="30"/>
  <c r="L71" i="30"/>
  <c r="K71" i="30"/>
  <c r="J71" i="30"/>
  <c r="I71" i="30"/>
  <c r="H71" i="30"/>
  <c r="G71" i="30"/>
  <c r="F71" i="30"/>
  <c r="E71" i="30"/>
  <c r="D71" i="30"/>
  <c r="C71" i="30"/>
  <c r="B71" i="30"/>
  <c r="A71" i="30"/>
  <c r="R70" i="30"/>
  <c r="Z13" i="87" s="1"/>
  <c r="C70" i="30"/>
  <c r="A70" i="30"/>
  <c r="P69" i="30"/>
  <c r="N69" i="30"/>
  <c r="L69" i="30"/>
  <c r="K69" i="30"/>
  <c r="J69" i="30"/>
  <c r="I69" i="30"/>
  <c r="H69" i="30"/>
  <c r="G69" i="30"/>
  <c r="F69" i="30"/>
  <c r="E69" i="30"/>
  <c r="D69" i="30"/>
  <c r="C69" i="30"/>
  <c r="P68" i="30"/>
  <c r="N68" i="30"/>
  <c r="L68" i="30"/>
  <c r="K68" i="30"/>
  <c r="J68" i="30"/>
  <c r="I68" i="30"/>
  <c r="H68" i="30"/>
  <c r="G68" i="30"/>
  <c r="F68" i="30"/>
  <c r="E68" i="30"/>
  <c r="D68" i="30"/>
  <c r="C68" i="30"/>
  <c r="P67" i="30"/>
  <c r="N67" i="30"/>
  <c r="L67" i="30"/>
  <c r="K67" i="30"/>
  <c r="J67" i="30"/>
  <c r="I67" i="30"/>
  <c r="H67" i="30"/>
  <c r="G67" i="30"/>
  <c r="F67" i="30"/>
  <c r="E67" i="30"/>
  <c r="D67" i="30"/>
  <c r="C67" i="30"/>
  <c r="B67" i="30"/>
  <c r="P66" i="30"/>
  <c r="N66" i="30"/>
  <c r="L66" i="30"/>
  <c r="K66" i="30"/>
  <c r="J66" i="30"/>
  <c r="I66" i="30"/>
  <c r="H66" i="30"/>
  <c r="G66" i="30"/>
  <c r="F66" i="30"/>
  <c r="E66" i="30"/>
  <c r="D66" i="30"/>
  <c r="C66" i="30"/>
  <c r="B66" i="30"/>
  <c r="P65" i="30"/>
  <c r="N65" i="30"/>
  <c r="L65" i="30"/>
  <c r="K65" i="30"/>
  <c r="J65" i="30"/>
  <c r="I65" i="30"/>
  <c r="H65" i="30"/>
  <c r="G65" i="30"/>
  <c r="F65" i="30"/>
  <c r="E65" i="30"/>
  <c r="D65" i="30"/>
  <c r="C65" i="30"/>
  <c r="B65" i="30"/>
  <c r="P64" i="30"/>
  <c r="N64" i="30"/>
  <c r="L64" i="30"/>
  <c r="K64" i="30"/>
  <c r="J64" i="30"/>
  <c r="I64" i="30"/>
  <c r="H64" i="30"/>
  <c r="G64" i="30"/>
  <c r="F64" i="30"/>
  <c r="E64" i="30"/>
  <c r="D64" i="30"/>
  <c r="C64" i="30"/>
  <c r="B64" i="30"/>
  <c r="P63" i="30"/>
  <c r="N63" i="30"/>
  <c r="L63" i="30"/>
  <c r="K63" i="30"/>
  <c r="J63" i="30"/>
  <c r="I63" i="30"/>
  <c r="H63" i="30"/>
  <c r="G63" i="30"/>
  <c r="F63" i="30"/>
  <c r="E63" i="30"/>
  <c r="D63" i="30"/>
  <c r="C63" i="30"/>
  <c r="B63" i="30"/>
  <c r="P62" i="30"/>
  <c r="N62" i="30"/>
  <c r="L62" i="30"/>
  <c r="K62" i="30"/>
  <c r="J62" i="30"/>
  <c r="I62" i="30"/>
  <c r="H62" i="30"/>
  <c r="G62" i="30"/>
  <c r="F62" i="30"/>
  <c r="E62" i="30"/>
  <c r="D62" i="30"/>
  <c r="C62" i="30"/>
  <c r="B62" i="30"/>
  <c r="A62" i="30"/>
  <c r="R61" i="30"/>
  <c r="Z12" i="87" s="1"/>
  <c r="C61" i="30"/>
  <c r="A61" i="30"/>
  <c r="P60" i="30"/>
  <c r="N60" i="30"/>
  <c r="L60" i="30"/>
  <c r="K60" i="30"/>
  <c r="J60" i="30"/>
  <c r="I60" i="30"/>
  <c r="H60" i="30"/>
  <c r="G60" i="30"/>
  <c r="F60" i="30"/>
  <c r="E60" i="30"/>
  <c r="D60" i="30"/>
  <c r="C60" i="30"/>
  <c r="B60" i="30"/>
  <c r="P59" i="30"/>
  <c r="N59" i="30"/>
  <c r="L59" i="30"/>
  <c r="K59" i="30"/>
  <c r="J59" i="30"/>
  <c r="I59" i="30"/>
  <c r="H59" i="30"/>
  <c r="G59" i="30"/>
  <c r="F59" i="30"/>
  <c r="E59" i="30"/>
  <c r="D59" i="30"/>
  <c r="C59" i="30"/>
  <c r="B59" i="30"/>
  <c r="P58" i="30"/>
  <c r="N58" i="30"/>
  <c r="L58" i="30"/>
  <c r="K58" i="30"/>
  <c r="J58" i="30"/>
  <c r="I58" i="30"/>
  <c r="H58" i="30"/>
  <c r="G58" i="30"/>
  <c r="F58" i="30"/>
  <c r="E58" i="30"/>
  <c r="D58" i="30"/>
  <c r="C58" i="30"/>
  <c r="B58" i="30"/>
  <c r="P57" i="30"/>
  <c r="N57" i="30"/>
  <c r="L57" i="30"/>
  <c r="K57" i="30"/>
  <c r="J57" i="30"/>
  <c r="I57" i="30"/>
  <c r="H57" i="30"/>
  <c r="G57" i="30"/>
  <c r="F57" i="30"/>
  <c r="E57" i="30"/>
  <c r="D57" i="30"/>
  <c r="C57" i="30"/>
  <c r="B57" i="30"/>
  <c r="P56" i="30"/>
  <c r="N56" i="30"/>
  <c r="L56" i="30"/>
  <c r="K56" i="30"/>
  <c r="J56" i="30"/>
  <c r="I56" i="30"/>
  <c r="H56" i="30"/>
  <c r="G56" i="30"/>
  <c r="F56" i="30"/>
  <c r="E56" i="30"/>
  <c r="D56" i="30"/>
  <c r="C56" i="30"/>
  <c r="B56" i="30"/>
  <c r="P55" i="30"/>
  <c r="N55" i="30"/>
  <c r="L55" i="30"/>
  <c r="K55" i="30"/>
  <c r="J55" i="30"/>
  <c r="I55" i="30"/>
  <c r="H55" i="30"/>
  <c r="G55" i="30"/>
  <c r="F55" i="30"/>
  <c r="E55" i="30"/>
  <c r="D55" i="30"/>
  <c r="C55" i="30"/>
  <c r="B55" i="30"/>
  <c r="P54" i="30"/>
  <c r="N54" i="30"/>
  <c r="L54" i="30"/>
  <c r="K54" i="30"/>
  <c r="J54" i="30"/>
  <c r="I54" i="30"/>
  <c r="H54" i="30"/>
  <c r="G54" i="30"/>
  <c r="F54" i="30"/>
  <c r="E54" i="30"/>
  <c r="D54" i="30"/>
  <c r="C54" i="30"/>
  <c r="B54" i="30"/>
  <c r="P53" i="30"/>
  <c r="N53" i="30"/>
  <c r="L53" i="30"/>
  <c r="K53" i="30"/>
  <c r="J53" i="30"/>
  <c r="I53" i="30"/>
  <c r="H53" i="30"/>
  <c r="G53" i="30"/>
  <c r="F53" i="30"/>
  <c r="E53" i="30"/>
  <c r="D53" i="30"/>
  <c r="C53" i="30"/>
  <c r="B53" i="30"/>
  <c r="P52" i="30"/>
  <c r="N52" i="30"/>
  <c r="L52" i="30"/>
  <c r="K52" i="30"/>
  <c r="J52" i="30"/>
  <c r="I52" i="30"/>
  <c r="H52" i="30"/>
  <c r="G52" i="30"/>
  <c r="F52" i="30"/>
  <c r="E52" i="30"/>
  <c r="D52" i="30"/>
  <c r="C52" i="30"/>
  <c r="B52" i="30"/>
  <c r="P51" i="30"/>
  <c r="N51" i="30"/>
  <c r="L51" i="30"/>
  <c r="K51" i="30"/>
  <c r="J51" i="30"/>
  <c r="I51" i="30"/>
  <c r="H51" i="30"/>
  <c r="G51" i="30"/>
  <c r="F51" i="30"/>
  <c r="E51" i="30"/>
  <c r="D51" i="30"/>
  <c r="C51" i="30"/>
  <c r="B51" i="30"/>
  <c r="P50" i="30"/>
  <c r="N50" i="30"/>
  <c r="L50" i="30"/>
  <c r="K50" i="30"/>
  <c r="J50" i="30"/>
  <c r="I50" i="30"/>
  <c r="H50" i="30"/>
  <c r="G50" i="30"/>
  <c r="F50" i="30"/>
  <c r="E50" i="30"/>
  <c r="D50" i="30"/>
  <c r="C50" i="30"/>
  <c r="B50" i="30"/>
  <c r="P49" i="30"/>
  <c r="N49" i="30"/>
  <c r="L49" i="30"/>
  <c r="K49" i="30"/>
  <c r="J49" i="30"/>
  <c r="I49" i="30"/>
  <c r="H49" i="30"/>
  <c r="G49" i="30"/>
  <c r="F49" i="30"/>
  <c r="E49" i="30"/>
  <c r="D49" i="30"/>
  <c r="C49" i="30"/>
  <c r="B49" i="30"/>
  <c r="P48" i="30"/>
  <c r="N48" i="30"/>
  <c r="L48" i="30"/>
  <c r="K48" i="30"/>
  <c r="J48" i="30"/>
  <c r="I48" i="30"/>
  <c r="H48" i="30"/>
  <c r="G48" i="30"/>
  <c r="F48" i="30"/>
  <c r="E48" i="30"/>
  <c r="D48" i="30"/>
  <c r="C48" i="30"/>
  <c r="B48" i="30"/>
  <c r="P47" i="30"/>
  <c r="N47" i="30"/>
  <c r="L47" i="30"/>
  <c r="K47" i="30"/>
  <c r="J47" i="30"/>
  <c r="I47" i="30"/>
  <c r="H47" i="30"/>
  <c r="G47" i="30"/>
  <c r="F47" i="30"/>
  <c r="E47" i="30"/>
  <c r="D47" i="30"/>
  <c r="C47" i="30"/>
  <c r="B47" i="30"/>
  <c r="P46" i="30"/>
  <c r="N46" i="30"/>
  <c r="L46" i="30"/>
  <c r="K46" i="30"/>
  <c r="J46" i="30"/>
  <c r="I46" i="30"/>
  <c r="H46" i="30"/>
  <c r="G46" i="30"/>
  <c r="F46" i="30"/>
  <c r="E46" i="30"/>
  <c r="D46" i="30"/>
  <c r="C46" i="30"/>
  <c r="B46" i="30"/>
  <c r="P45" i="30"/>
  <c r="N45" i="30"/>
  <c r="L45" i="30"/>
  <c r="K45" i="30"/>
  <c r="J45" i="30"/>
  <c r="I45" i="30"/>
  <c r="H45" i="30"/>
  <c r="G45" i="30"/>
  <c r="F45" i="30"/>
  <c r="E45" i="30"/>
  <c r="D45" i="30"/>
  <c r="C45" i="30"/>
  <c r="B45" i="30"/>
  <c r="P44" i="30"/>
  <c r="N44" i="30"/>
  <c r="L44" i="30"/>
  <c r="K44" i="30"/>
  <c r="J44" i="30"/>
  <c r="I44" i="30"/>
  <c r="H44" i="30"/>
  <c r="G44" i="30"/>
  <c r="F44" i="30"/>
  <c r="E44" i="30"/>
  <c r="D44" i="30"/>
  <c r="C44" i="30"/>
  <c r="B44" i="30"/>
  <c r="A44" i="30"/>
  <c r="P43" i="30"/>
  <c r="N43" i="30"/>
  <c r="L43" i="30"/>
  <c r="K43" i="30"/>
  <c r="J43" i="30"/>
  <c r="I43" i="30"/>
  <c r="H43" i="30"/>
  <c r="G43" i="30"/>
  <c r="F43" i="30"/>
  <c r="E43" i="30"/>
  <c r="D43" i="30"/>
  <c r="C43" i="30"/>
  <c r="A43" i="30"/>
  <c r="P42" i="30"/>
  <c r="N42" i="30"/>
  <c r="L42" i="30"/>
  <c r="K42" i="30"/>
  <c r="J42" i="30"/>
  <c r="I42" i="30"/>
  <c r="H42" i="30"/>
  <c r="G42" i="30"/>
  <c r="F42" i="30"/>
  <c r="E42" i="30"/>
  <c r="D42" i="30"/>
  <c r="C42" i="30"/>
  <c r="P41" i="30"/>
  <c r="N41" i="30"/>
  <c r="L41" i="30"/>
  <c r="K41" i="30"/>
  <c r="J41" i="30"/>
  <c r="I41" i="30"/>
  <c r="H41" i="30"/>
  <c r="G41" i="30"/>
  <c r="F41" i="30"/>
  <c r="E41" i="30"/>
  <c r="D41" i="30"/>
  <c r="C41" i="30"/>
  <c r="P40" i="30"/>
  <c r="N40" i="30"/>
  <c r="L40" i="30"/>
  <c r="K40" i="30"/>
  <c r="J40" i="30"/>
  <c r="I40" i="30"/>
  <c r="H40" i="30"/>
  <c r="G40" i="30"/>
  <c r="F40" i="30"/>
  <c r="E40" i="30"/>
  <c r="D40" i="30"/>
  <c r="C40" i="30"/>
  <c r="B40" i="30"/>
  <c r="P39" i="30"/>
  <c r="N39" i="30"/>
  <c r="L39" i="30"/>
  <c r="K39" i="30"/>
  <c r="J39" i="30"/>
  <c r="I39" i="30"/>
  <c r="H39" i="30"/>
  <c r="G39" i="30"/>
  <c r="F39" i="30"/>
  <c r="E39" i="30"/>
  <c r="D39" i="30"/>
  <c r="C39" i="30"/>
  <c r="B39" i="30"/>
  <c r="P38" i="30"/>
  <c r="N38" i="30"/>
  <c r="L38" i="30"/>
  <c r="K38" i="30"/>
  <c r="J38" i="30"/>
  <c r="I38" i="30"/>
  <c r="H38" i="30"/>
  <c r="G38" i="30"/>
  <c r="F38" i="30"/>
  <c r="E38" i="30"/>
  <c r="D38" i="30"/>
  <c r="C38" i="30"/>
  <c r="B38" i="30"/>
  <c r="P37" i="30"/>
  <c r="N37" i="30"/>
  <c r="L37" i="30"/>
  <c r="K37" i="30"/>
  <c r="J37" i="30"/>
  <c r="I37" i="30"/>
  <c r="H37" i="30"/>
  <c r="G37" i="30"/>
  <c r="F37" i="30"/>
  <c r="E37" i="30"/>
  <c r="D37" i="30"/>
  <c r="C37" i="30"/>
  <c r="B37" i="30"/>
  <c r="A37" i="30"/>
  <c r="R36" i="30"/>
  <c r="Z9" i="87" s="1"/>
  <c r="C36" i="30"/>
  <c r="A36" i="30"/>
  <c r="P35" i="30"/>
  <c r="N35" i="30"/>
  <c r="L35" i="30"/>
  <c r="K35" i="30"/>
  <c r="J35" i="30"/>
  <c r="I35" i="30"/>
  <c r="H35" i="30"/>
  <c r="G35" i="30"/>
  <c r="F35" i="30"/>
  <c r="E35" i="30"/>
  <c r="D35" i="30"/>
  <c r="C35" i="30"/>
  <c r="B35" i="30"/>
  <c r="A35" i="30"/>
  <c r="P34" i="30"/>
  <c r="N34" i="30"/>
  <c r="L34" i="30"/>
  <c r="K34" i="30"/>
  <c r="J34" i="30"/>
  <c r="I34" i="30"/>
  <c r="H34" i="30"/>
  <c r="G34" i="30"/>
  <c r="F34" i="30"/>
  <c r="E34" i="30"/>
  <c r="D34" i="30"/>
  <c r="C34" i="30"/>
  <c r="B34" i="30"/>
  <c r="A34" i="30"/>
  <c r="P33" i="30"/>
  <c r="N33" i="30"/>
  <c r="L33" i="30"/>
  <c r="K33" i="30"/>
  <c r="J33" i="30"/>
  <c r="I33" i="30"/>
  <c r="H33" i="30"/>
  <c r="G33" i="30"/>
  <c r="F33" i="30"/>
  <c r="E33" i="30"/>
  <c r="D33" i="30"/>
  <c r="C33" i="30"/>
  <c r="B33" i="30"/>
  <c r="A33" i="30"/>
  <c r="R32" i="30"/>
  <c r="Z8" i="87" s="1"/>
  <c r="C32" i="30"/>
  <c r="A32" i="30"/>
  <c r="P31" i="30"/>
  <c r="N31" i="30"/>
  <c r="L31" i="30"/>
  <c r="K31" i="30"/>
  <c r="J31" i="30"/>
  <c r="I31" i="30"/>
  <c r="H31" i="30"/>
  <c r="G31" i="30"/>
  <c r="F31" i="30"/>
  <c r="E31" i="30"/>
  <c r="D31" i="30"/>
  <c r="C31" i="30"/>
  <c r="B31" i="30"/>
  <c r="P30" i="30"/>
  <c r="N30" i="30"/>
  <c r="L30" i="30"/>
  <c r="K30" i="30"/>
  <c r="J30" i="30"/>
  <c r="I30" i="30"/>
  <c r="H30" i="30"/>
  <c r="G30" i="30"/>
  <c r="F30" i="30"/>
  <c r="E30" i="30"/>
  <c r="D30" i="30"/>
  <c r="C30" i="30"/>
  <c r="B30" i="30"/>
  <c r="P29" i="30"/>
  <c r="N29" i="30"/>
  <c r="L29" i="30"/>
  <c r="K29" i="30"/>
  <c r="J29" i="30"/>
  <c r="I29" i="30"/>
  <c r="H29" i="30"/>
  <c r="G29" i="30"/>
  <c r="F29" i="30"/>
  <c r="E29" i="30"/>
  <c r="D29" i="30"/>
  <c r="C29" i="30"/>
  <c r="B29" i="30"/>
  <c r="P28" i="30"/>
  <c r="N28" i="30"/>
  <c r="L28" i="30"/>
  <c r="K28" i="30"/>
  <c r="J28" i="30"/>
  <c r="I28" i="30"/>
  <c r="H28" i="30"/>
  <c r="G28" i="30"/>
  <c r="F28" i="30"/>
  <c r="E28" i="30"/>
  <c r="D28" i="30"/>
  <c r="C28" i="30"/>
  <c r="B28" i="30"/>
  <c r="P27" i="30"/>
  <c r="N27" i="30"/>
  <c r="L27" i="30"/>
  <c r="K27" i="30"/>
  <c r="J27" i="30"/>
  <c r="I27" i="30"/>
  <c r="H27" i="30"/>
  <c r="G27" i="30"/>
  <c r="F27" i="30"/>
  <c r="E27" i="30"/>
  <c r="D27" i="30"/>
  <c r="C27" i="30"/>
  <c r="B27" i="30"/>
  <c r="P26" i="30"/>
  <c r="N26" i="30"/>
  <c r="L26" i="30"/>
  <c r="K26" i="30"/>
  <c r="J26" i="30"/>
  <c r="I26" i="30"/>
  <c r="H26" i="30"/>
  <c r="G26" i="30"/>
  <c r="F26" i="30"/>
  <c r="E26" i="30"/>
  <c r="D26" i="30"/>
  <c r="C26" i="30"/>
  <c r="B26" i="30"/>
  <c r="P25" i="30"/>
  <c r="N25" i="30"/>
  <c r="L25" i="30"/>
  <c r="K25" i="30"/>
  <c r="J25" i="30"/>
  <c r="I25" i="30"/>
  <c r="H25" i="30"/>
  <c r="G25" i="30"/>
  <c r="F25" i="30"/>
  <c r="E25" i="30"/>
  <c r="D25" i="30"/>
  <c r="C25" i="30"/>
  <c r="B25" i="30"/>
  <c r="P24" i="30"/>
  <c r="N24" i="30"/>
  <c r="L24" i="30"/>
  <c r="K24" i="30"/>
  <c r="J24" i="30"/>
  <c r="I24" i="30"/>
  <c r="H24" i="30"/>
  <c r="G24" i="30"/>
  <c r="F24" i="30"/>
  <c r="E24" i="30"/>
  <c r="D24" i="30"/>
  <c r="C24" i="30"/>
  <c r="B24" i="30"/>
  <c r="P23" i="30"/>
  <c r="N23" i="30"/>
  <c r="L23" i="30"/>
  <c r="K23" i="30"/>
  <c r="J23" i="30"/>
  <c r="I23" i="30"/>
  <c r="H23" i="30"/>
  <c r="G23" i="30"/>
  <c r="F23" i="30"/>
  <c r="E23" i="30"/>
  <c r="D23" i="30"/>
  <c r="C23" i="30"/>
  <c r="B23" i="30"/>
  <c r="P22" i="30"/>
  <c r="N22" i="30"/>
  <c r="L22" i="30"/>
  <c r="K22" i="30"/>
  <c r="J22" i="30"/>
  <c r="I22" i="30"/>
  <c r="H22" i="30"/>
  <c r="G22" i="30"/>
  <c r="F22" i="30"/>
  <c r="E22" i="30"/>
  <c r="D22" i="30"/>
  <c r="C22" i="30"/>
  <c r="B22" i="30"/>
  <c r="A22" i="30"/>
  <c r="P21" i="30"/>
  <c r="N21" i="30"/>
  <c r="L21" i="30"/>
  <c r="K21" i="30"/>
  <c r="J21" i="30"/>
  <c r="I21" i="30"/>
  <c r="H21" i="30"/>
  <c r="G21" i="30"/>
  <c r="F21" i="30"/>
  <c r="E21" i="30"/>
  <c r="D21" i="30"/>
  <c r="C21" i="30"/>
  <c r="B21" i="30"/>
  <c r="P20" i="30"/>
  <c r="N20" i="30"/>
  <c r="L20" i="30"/>
  <c r="K20" i="30"/>
  <c r="J20" i="30"/>
  <c r="I20" i="30"/>
  <c r="H20" i="30"/>
  <c r="G20" i="30"/>
  <c r="F20" i="30"/>
  <c r="E20" i="30"/>
  <c r="D20" i="30"/>
  <c r="C20" i="30"/>
  <c r="B20" i="30"/>
  <c r="P19" i="30"/>
  <c r="N19" i="30"/>
  <c r="L19" i="30"/>
  <c r="K19" i="30"/>
  <c r="J19" i="30"/>
  <c r="I19" i="30"/>
  <c r="H19" i="30"/>
  <c r="G19" i="30"/>
  <c r="F19" i="30"/>
  <c r="E19" i="30"/>
  <c r="D19" i="30"/>
  <c r="C19" i="30"/>
  <c r="B19" i="30"/>
  <c r="P18" i="30"/>
  <c r="N18" i="30"/>
  <c r="L18" i="30"/>
  <c r="K18" i="30"/>
  <c r="J18" i="30"/>
  <c r="I18" i="30"/>
  <c r="H18" i="30"/>
  <c r="G18" i="30"/>
  <c r="F18" i="30"/>
  <c r="E18" i="30"/>
  <c r="D18" i="30"/>
  <c r="C18" i="30"/>
  <c r="B18" i="30"/>
  <c r="P17" i="30"/>
  <c r="N17" i="30"/>
  <c r="L17" i="30"/>
  <c r="K17" i="30"/>
  <c r="J17" i="30"/>
  <c r="I17" i="30"/>
  <c r="H17" i="30"/>
  <c r="G17" i="30"/>
  <c r="F17" i="30"/>
  <c r="E17" i="30"/>
  <c r="D17" i="30"/>
  <c r="C17" i="30"/>
  <c r="B17" i="30"/>
  <c r="P16" i="30"/>
  <c r="N16" i="30"/>
  <c r="L16" i="30"/>
  <c r="K16" i="30"/>
  <c r="J16" i="30"/>
  <c r="I16" i="30"/>
  <c r="H16" i="30"/>
  <c r="G16" i="30"/>
  <c r="F16" i="30"/>
  <c r="E16" i="30"/>
  <c r="D16" i="30"/>
  <c r="C16" i="30"/>
  <c r="B16" i="30"/>
  <c r="P15" i="30"/>
  <c r="N15" i="30"/>
  <c r="L15" i="30"/>
  <c r="K15" i="30"/>
  <c r="J15" i="30"/>
  <c r="I15" i="30"/>
  <c r="H15" i="30"/>
  <c r="G15" i="30"/>
  <c r="F15" i="30"/>
  <c r="E15" i="30"/>
  <c r="D15" i="30"/>
  <c r="C15" i="30"/>
  <c r="B15" i="30"/>
  <c r="A15" i="30"/>
  <c r="R14" i="30"/>
  <c r="Z6" i="87" s="1"/>
  <c r="C14" i="30"/>
  <c r="A14" i="30"/>
  <c r="P13" i="30"/>
  <c r="N13" i="30"/>
  <c r="L13" i="30"/>
  <c r="K13" i="30"/>
  <c r="J13" i="30"/>
  <c r="I13" i="30"/>
  <c r="H13" i="30"/>
  <c r="G13" i="30"/>
  <c r="F13" i="30"/>
  <c r="E13" i="30"/>
  <c r="D13" i="30"/>
  <c r="C13" i="30"/>
  <c r="B13" i="30"/>
  <c r="A13" i="30"/>
  <c r="P12" i="30"/>
  <c r="N12" i="30"/>
  <c r="L12" i="30"/>
  <c r="K12" i="30"/>
  <c r="J12" i="30"/>
  <c r="I12" i="30"/>
  <c r="H12" i="30"/>
  <c r="G12" i="30"/>
  <c r="F12" i="30"/>
  <c r="E12" i="30"/>
  <c r="D12" i="30"/>
  <c r="C12" i="30"/>
  <c r="B12" i="30"/>
  <c r="A12" i="30"/>
  <c r="R11" i="30"/>
  <c r="C11" i="30"/>
  <c r="A11" i="30"/>
  <c r="P10" i="30"/>
  <c r="N10" i="30"/>
  <c r="L10" i="30"/>
  <c r="K10" i="30"/>
  <c r="J10" i="30"/>
  <c r="I10" i="30"/>
  <c r="H10" i="30"/>
  <c r="G10" i="30"/>
  <c r="F10" i="30"/>
  <c r="E10" i="30"/>
  <c r="D10" i="30"/>
  <c r="C10" i="30"/>
  <c r="B10" i="30"/>
  <c r="A10" i="30"/>
  <c r="P9" i="30"/>
  <c r="N9" i="30"/>
  <c r="L9" i="30"/>
  <c r="K9" i="30"/>
  <c r="J9" i="30"/>
  <c r="I9" i="30"/>
  <c r="H9" i="30"/>
  <c r="G9" i="30"/>
  <c r="F9" i="30"/>
  <c r="E9" i="30"/>
  <c r="D9" i="30"/>
  <c r="C9" i="30"/>
  <c r="B9" i="30"/>
  <c r="A9" i="30"/>
  <c r="P8" i="30"/>
  <c r="N8" i="30"/>
  <c r="L8" i="30"/>
  <c r="K8" i="30"/>
  <c r="J8" i="30"/>
  <c r="I8" i="30"/>
  <c r="H8" i="30"/>
  <c r="G8" i="30"/>
  <c r="F8" i="30"/>
  <c r="E8" i="30"/>
  <c r="D8" i="30"/>
  <c r="C8" i="30"/>
  <c r="B8" i="30"/>
  <c r="A8" i="30"/>
  <c r="P7" i="30"/>
  <c r="N7" i="30"/>
  <c r="L7" i="30"/>
  <c r="K7" i="30"/>
  <c r="J7" i="30"/>
  <c r="I7" i="30"/>
  <c r="H7" i="30"/>
  <c r="G7" i="30"/>
  <c r="F7" i="30"/>
  <c r="E7" i="30"/>
  <c r="D7" i="30"/>
  <c r="C7" i="30"/>
  <c r="B7" i="30"/>
  <c r="A7" i="30"/>
  <c r="R6" i="30"/>
  <c r="Z4" i="87" s="1"/>
  <c r="C6" i="30"/>
  <c r="A6" i="30"/>
  <c r="C3" i="30"/>
  <c r="C2" i="30"/>
  <c r="A2" i="30"/>
  <c r="P40" i="40"/>
  <c r="N40" i="40"/>
  <c r="L40" i="40"/>
  <c r="K40" i="40"/>
  <c r="J40" i="40"/>
  <c r="I40" i="40"/>
  <c r="G40" i="40"/>
  <c r="F40" i="40"/>
  <c r="E40" i="40"/>
  <c r="C40" i="40"/>
  <c r="B40" i="40"/>
  <c r="A40" i="40"/>
  <c r="P38" i="40"/>
  <c r="N38" i="40"/>
  <c r="L38" i="40"/>
  <c r="K38" i="40"/>
  <c r="J38" i="40"/>
  <c r="I38" i="40"/>
  <c r="H38" i="40"/>
  <c r="G38" i="40"/>
  <c r="F38" i="40"/>
  <c r="E38" i="40"/>
  <c r="C38" i="40"/>
  <c r="B38" i="40"/>
  <c r="A38" i="40"/>
  <c r="P35" i="40"/>
  <c r="N35" i="40"/>
  <c r="L35" i="40"/>
  <c r="K35" i="40"/>
  <c r="J35" i="40"/>
  <c r="I35" i="40"/>
  <c r="H35" i="40"/>
  <c r="G35" i="40"/>
  <c r="F35" i="40"/>
  <c r="E35" i="40"/>
  <c r="D35" i="40"/>
  <c r="C35" i="40"/>
  <c r="B35" i="40"/>
  <c r="A35" i="40"/>
  <c r="P34" i="40"/>
  <c r="N34" i="40"/>
  <c r="L34" i="40"/>
  <c r="K34" i="40"/>
  <c r="J34" i="40"/>
  <c r="H34" i="40"/>
  <c r="G34" i="40"/>
  <c r="F34" i="40"/>
  <c r="E34" i="40"/>
  <c r="D34" i="40"/>
  <c r="C34" i="40"/>
  <c r="B34" i="40"/>
  <c r="A34" i="40"/>
  <c r="P33" i="40"/>
  <c r="N33" i="40"/>
  <c r="L33" i="40"/>
  <c r="K33" i="40"/>
  <c r="J33" i="40"/>
  <c r="I33" i="40"/>
  <c r="H33" i="40"/>
  <c r="G33" i="40"/>
  <c r="F33" i="40"/>
  <c r="E33" i="40"/>
  <c r="D33" i="40"/>
  <c r="C33" i="40"/>
  <c r="B33" i="40"/>
  <c r="A33" i="40"/>
  <c r="P32" i="40"/>
  <c r="N32" i="40"/>
  <c r="L32" i="40"/>
  <c r="K32" i="40"/>
  <c r="J32" i="40"/>
  <c r="I32" i="40"/>
  <c r="H32" i="40"/>
  <c r="G32" i="40"/>
  <c r="E32" i="40"/>
  <c r="D32" i="40"/>
  <c r="C32" i="40"/>
  <c r="B32" i="40"/>
  <c r="A32" i="40"/>
  <c r="P31" i="40"/>
  <c r="N31" i="40"/>
  <c r="L31" i="40"/>
  <c r="K31" i="40"/>
  <c r="J31" i="40"/>
  <c r="I31" i="40"/>
  <c r="H31" i="40"/>
  <c r="G31" i="40"/>
  <c r="F31" i="40"/>
  <c r="E31" i="40"/>
  <c r="D31" i="40"/>
  <c r="C31" i="40"/>
  <c r="B31" i="40"/>
  <c r="A31" i="40"/>
  <c r="P30" i="40"/>
  <c r="N30" i="40"/>
  <c r="L30" i="40"/>
  <c r="K30" i="40"/>
  <c r="J30" i="40"/>
  <c r="I30" i="40"/>
  <c r="H30" i="40"/>
  <c r="G30" i="40"/>
  <c r="F30" i="40"/>
  <c r="E30" i="40"/>
  <c r="D30" i="40"/>
  <c r="C30" i="40"/>
  <c r="B30" i="40"/>
  <c r="A30" i="40"/>
  <c r="R29" i="40"/>
  <c r="Y19" i="87" s="1"/>
  <c r="C29" i="40"/>
  <c r="A29" i="40"/>
  <c r="P28" i="40"/>
  <c r="N28" i="40"/>
  <c r="L28" i="40"/>
  <c r="K28" i="40"/>
  <c r="J28" i="40"/>
  <c r="I28" i="40"/>
  <c r="H28" i="40"/>
  <c r="G28" i="40"/>
  <c r="F28" i="40"/>
  <c r="E28" i="40"/>
  <c r="D28" i="40"/>
  <c r="C28" i="40"/>
  <c r="B28" i="40"/>
  <c r="A28" i="40"/>
  <c r="R27" i="40"/>
  <c r="Y15" i="87" s="1"/>
  <c r="C27" i="40"/>
  <c r="A27" i="40"/>
  <c r="P26" i="40"/>
  <c r="N26" i="40"/>
  <c r="L26" i="40"/>
  <c r="K26" i="40"/>
  <c r="J26" i="40"/>
  <c r="I26" i="40"/>
  <c r="H26" i="40"/>
  <c r="G26" i="40"/>
  <c r="F26" i="40"/>
  <c r="E26" i="40"/>
  <c r="D26" i="40"/>
  <c r="C26" i="40"/>
  <c r="B26" i="40"/>
  <c r="A26" i="40"/>
  <c r="P25" i="40"/>
  <c r="N25" i="40"/>
  <c r="L25" i="40"/>
  <c r="K25" i="40"/>
  <c r="J25" i="40"/>
  <c r="I25" i="40"/>
  <c r="H25" i="40"/>
  <c r="G25" i="40"/>
  <c r="F25" i="40"/>
  <c r="E25" i="40"/>
  <c r="D25" i="40"/>
  <c r="C25" i="40"/>
  <c r="B25" i="40"/>
  <c r="A25" i="40"/>
  <c r="P24" i="40"/>
  <c r="N24" i="40"/>
  <c r="L24" i="40"/>
  <c r="K24" i="40"/>
  <c r="J24" i="40"/>
  <c r="I24" i="40"/>
  <c r="H24" i="40"/>
  <c r="G24" i="40"/>
  <c r="F24" i="40"/>
  <c r="E24" i="40"/>
  <c r="D24" i="40"/>
  <c r="C24" i="40"/>
  <c r="B24" i="40"/>
  <c r="A24" i="40"/>
  <c r="P23" i="40"/>
  <c r="N23" i="40"/>
  <c r="L23" i="40"/>
  <c r="K23" i="40"/>
  <c r="J23" i="40"/>
  <c r="I23" i="40"/>
  <c r="H23" i="40"/>
  <c r="G23" i="40"/>
  <c r="F23" i="40"/>
  <c r="E23" i="40"/>
  <c r="D23" i="40"/>
  <c r="C23" i="40"/>
  <c r="B23" i="40"/>
  <c r="A23" i="40"/>
  <c r="R22" i="40"/>
  <c r="Y13" i="87" s="1"/>
  <c r="C22" i="40"/>
  <c r="A22" i="40"/>
  <c r="P21" i="40"/>
  <c r="N21" i="40"/>
  <c r="L21" i="40"/>
  <c r="K21" i="40"/>
  <c r="J21" i="40"/>
  <c r="I21" i="40"/>
  <c r="H21" i="40"/>
  <c r="G21" i="40"/>
  <c r="F21" i="40"/>
  <c r="E21" i="40"/>
  <c r="D21" i="40"/>
  <c r="C21" i="40"/>
  <c r="B21" i="40"/>
  <c r="P20" i="40"/>
  <c r="N20" i="40"/>
  <c r="L20" i="40"/>
  <c r="K20" i="40"/>
  <c r="J20" i="40"/>
  <c r="I20" i="40"/>
  <c r="H20" i="40"/>
  <c r="G20" i="40"/>
  <c r="F20" i="40"/>
  <c r="E20" i="40"/>
  <c r="D20" i="40"/>
  <c r="C20" i="40"/>
  <c r="B20" i="40"/>
  <c r="P19" i="40"/>
  <c r="N19" i="40"/>
  <c r="L19" i="40"/>
  <c r="K19" i="40"/>
  <c r="J19" i="40"/>
  <c r="I19" i="40"/>
  <c r="H19" i="40"/>
  <c r="G19" i="40"/>
  <c r="F19" i="40"/>
  <c r="E19" i="40"/>
  <c r="D19" i="40"/>
  <c r="C19" i="40"/>
  <c r="B19" i="40"/>
  <c r="P18" i="40"/>
  <c r="N18" i="40"/>
  <c r="L18" i="40"/>
  <c r="K18" i="40"/>
  <c r="J18" i="40"/>
  <c r="I18" i="40"/>
  <c r="H18" i="40"/>
  <c r="G18" i="40"/>
  <c r="F18" i="40"/>
  <c r="E18" i="40"/>
  <c r="D18" i="40"/>
  <c r="C18" i="40"/>
  <c r="B18" i="40"/>
  <c r="P17" i="40"/>
  <c r="N17" i="40"/>
  <c r="L17" i="40"/>
  <c r="K17" i="40"/>
  <c r="J17" i="40"/>
  <c r="I17" i="40"/>
  <c r="H17" i="40"/>
  <c r="G17" i="40"/>
  <c r="F17" i="40"/>
  <c r="E17" i="40"/>
  <c r="D17" i="40"/>
  <c r="C17" i="40"/>
  <c r="B17" i="40"/>
  <c r="P16" i="40"/>
  <c r="N16" i="40"/>
  <c r="L16" i="40"/>
  <c r="K16" i="40"/>
  <c r="J16" i="40"/>
  <c r="I16" i="40"/>
  <c r="H16" i="40"/>
  <c r="G16" i="40"/>
  <c r="F16" i="40"/>
  <c r="E16" i="40"/>
  <c r="D16" i="40"/>
  <c r="C16" i="40"/>
  <c r="B16" i="40"/>
  <c r="P15" i="40"/>
  <c r="N15" i="40"/>
  <c r="L15" i="40"/>
  <c r="K15" i="40"/>
  <c r="J15" i="40"/>
  <c r="I15" i="40"/>
  <c r="H15" i="40"/>
  <c r="G15" i="40"/>
  <c r="F15" i="40"/>
  <c r="E15" i="40"/>
  <c r="D15" i="40"/>
  <c r="C15" i="40"/>
  <c r="B15" i="40"/>
  <c r="P14" i="40"/>
  <c r="N14" i="40"/>
  <c r="L14" i="40"/>
  <c r="K14" i="40"/>
  <c r="J14" i="40"/>
  <c r="I14" i="40"/>
  <c r="H14" i="40"/>
  <c r="G14" i="40"/>
  <c r="F14" i="40"/>
  <c r="E14" i="40"/>
  <c r="D14" i="40"/>
  <c r="C14" i="40"/>
  <c r="B14" i="40"/>
  <c r="P13" i="40"/>
  <c r="N13" i="40"/>
  <c r="L13" i="40"/>
  <c r="K13" i="40"/>
  <c r="J13" i="40"/>
  <c r="I13" i="40"/>
  <c r="H13" i="40"/>
  <c r="G13" i="40"/>
  <c r="F13" i="40"/>
  <c r="E13" i="40"/>
  <c r="D13" i="40"/>
  <c r="C13" i="40"/>
  <c r="B13" i="40"/>
  <c r="A13" i="40"/>
  <c r="R12" i="40"/>
  <c r="Y12" i="87" s="1"/>
  <c r="C12" i="40"/>
  <c r="A12" i="40"/>
  <c r="P11" i="40"/>
  <c r="N11" i="40"/>
  <c r="L11" i="40"/>
  <c r="K11" i="40"/>
  <c r="J11" i="40"/>
  <c r="I11" i="40"/>
  <c r="H11" i="40"/>
  <c r="G11" i="40"/>
  <c r="F11" i="40"/>
  <c r="E11" i="40"/>
  <c r="D11" i="40"/>
  <c r="C11" i="40"/>
  <c r="B11" i="40"/>
  <c r="A11" i="40"/>
  <c r="P10" i="40"/>
  <c r="N10" i="40"/>
  <c r="L10" i="40"/>
  <c r="K10" i="40"/>
  <c r="J10" i="40"/>
  <c r="I10" i="40"/>
  <c r="H10" i="40"/>
  <c r="G10" i="40"/>
  <c r="F10" i="40"/>
  <c r="E10" i="40"/>
  <c r="D10" i="40"/>
  <c r="C10" i="40"/>
  <c r="P9" i="40"/>
  <c r="N9" i="40"/>
  <c r="L9" i="40"/>
  <c r="K9" i="40"/>
  <c r="J9" i="40"/>
  <c r="I9" i="40"/>
  <c r="H9" i="40"/>
  <c r="G9" i="40"/>
  <c r="F9" i="40"/>
  <c r="E9" i="40"/>
  <c r="D9" i="40"/>
  <c r="C9" i="40"/>
  <c r="B9" i="40"/>
  <c r="A9" i="40"/>
  <c r="R8" i="40"/>
  <c r="Y9" i="87" s="1"/>
  <c r="C8" i="40"/>
  <c r="A8" i="40"/>
  <c r="P7" i="40"/>
  <c r="N7" i="40"/>
  <c r="L7" i="40"/>
  <c r="K7" i="40"/>
  <c r="H7" i="40"/>
  <c r="G7" i="40"/>
  <c r="F7" i="40"/>
  <c r="E7" i="40"/>
  <c r="D7" i="40"/>
  <c r="C7" i="40"/>
  <c r="B7" i="40"/>
  <c r="A7" i="40"/>
  <c r="R6" i="40"/>
  <c r="Y6" i="87" s="1"/>
  <c r="C6" i="40"/>
  <c r="A6" i="40"/>
  <c r="C3" i="40"/>
  <c r="C2" i="40"/>
  <c r="A2" i="40"/>
  <c r="P13" i="35"/>
  <c r="N13" i="35"/>
  <c r="L13" i="35"/>
  <c r="K13" i="35"/>
  <c r="J13" i="35"/>
  <c r="I13" i="35"/>
  <c r="H13" i="35"/>
  <c r="G13" i="35"/>
  <c r="F13" i="35"/>
  <c r="E13" i="35"/>
  <c r="D13" i="35"/>
  <c r="C13" i="35"/>
  <c r="P12" i="35"/>
  <c r="N12" i="35"/>
  <c r="L12" i="35"/>
  <c r="K12" i="35"/>
  <c r="J12" i="35"/>
  <c r="I12" i="35"/>
  <c r="H12" i="35"/>
  <c r="G12" i="35"/>
  <c r="F12" i="35"/>
  <c r="E12" i="35"/>
  <c r="D12" i="35"/>
  <c r="C12" i="35"/>
  <c r="B12" i="35"/>
  <c r="A12" i="35"/>
  <c r="R11" i="35"/>
  <c r="Q12" i="87" s="1"/>
  <c r="C11" i="35"/>
  <c r="A11" i="35"/>
  <c r="P10" i="35"/>
  <c r="N10" i="35"/>
  <c r="L10" i="35"/>
  <c r="K10" i="35"/>
  <c r="J10" i="35"/>
  <c r="I10" i="35"/>
  <c r="H10" i="35"/>
  <c r="G10" i="35"/>
  <c r="F10" i="35"/>
  <c r="E10" i="35"/>
  <c r="D10" i="35"/>
  <c r="C10" i="35"/>
  <c r="P9" i="35"/>
  <c r="N9" i="35"/>
  <c r="L9" i="35"/>
  <c r="K9" i="35"/>
  <c r="J9" i="35"/>
  <c r="I9" i="35"/>
  <c r="H9" i="35"/>
  <c r="G9" i="35"/>
  <c r="F9" i="35"/>
  <c r="E9" i="35"/>
  <c r="D9" i="35"/>
  <c r="C9" i="35"/>
  <c r="A9" i="35"/>
  <c r="P8" i="35"/>
  <c r="N8" i="35"/>
  <c r="L8" i="35"/>
  <c r="K8" i="35"/>
  <c r="J8" i="35"/>
  <c r="I8" i="35"/>
  <c r="H8" i="35"/>
  <c r="G8" i="35"/>
  <c r="F8" i="35"/>
  <c r="E8" i="35"/>
  <c r="D8" i="35"/>
  <c r="C8" i="35"/>
  <c r="P7" i="35"/>
  <c r="N7" i="35"/>
  <c r="L7" i="35"/>
  <c r="K7" i="35"/>
  <c r="J7" i="35"/>
  <c r="I7" i="35"/>
  <c r="H7" i="35"/>
  <c r="G7" i="35"/>
  <c r="F7" i="35"/>
  <c r="E7" i="35"/>
  <c r="D7" i="35"/>
  <c r="C7" i="35"/>
  <c r="A7" i="35"/>
  <c r="R6" i="35"/>
  <c r="Q9" i="87" s="1"/>
  <c r="C6" i="35"/>
  <c r="A6" i="35"/>
  <c r="C3" i="35"/>
  <c r="C2" i="35"/>
  <c r="A2" i="35"/>
  <c r="P36" i="54"/>
  <c r="N36" i="54"/>
  <c r="L36" i="54"/>
  <c r="K36" i="54"/>
  <c r="J36" i="54"/>
  <c r="I36" i="54"/>
  <c r="H36" i="54"/>
  <c r="G36" i="54"/>
  <c r="F36" i="54"/>
  <c r="E36" i="54"/>
  <c r="D36" i="54"/>
  <c r="C36" i="54"/>
  <c r="A36" i="54"/>
  <c r="P35" i="54"/>
  <c r="N35" i="54"/>
  <c r="L35" i="54"/>
  <c r="K35" i="54"/>
  <c r="J35" i="54"/>
  <c r="I35" i="54"/>
  <c r="H35" i="54"/>
  <c r="G35" i="54"/>
  <c r="F35" i="54"/>
  <c r="E35" i="54"/>
  <c r="D35" i="54"/>
  <c r="C35" i="54"/>
  <c r="A35" i="54"/>
  <c r="R34" i="54"/>
  <c r="N20" i="87" s="1"/>
  <c r="C34" i="54"/>
  <c r="A34" i="54"/>
  <c r="P33" i="54"/>
  <c r="N33" i="54"/>
  <c r="L33" i="54"/>
  <c r="K33" i="54"/>
  <c r="J33" i="54"/>
  <c r="I33" i="54"/>
  <c r="H33" i="54"/>
  <c r="G33" i="54"/>
  <c r="F33" i="54"/>
  <c r="E33" i="54"/>
  <c r="D33" i="54"/>
  <c r="C33" i="54"/>
  <c r="B33" i="54"/>
  <c r="A33" i="54"/>
  <c r="R32" i="54"/>
  <c r="N18" i="87" s="1"/>
  <c r="AL18" i="87" s="1"/>
  <c r="C32" i="54"/>
  <c r="A32" i="54"/>
  <c r="P31" i="54"/>
  <c r="N31" i="54"/>
  <c r="L31" i="54"/>
  <c r="K31" i="54"/>
  <c r="J31" i="54"/>
  <c r="I31" i="54"/>
  <c r="H31" i="54"/>
  <c r="G31" i="54"/>
  <c r="F31" i="54"/>
  <c r="E31" i="54"/>
  <c r="D31" i="54"/>
  <c r="C31" i="54"/>
  <c r="B31" i="54"/>
  <c r="A31" i="54"/>
  <c r="R30" i="54"/>
  <c r="N15" i="87" s="1"/>
  <c r="C30" i="54"/>
  <c r="A30" i="54"/>
  <c r="P29" i="54"/>
  <c r="L29" i="54"/>
  <c r="K29" i="54"/>
  <c r="J29" i="54"/>
  <c r="I29" i="54"/>
  <c r="H29" i="54"/>
  <c r="G29" i="54"/>
  <c r="F29" i="54"/>
  <c r="E29" i="54"/>
  <c r="D29" i="54"/>
  <c r="C29" i="54"/>
  <c r="B29" i="54"/>
  <c r="A29" i="54"/>
  <c r="R28" i="54"/>
  <c r="N14" i="87" s="1"/>
  <c r="C28" i="54"/>
  <c r="A28" i="54"/>
  <c r="P27" i="54"/>
  <c r="N27" i="54"/>
  <c r="L27" i="54"/>
  <c r="K27" i="54"/>
  <c r="J27" i="54"/>
  <c r="I27" i="54"/>
  <c r="H27" i="54"/>
  <c r="G27" i="54"/>
  <c r="F27" i="54"/>
  <c r="E27" i="54"/>
  <c r="D27" i="54"/>
  <c r="C27" i="54"/>
  <c r="B27" i="54"/>
  <c r="P26" i="54"/>
  <c r="N26" i="54"/>
  <c r="L26" i="54"/>
  <c r="K26" i="54"/>
  <c r="J26" i="54"/>
  <c r="I26" i="54"/>
  <c r="H26" i="54"/>
  <c r="G26" i="54"/>
  <c r="F26" i="54"/>
  <c r="E26" i="54"/>
  <c r="D26" i="54"/>
  <c r="C26" i="54"/>
  <c r="B26" i="54"/>
  <c r="P25" i="54"/>
  <c r="N25" i="54"/>
  <c r="L25" i="54"/>
  <c r="K25" i="54"/>
  <c r="J25" i="54"/>
  <c r="I25" i="54"/>
  <c r="H25" i="54"/>
  <c r="G25" i="54"/>
  <c r="F25" i="54"/>
  <c r="E25" i="54"/>
  <c r="D25" i="54"/>
  <c r="C25" i="54"/>
  <c r="B25" i="54"/>
  <c r="P24" i="54"/>
  <c r="L24" i="54"/>
  <c r="K24" i="54"/>
  <c r="J24" i="54"/>
  <c r="I24" i="54"/>
  <c r="H24" i="54"/>
  <c r="G24" i="54"/>
  <c r="F24" i="54"/>
  <c r="E24" i="54"/>
  <c r="D24" i="54"/>
  <c r="C24" i="54"/>
  <c r="B24" i="54"/>
  <c r="P23" i="54"/>
  <c r="L23" i="54"/>
  <c r="K23" i="54"/>
  <c r="J23" i="54"/>
  <c r="I23" i="54"/>
  <c r="H23" i="54"/>
  <c r="G23" i="54"/>
  <c r="F23" i="54"/>
  <c r="E23" i="54"/>
  <c r="D23" i="54"/>
  <c r="C23" i="54"/>
  <c r="B23" i="54"/>
  <c r="A23" i="54"/>
  <c r="R22" i="54"/>
  <c r="N12" i="87" s="1"/>
  <c r="C22" i="54"/>
  <c r="A22" i="54"/>
  <c r="P21" i="54"/>
  <c r="N21" i="54"/>
  <c r="L21" i="54"/>
  <c r="K21" i="54"/>
  <c r="J21" i="54"/>
  <c r="I21" i="54"/>
  <c r="H21" i="54"/>
  <c r="G21" i="54"/>
  <c r="F21" i="54"/>
  <c r="E21" i="54"/>
  <c r="D21" i="54"/>
  <c r="C21" i="54"/>
  <c r="A21" i="54"/>
  <c r="P20" i="54"/>
  <c r="N20" i="54"/>
  <c r="L20" i="54"/>
  <c r="K20" i="54"/>
  <c r="J20" i="54"/>
  <c r="I20" i="54"/>
  <c r="H20" i="54"/>
  <c r="G20" i="54"/>
  <c r="F20" i="54"/>
  <c r="E20" i="54"/>
  <c r="D20" i="54"/>
  <c r="C20" i="54"/>
  <c r="A20" i="54"/>
  <c r="P19" i="54"/>
  <c r="N19" i="54"/>
  <c r="K19" i="54"/>
  <c r="J19" i="54"/>
  <c r="I19" i="54"/>
  <c r="H19" i="54"/>
  <c r="G19" i="54"/>
  <c r="F19" i="54"/>
  <c r="E19" i="54"/>
  <c r="D19" i="54"/>
  <c r="C19" i="54"/>
  <c r="A19" i="54"/>
  <c r="P18" i="54"/>
  <c r="N18" i="54"/>
  <c r="K18" i="54"/>
  <c r="J18" i="54"/>
  <c r="I18" i="54"/>
  <c r="H18" i="54"/>
  <c r="G18" i="54"/>
  <c r="F18" i="54"/>
  <c r="E18" i="54"/>
  <c r="D18" i="54"/>
  <c r="C18" i="54"/>
  <c r="A18" i="54"/>
  <c r="R17" i="54"/>
  <c r="C17" i="54"/>
  <c r="A17" i="54"/>
  <c r="P16" i="54"/>
  <c r="L16" i="54"/>
  <c r="K16" i="54"/>
  <c r="J16" i="54"/>
  <c r="I16" i="54"/>
  <c r="H16" i="54"/>
  <c r="G16" i="54"/>
  <c r="F16" i="54"/>
  <c r="E16" i="54"/>
  <c r="D16" i="54"/>
  <c r="C16" i="54"/>
  <c r="B16" i="54"/>
  <c r="P15" i="54"/>
  <c r="L15" i="54"/>
  <c r="K15" i="54"/>
  <c r="J15" i="54"/>
  <c r="I15" i="54"/>
  <c r="H15" i="54"/>
  <c r="G15" i="54"/>
  <c r="F15" i="54"/>
  <c r="E15" i="54"/>
  <c r="D15" i="54"/>
  <c r="C15" i="54"/>
  <c r="B15" i="54"/>
  <c r="A15" i="54"/>
  <c r="P14" i="54"/>
  <c r="L14" i="54"/>
  <c r="K14" i="54"/>
  <c r="J14" i="54"/>
  <c r="I14" i="54"/>
  <c r="H14" i="54"/>
  <c r="F14" i="54"/>
  <c r="E14" i="54"/>
  <c r="D14" i="54"/>
  <c r="C14" i="54"/>
  <c r="B14" i="54"/>
  <c r="A14" i="54"/>
  <c r="R13" i="54"/>
  <c r="N9" i="87" s="1"/>
  <c r="C13" i="54"/>
  <c r="A13" i="54"/>
  <c r="P12" i="54"/>
  <c r="N12" i="54"/>
  <c r="K12" i="54"/>
  <c r="J12" i="54"/>
  <c r="I12" i="54"/>
  <c r="H12" i="54"/>
  <c r="G12" i="54"/>
  <c r="F12" i="54"/>
  <c r="E12" i="54"/>
  <c r="D12" i="54"/>
  <c r="C12" i="54"/>
  <c r="B12" i="54"/>
  <c r="A12" i="54"/>
  <c r="P11" i="54"/>
  <c r="N11" i="54"/>
  <c r="L11" i="54"/>
  <c r="K11" i="54"/>
  <c r="J11" i="54"/>
  <c r="I11" i="54"/>
  <c r="H11" i="54"/>
  <c r="G11" i="54"/>
  <c r="F11" i="54"/>
  <c r="E11" i="54"/>
  <c r="D11" i="54"/>
  <c r="C11" i="54"/>
  <c r="B11" i="54"/>
  <c r="A11" i="54"/>
  <c r="P10" i="54"/>
  <c r="N10" i="54"/>
  <c r="L10" i="54"/>
  <c r="K10" i="54"/>
  <c r="J10" i="54"/>
  <c r="I10" i="54"/>
  <c r="H10" i="54"/>
  <c r="G10" i="54"/>
  <c r="F10" i="54"/>
  <c r="E10" i="54"/>
  <c r="D10" i="54"/>
  <c r="C10" i="54"/>
  <c r="B10" i="54"/>
  <c r="A10" i="54"/>
  <c r="P9" i="54"/>
  <c r="N9" i="54"/>
  <c r="L9" i="54"/>
  <c r="K9" i="54"/>
  <c r="J9" i="54"/>
  <c r="I9" i="54"/>
  <c r="H9" i="54"/>
  <c r="G9" i="54"/>
  <c r="F9" i="54"/>
  <c r="E9" i="54"/>
  <c r="D9" i="54"/>
  <c r="C9" i="54"/>
  <c r="B9" i="54"/>
  <c r="A9" i="54"/>
  <c r="R8" i="54"/>
  <c r="N8" i="87" s="1"/>
  <c r="C8" i="54"/>
  <c r="A8" i="54"/>
  <c r="P7" i="54"/>
  <c r="N7" i="54"/>
  <c r="L7" i="54"/>
  <c r="K7" i="54"/>
  <c r="J7" i="54"/>
  <c r="I7" i="54"/>
  <c r="H7" i="54"/>
  <c r="G7" i="54"/>
  <c r="F7" i="54"/>
  <c r="E7" i="54"/>
  <c r="D7" i="54"/>
  <c r="C7" i="54"/>
  <c r="B7" i="54"/>
  <c r="A7" i="54"/>
  <c r="R6" i="54"/>
  <c r="N4" i="87" s="1"/>
  <c r="C6" i="54"/>
  <c r="B6" i="54"/>
  <c r="A6" i="54"/>
  <c r="C3" i="54"/>
  <c r="C2" i="54"/>
  <c r="A2" i="54"/>
  <c r="P32" i="45"/>
  <c r="N32" i="45"/>
  <c r="L32" i="45"/>
  <c r="K32" i="45"/>
  <c r="J32" i="45"/>
  <c r="I32" i="45"/>
  <c r="H32" i="45"/>
  <c r="G32" i="45"/>
  <c r="F32" i="45"/>
  <c r="E32" i="45"/>
  <c r="D32" i="45"/>
  <c r="C32" i="45"/>
  <c r="B32" i="45"/>
  <c r="A32" i="45"/>
  <c r="R31" i="45"/>
  <c r="C31" i="45"/>
  <c r="A31" i="45"/>
  <c r="P30" i="45"/>
  <c r="N30" i="45"/>
  <c r="L30" i="45"/>
  <c r="K30" i="45"/>
  <c r="J30" i="45"/>
  <c r="I30" i="45"/>
  <c r="H30" i="45"/>
  <c r="G30" i="45"/>
  <c r="F30" i="45"/>
  <c r="E30" i="45"/>
  <c r="D30" i="45"/>
  <c r="C30" i="45"/>
  <c r="B30" i="45"/>
  <c r="A30" i="45"/>
  <c r="R29" i="45"/>
  <c r="C29" i="45"/>
  <c r="A29" i="45"/>
  <c r="P28" i="45"/>
  <c r="N28" i="45"/>
  <c r="L28" i="45"/>
  <c r="K28" i="45"/>
  <c r="J28" i="45"/>
  <c r="I28" i="45"/>
  <c r="H28" i="45"/>
  <c r="G28" i="45"/>
  <c r="F28" i="45"/>
  <c r="E28" i="45"/>
  <c r="D28" i="45"/>
  <c r="C28" i="45"/>
  <c r="B28" i="45"/>
  <c r="P27" i="45"/>
  <c r="N27" i="45"/>
  <c r="L27" i="45"/>
  <c r="K27" i="45"/>
  <c r="J27" i="45"/>
  <c r="I27" i="45"/>
  <c r="H27" i="45"/>
  <c r="G27" i="45"/>
  <c r="F27" i="45"/>
  <c r="E27" i="45"/>
  <c r="D27" i="45"/>
  <c r="C27" i="45"/>
  <c r="B27" i="45"/>
  <c r="A27" i="45"/>
  <c r="R26" i="45"/>
  <c r="L15" i="87" s="1"/>
  <c r="C26" i="45"/>
  <c r="A26" i="45"/>
  <c r="P25" i="45"/>
  <c r="N25" i="45"/>
  <c r="L25" i="45"/>
  <c r="K25" i="45"/>
  <c r="J25" i="45"/>
  <c r="I25" i="45"/>
  <c r="H25" i="45"/>
  <c r="G25" i="45"/>
  <c r="F25" i="45"/>
  <c r="E25" i="45"/>
  <c r="D25" i="45"/>
  <c r="C25" i="45"/>
  <c r="B25" i="45"/>
  <c r="P24" i="45"/>
  <c r="N24" i="45"/>
  <c r="L24" i="45"/>
  <c r="K24" i="45"/>
  <c r="J24" i="45"/>
  <c r="I24" i="45"/>
  <c r="H24" i="45"/>
  <c r="G24" i="45"/>
  <c r="F24" i="45"/>
  <c r="E24" i="45"/>
  <c r="D24" i="45"/>
  <c r="C24" i="45"/>
  <c r="B24" i="45"/>
  <c r="A24" i="45"/>
  <c r="R23" i="45"/>
  <c r="L14" i="87" s="1"/>
  <c r="C23" i="45"/>
  <c r="A23" i="45"/>
  <c r="P22" i="45"/>
  <c r="N22" i="45"/>
  <c r="L22" i="45"/>
  <c r="K22" i="45"/>
  <c r="J22" i="45"/>
  <c r="I22" i="45"/>
  <c r="H22" i="45"/>
  <c r="G22" i="45"/>
  <c r="F22" i="45"/>
  <c r="E22" i="45"/>
  <c r="D22" i="45"/>
  <c r="C22" i="45"/>
  <c r="B22" i="45"/>
  <c r="P21" i="45"/>
  <c r="N21" i="45"/>
  <c r="L21" i="45"/>
  <c r="K21" i="45"/>
  <c r="J21" i="45"/>
  <c r="I21" i="45"/>
  <c r="H21" i="45"/>
  <c r="G21" i="45"/>
  <c r="F21" i="45"/>
  <c r="E21" i="45"/>
  <c r="D21" i="45"/>
  <c r="C21" i="45"/>
  <c r="B21" i="45"/>
  <c r="P20" i="45"/>
  <c r="N20" i="45"/>
  <c r="L20" i="45"/>
  <c r="K20" i="45"/>
  <c r="J20" i="45"/>
  <c r="I20" i="45"/>
  <c r="H20" i="45"/>
  <c r="G20" i="45"/>
  <c r="F20" i="45"/>
  <c r="E20" i="45"/>
  <c r="D20" i="45"/>
  <c r="C20" i="45"/>
  <c r="B20" i="45"/>
  <c r="A20" i="45"/>
  <c r="R19" i="45"/>
  <c r="C19" i="45"/>
  <c r="A19" i="45"/>
  <c r="P18" i="45"/>
  <c r="N18" i="45"/>
  <c r="L18" i="45"/>
  <c r="K18" i="45"/>
  <c r="J18" i="45"/>
  <c r="I18" i="45"/>
  <c r="H18" i="45"/>
  <c r="G18" i="45"/>
  <c r="F18" i="45"/>
  <c r="E18" i="45"/>
  <c r="D18" i="45"/>
  <c r="C18" i="45"/>
  <c r="B18" i="45"/>
  <c r="P17" i="45"/>
  <c r="N17" i="45"/>
  <c r="L17" i="45"/>
  <c r="K17" i="45"/>
  <c r="J17" i="45"/>
  <c r="I17" i="45"/>
  <c r="H17" i="45"/>
  <c r="G17" i="45"/>
  <c r="F17" i="45"/>
  <c r="E17" i="45"/>
  <c r="D17" i="45"/>
  <c r="C17" i="45"/>
  <c r="B17" i="45"/>
  <c r="A17" i="45"/>
  <c r="P16" i="45"/>
  <c r="N16" i="45"/>
  <c r="L16" i="45"/>
  <c r="K16" i="45"/>
  <c r="J16" i="45"/>
  <c r="I16" i="45"/>
  <c r="H16" i="45"/>
  <c r="G16" i="45"/>
  <c r="F16" i="45"/>
  <c r="E16" i="45"/>
  <c r="D16" i="45"/>
  <c r="C16" i="45"/>
  <c r="B16" i="45"/>
  <c r="P15" i="45"/>
  <c r="L15" i="45"/>
  <c r="K15" i="45"/>
  <c r="J15" i="45"/>
  <c r="I15" i="45"/>
  <c r="H15" i="45"/>
  <c r="G15" i="45"/>
  <c r="F15" i="45"/>
  <c r="E15" i="45"/>
  <c r="D15" i="45"/>
  <c r="C15" i="45"/>
  <c r="B15" i="45"/>
  <c r="A15" i="45"/>
  <c r="R14" i="45"/>
  <c r="L9" i="87" s="1"/>
  <c r="C14" i="45"/>
  <c r="A14" i="45"/>
  <c r="P13" i="45"/>
  <c r="N13" i="45"/>
  <c r="L13" i="45"/>
  <c r="K13" i="45"/>
  <c r="J13" i="45"/>
  <c r="I13" i="45"/>
  <c r="H13" i="45"/>
  <c r="G13" i="45"/>
  <c r="F13" i="45"/>
  <c r="E13" i="45"/>
  <c r="D13" i="45"/>
  <c r="C13" i="45"/>
  <c r="B13" i="45"/>
  <c r="A13" i="45"/>
  <c r="R12" i="45"/>
  <c r="L8" i="87" s="1"/>
  <c r="C12" i="45"/>
  <c r="A12" i="45"/>
  <c r="P11" i="45"/>
  <c r="N11" i="45"/>
  <c r="L11" i="45"/>
  <c r="K11" i="45"/>
  <c r="J11" i="45"/>
  <c r="I11" i="45"/>
  <c r="H11" i="45"/>
  <c r="G11" i="45"/>
  <c r="F11" i="45"/>
  <c r="E11" i="45"/>
  <c r="D11" i="45"/>
  <c r="C11" i="45"/>
  <c r="B11" i="45"/>
  <c r="A11" i="45"/>
  <c r="P10" i="45"/>
  <c r="N10" i="45"/>
  <c r="K10" i="45"/>
  <c r="J10" i="45"/>
  <c r="I10" i="45"/>
  <c r="H10" i="45"/>
  <c r="G10" i="45"/>
  <c r="F10" i="45"/>
  <c r="E10" i="45"/>
  <c r="D10" i="45"/>
  <c r="C10" i="45"/>
  <c r="B10" i="45"/>
  <c r="A10" i="45"/>
  <c r="R9" i="45"/>
  <c r="L5" i="87" s="1"/>
  <c r="C9" i="45"/>
  <c r="A9" i="45"/>
  <c r="P8" i="45"/>
  <c r="N8" i="45"/>
  <c r="L8" i="45"/>
  <c r="K8" i="45"/>
  <c r="J8" i="45"/>
  <c r="I8" i="45"/>
  <c r="H8" i="45"/>
  <c r="G8" i="45"/>
  <c r="F8" i="45"/>
  <c r="E8" i="45"/>
  <c r="D8" i="45"/>
  <c r="C8" i="45"/>
  <c r="B8" i="45"/>
  <c r="A8" i="45"/>
  <c r="P7" i="45"/>
  <c r="N7" i="45"/>
  <c r="L7" i="45"/>
  <c r="K7" i="45"/>
  <c r="J7" i="45"/>
  <c r="I7" i="45"/>
  <c r="H7" i="45"/>
  <c r="G7" i="45"/>
  <c r="F7" i="45"/>
  <c r="E7" i="45"/>
  <c r="D7" i="45"/>
  <c r="C7" i="45"/>
  <c r="B7" i="45"/>
  <c r="A7" i="45"/>
  <c r="R6" i="45"/>
  <c r="L4" i="87" s="1"/>
  <c r="C6" i="45"/>
  <c r="A6" i="45"/>
  <c r="C3" i="45"/>
  <c r="C2" i="45"/>
  <c r="A2" i="45"/>
  <c r="P28" i="61"/>
  <c r="N28" i="61"/>
  <c r="L28" i="61"/>
  <c r="K28" i="61"/>
  <c r="J28" i="61"/>
  <c r="I28" i="61"/>
  <c r="H28" i="61"/>
  <c r="G28" i="61"/>
  <c r="F28" i="61"/>
  <c r="E28" i="61"/>
  <c r="D28" i="61"/>
  <c r="C28" i="61"/>
  <c r="B28" i="61"/>
  <c r="A28" i="61"/>
  <c r="P27" i="61"/>
  <c r="N27" i="61"/>
  <c r="L27" i="61"/>
  <c r="K27" i="61"/>
  <c r="J27" i="61"/>
  <c r="I27" i="61"/>
  <c r="H27" i="61"/>
  <c r="G27" i="61"/>
  <c r="F27" i="61"/>
  <c r="E27" i="61"/>
  <c r="D27" i="61"/>
  <c r="C27" i="61"/>
  <c r="B27" i="61"/>
  <c r="A27" i="61"/>
  <c r="R26" i="61"/>
  <c r="R20" i="87" s="1"/>
  <c r="C26" i="61"/>
  <c r="A26" i="61"/>
  <c r="P25" i="61"/>
  <c r="N25" i="61"/>
  <c r="L25" i="61"/>
  <c r="K25" i="61"/>
  <c r="J25" i="61"/>
  <c r="I25" i="61"/>
  <c r="H25" i="61"/>
  <c r="G25" i="61"/>
  <c r="F25" i="61"/>
  <c r="C25" i="61"/>
  <c r="B25" i="61"/>
  <c r="A25" i="61"/>
  <c r="P24" i="61"/>
  <c r="N24" i="61"/>
  <c r="L24" i="61"/>
  <c r="K24" i="61"/>
  <c r="J24" i="61"/>
  <c r="I24" i="61"/>
  <c r="H24" i="61"/>
  <c r="G24" i="61"/>
  <c r="F24" i="61"/>
  <c r="C24" i="61"/>
  <c r="B24" i="61"/>
  <c r="A24" i="61"/>
  <c r="P23" i="61"/>
  <c r="N23" i="61"/>
  <c r="L23" i="61"/>
  <c r="K23" i="61"/>
  <c r="J23" i="61"/>
  <c r="I23" i="61"/>
  <c r="H23" i="61"/>
  <c r="G23" i="61"/>
  <c r="F23" i="61"/>
  <c r="C23" i="61"/>
  <c r="B23" i="61"/>
  <c r="A23" i="61"/>
  <c r="P22" i="61"/>
  <c r="N22" i="61"/>
  <c r="L22" i="61"/>
  <c r="K22" i="61"/>
  <c r="J22" i="61"/>
  <c r="I22" i="61"/>
  <c r="H22" i="61"/>
  <c r="G22" i="61"/>
  <c r="F22" i="61"/>
  <c r="C22" i="61"/>
  <c r="B22" i="61"/>
  <c r="A22" i="61"/>
  <c r="P21" i="61"/>
  <c r="N21" i="61"/>
  <c r="L21" i="61"/>
  <c r="K21" i="61"/>
  <c r="J21" i="61"/>
  <c r="I21" i="61"/>
  <c r="H21" i="61"/>
  <c r="G21" i="61"/>
  <c r="F21" i="61"/>
  <c r="C21" i="61"/>
  <c r="B21" i="61"/>
  <c r="A21" i="61"/>
  <c r="R20" i="61"/>
  <c r="R19" i="87" s="1"/>
  <c r="C20" i="61"/>
  <c r="A20" i="61"/>
  <c r="P19" i="61"/>
  <c r="N19" i="61"/>
  <c r="L19" i="61"/>
  <c r="K19" i="61"/>
  <c r="J19" i="61"/>
  <c r="I19" i="61"/>
  <c r="H19" i="61"/>
  <c r="G19" i="61"/>
  <c r="F19" i="61"/>
  <c r="E19" i="61"/>
  <c r="D19" i="61"/>
  <c r="C19" i="61"/>
  <c r="B19" i="61"/>
  <c r="A19" i="61"/>
  <c r="R18" i="61"/>
  <c r="C18" i="61"/>
  <c r="A18" i="61"/>
  <c r="P17" i="61"/>
  <c r="L17" i="61"/>
  <c r="K17" i="61"/>
  <c r="J17" i="61"/>
  <c r="I17" i="61"/>
  <c r="H17" i="61"/>
  <c r="G17" i="61"/>
  <c r="F17" i="61"/>
  <c r="E17" i="61"/>
  <c r="D17" i="61"/>
  <c r="C17" i="61"/>
  <c r="B17" i="61"/>
  <c r="P16" i="61"/>
  <c r="N16" i="61"/>
  <c r="L16" i="61"/>
  <c r="K16" i="61"/>
  <c r="J16" i="61"/>
  <c r="I16" i="61"/>
  <c r="H16" i="61"/>
  <c r="G16" i="61"/>
  <c r="F16" i="61"/>
  <c r="E16" i="61"/>
  <c r="D16" i="61"/>
  <c r="C16" i="61"/>
  <c r="B16" i="61"/>
  <c r="P15" i="61"/>
  <c r="N15" i="61"/>
  <c r="L15" i="61"/>
  <c r="K15" i="61"/>
  <c r="J15" i="61"/>
  <c r="I15" i="61"/>
  <c r="H15" i="61"/>
  <c r="G15" i="61"/>
  <c r="F15" i="61"/>
  <c r="E15" i="61"/>
  <c r="D15" i="61"/>
  <c r="C15" i="61"/>
  <c r="B15" i="61"/>
  <c r="P14" i="61"/>
  <c r="N14" i="61"/>
  <c r="L14" i="61"/>
  <c r="K14" i="61"/>
  <c r="J14" i="61"/>
  <c r="I14" i="61"/>
  <c r="H14" i="61"/>
  <c r="G14" i="61"/>
  <c r="F14" i="61"/>
  <c r="E14" i="61"/>
  <c r="D14" i="61"/>
  <c r="C14" i="61"/>
  <c r="B14" i="61"/>
  <c r="A14" i="61"/>
  <c r="R13" i="61"/>
  <c r="R15" i="87" s="1"/>
  <c r="C13" i="61"/>
  <c r="A13" i="61"/>
  <c r="P12" i="61"/>
  <c r="N12" i="61"/>
  <c r="L12" i="61"/>
  <c r="K12" i="61"/>
  <c r="J12" i="61"/>
  <c r="I12" i="61"/>
  <c r="H12" i="61"/>
  <c r="G12" i="61"/>
  <c r="F12" i="61"/>
  <c r="E12" i="61"/>
  <c r="D12" i="61"/>
  <c r="C12" i="61"/>
  <c r="B12" i="61"/>
  <c r="P11" i="61"/>
  <c r="N11" i="61"/>
  <c r="L11" i="61"/>
  <c r="K11" i="61"/>
  <c r="J11" i="61"/>
  <c r="I11" i="61"/>
  <c r="H11" i="61"/>
  <c r="G11" i="61"/>
  <c r="F11" i="61"/>
  <c r="E11" i="61"/>
  <c r="D11" i="61"/>
  <c r="C11" i="61"/>
  <c r="B11" i="61"/>
  <c r="P10" i="61"/>
  <c r="N10" i="61"/>
  <c r="L10" i="61"/>
  <c r="K10" i="61"/>
  <c r="J10" i="61"/>
  <c r="I10" i="61"/>
  <c r="H10" i="61"/>
  <c r="G10" i="61"/>
  <c r="F10" i="61"/>
  <c r="E10" i="61"/>
  <c r="D10" i="61"/>
  <c r="C10" i="61"/>
  <c r="B10" i="61"/>
  <c r="P9" i="61"/>
  <c r="N9" i="61"/>
  <c r="L9" i="61"/>
  <c r="K9" i="61"/>
  <c r="J9" i="61"/>
  <c r="I9" i="61"/>
  <c r="H9" i="61"/>
  <c r="G9" i="61"/>
  <c r="F9" i="61"/>
  <c r="E9" i="61"/>
  <c r="D9" i="61"/>
  <c r="C9" i="61"/>
  <c r="B9" i="61"/>
  <c r="A9" i="61"/>
  <c r="C8" i="61"/>
  <c r="A8" i="61"/>
  <c r="P7" i="61"/>
  <c r="N7" i="61"/>
  <c r="L7" i="61"/>
  <c r="K7" i="61"/>
  <c r="J7" i="61"/>
  <c r="I7" i="61"/>
  <c r="H7" i="61"/>
  <c r="G7" i="61"/>
  <c r="F7" i="61"/>
  <c r="E7" i="61"/>
  <c r="D7" i="61"/>
  <c r="C7" i="61"/>
  <c r="B7" i="61"/>
  <c r="A7" i="61"/>
  <c r="R6" i="61"/>
  <c r="C6" i="61"/>
  <c r="A6" i="61"/>
  <c r="C3" i="61"/>
  <c r="C2" i="61"/>
  <c r="A2" i="61"/>
  <c r="P107" i="27"/>
  <c r="N107" i="27"/>
  <c r="L107" i="27"/>
  <c r="K107" i="27"/>
  <c r="J107" i="27"/>
  <c r="I107" i="27"/>
  <c r="H107" i="27"/>
  <c r="G107" i="27"/>
  <c r="F107" i="27"/>
  <c r="E107" i="27"/>
  <c r="D107" i="27"/>
  <c r="C107" i="27"/>
  <c r="B107" i="27"/>
  <c r="A107" i="27"/>
  <c r="P106" i="27"/>
  <c r="N106" i="27"/>
  <c r="L106" i="27"/>
  <c r="K106" i="27"/>
  <c r="J106" i="27"/>
  <c r="I106" i="27"/>
  <c r="H106" i="27"/>
  <c r="G106" i="27"/>
  <c r="F106" i="27"/>
  <c r="E106" i="27"/>
  <c r="D106" i="27"/>
  <c r="C106" i="27"/>
  <c r="B106" i="27"/>
  <c r="A106" i="27"/>
  <c r="P105" i="27"/>
  <c r="N105" i="27"/>
  <c r="L105" i="27"/>
  <c r="K105" i="27"/>
  <c r="J105" i="27"/>
  <c r="I105" i="27"/>
  <c r="H105" i="27"/>
  <c r="G105" i="27"/>
  <c r="F105" i="27"/>
  <c r="E105" i="27"/>
  <c r="D105" i="27"/>
  <c r="C105" i="27"/>
  <c r="B105" i="27"/>
  <c r="A105" i="27"/>
  <c r="P104" i="27"/>
  <c r="N104" i="27"/>
  <c r="L104" i="27"/>
  <c r="K104" i="27"/>
  <c r="J104" i="27"/>
  <c r="I104" i="27"/>
  <c r="H104" i="27"/>
  <c r="G104" i="27"/>
  <c r="F104" i="27"/>
  <c r="E104" i="27"/>
  <c r="D104" i="27"/>
  <c r="C104" i="27"/>
  <c r="B104" i="27"/>
  <c r="A104" i="27"/>
  <c r="C103" i="27"/>
  <c r="A103" i="27"/>
  <c r="P102" i="27"/>
  <c r="N102" i="27"/>
  <c r="L102" i="27"/>
  <c r="K102" i="27"/>
  <c r="J102" i="27"/>
  <c r="I102" i="27"/>
  <c r="H102" i="27"/>
  <c r="G102" i="27"/>
  <c r="F102" i="27"/>
  <c r="E102" i="27"/>
  <c r="D102" i="27"/>
  <c r="C102" i="27"/>
  <c r="P101" i="27"/>
  <c r="N101" i="27"/>
  <c r="L101" i="27"/>
  <c r="K101" i="27"/>
  <c r="J101" i="27"/>
  <c r="I101" i="27"/>
  <c r="H101" i="27"/>
  <c r="G101" i="27"/>
  <c r="F101" i="27"/>
  <c r="E101" i="27"/>
  <c r="D101" i="27"/>
  <c r="C101" i="27"/>
  <c r="P100" i="27"/>
  <c r="N100" i="27"/>
  <c r="L100" i="27"/>
  <c r="K100" i="27"/>
  <c r="J100" i="27"/>
  <c r="I100" i="27"/>
  <c r="H100" i="27"/>
  <c r="G100" i="27"/>
  <c r="F100" i="27"/>
  <c r="E100" i="27"/>
  <c r="D100" i="27"/>
  <c r="C100" i="27"/>
  <c r="P99" i="27"/>
  <c r="N99" i="27"/>
  <c r="L99" i="27"/>
  <c r="K99" i="27"/>
  <c r="J99" i="27"/>
  <c r="I99" i="27"/>
  <c r="H99" i="27"/>
  <c r="G99" i="27"/>
  <c r="F99" i="27"/>
  <c r="E99" i="27"/>
  <c r="D99" i="27"/>
  <c r="C99" i="27"/>
  <c r="P98" i="27"/>
  <c r="N98" i="27"/>
  <c r="L98" i="27"/>
  <c r="K98" i="27"/>
  <c r="J98" i="27"/>
  <c r="I98" i="27"/>
  <c r="H98" i="27"/>
  <c r="G98" i="27"/>
  <c r="F98" i="27"/>
  <c r="E98" i="27"/>
  <c r="D98" i="27"/>
  <c r="C98" i="27"/>
  <c r="B98" i="27"/>
  <c r="A98" i="27"/>
  <c r="C97" i="27"/>
  <c r="A97" i="27"/>
  <c r="P96" i="27"/>
  <c r="N96" i="27"/>
  <c r="L96" i="27"/>
  <c r="K96" i="27"/>
  <c r="J96" i="27"/>
  <c r="I96" i="27"/>
  <c r="H96" i="27"/>
  <c r="G96" i="27"/>
  <c r="F96" i="27"/>
  <c r="E96" i="27"/>
  <c r="D96" i="27"/>
  <c r="C96" i="27"/>
  <c r="P95" i="27"/>
  <c r="N95" i="27"/>
  <c r="L95" i="27"/>
  <c r="K95" i="27"/>
  <c r="J95" i="27"/>
  <c r="I95" i="27"/>
  <c r="H95" i="27"/>
  <c r="G95" i="27"/>
  <c r="F95" i="27"/>
  <c r="E95" i="27"/>
  <c r="D95" i="27"/>
  <c r="C95" i="27"/>
  <c r="A95" i="27"/>
  <c r="C94" i="27"/>
  <c r="A94" i="27"/>
  <c r="P93" i="27"/>
  <c r="N93" i="27"/>
  <c r="L93" i="27"/>
  <c r="K93" i="27"/>
  <c r="J93" i="27"/>
  <c r="I93" i="27"/>
  <c r="H93" i="27"/>
  <c r="G93" i="27"/>
  <c r="F93" i="27"/>
  <c r="E93" i="27"/>
  <c r="D93" i="27"/>
  <c r="C93" i="27"/>
  <c r="P92" i="27"/>
  <c r="N92" i="27"/>
  <c r="L92" i="27"/>
  <c r="K92" i="27"/>
  <c r="J92" i="27"/>
  <c r="I92" i="27"/>
  <c r="H92" i="27"/>
  <c r="G92" i="27"/>
  <c r="F92" i="27"/>
  <c r="E92" i="27"/>
  <c r="D92" i="27"/>
  <c r="C92" i="27"/>
  <c r="B92" i="27"/>
  <c r="P91" i="27"/>
  <c r="N91" i="27"/>
  <c r="L91" i="27"/>
  <c r="K91" i="27"/>
  <c r="J91" i="27"/>
  <c r="I91" i="27"/>
  <c r="H91" i="27"/>
  <c r="G91" i="27"/>
  <c r="F91" i="27"/>
  <c r="E91" i="27"/>
  <c r="D91" i="27"/>
  <c r="C91" i="27"/>
  <c r="B91" i="27"/>
  <c r="P90" i="27"/>
  <c r="N90" i="27"/>
  <c r="L90" i="27"/>
  <c r="K90" i="27"/>
  <c r="J90" i="27"/>
  <c r="I90" i="27"/>
  <c r="H90" i="27"/>
  <c r="G90" i="27"/>
  <c r="F90" i="27"/>
  <c r="E90" i="27"/>
  <c r="D90" i="27"/>
  <c r="C90" i="27"/>
  <c r="B90" i="27"/>
  <c r="P89" i="27"/>
  <c r="N89" i="27"/>
  <c r="L89" i="27"/>
  <c r="K89" i="27"/>
  <c r="J89" i="27"/>
  <c r="I89" i="27"/>
  <c r="H89" i="27"/>
  <c r="G89" i="27"/>
  <c r="F89" i="27"/>
  <c r="E89" i="27"/>
  <c r="D89" i="27"/>
  <c r="C89" i="27"/>
  <c r="B89" i="27"/>
  <c r="A89" i="27"/>
  <c r="C88" i="27"/>
  <c r="A88" i="27"/>
  <c r="P87" i="27"/>
  <c r="N87" i="27"/>
  <c r="L87" i="27"/>
  <c r="K87" i="27"/>
  <c r="J87" i="27"/>
  <c r="I87" i="27"/>
  <c r="H87" i="27"/>
  <c r="G87" i="27"/>
  <c r="F87" i="27"/>
  <c r="E87" i="27"/>
  <c r="D87" i="27"/>
  <c r="C87" i="27"/>
  <c r="P86" i="27"/>
  <c r="N86" i="27"/>
  <c r="L86" i="27"/>
  <c r="K86" i="27"/>
  <c r="J86" i="27"/>
  <c r="I86" i="27"/>
  <c r="H86" i="27"/>
  <c r="G86" i="27"/>
  <c r="F86" i="27"/>
  <c r="E86" i="27"/>
  <c r="D86" i="27"/>
  <c r="C86" i="27"/>
  <c r="B86" i="27"/>
  <c r="P85" i="27"/>
  <c r="N85" i="27"/>
  <c r="L85" i="27"/>
  <c r="K85" i="27"/>
  <c r="J85" i="27"/>
  <c r="I85" i="27"/>
  <c r="H85" i="27"/>
  <c r="G85" i="27"/>
  <c r="F85" i="27"/>
  <c r="E85" i="27"/>
  <c r="D85" i="27"/>
  <c r="C85" i="27"/>
  <c r="B85" i="27"/>
  <c r="P84" i="27"/>
  <c r="N84" i="27"/>
  <c r="L84" i="27"/>
  <c r="K84" i="27"/>
  <c r="J84" i="27"/>
  <c r="I84" i="27"/>
  <c r="H84" i="27"/>
  <c r="G84" i="27"/>
  <c r="F84" i="27"/>
  <c r="E84" i="27"/>
  <c r="D84" i="27"/>
  <c r="C84" i="27"/>
  <c r="B84" i="27"/>
  <c r="P83" i="27"/>
  <c r="N83" i="27"/>
  <c r="L83" i="27"/>
  <c r="K83" i="27"/>
  <c r="J83" i="27"/>
  <c r="I83" i="27"/>
  <c r="H83" i="27"/>
  <c r="G83" i="27"/>
  <c r="F83" i="27"/>
  <c r="E83" i="27"/>
  <c r="D83" i="27"/>
  <c r="C83" i="27"/>
  <c r="B83" i="27"/>
  <c r="A83" i="27"/>
  <c r="C82" i="27"/>
  <c r="A82" i="27"/>
  <c r="P81" i="27"/>
  <c r="N81" i="27"/>
  <c r="L81" i="27"/>
  <c r="K81" i="27"/>
  <c r="J81" i="27"/>
  <c r="I81" i="27"/>
  <c r="H81" i="27"/>
  <c r="G81" i="27"/>
  <c r="F81" i="27"/>
  <c r="E81" i="27"/>
  <c r="D81" i="27"/>
  <c r="C81" i="27"/>
  <c r="B81" i="27"/>
  <c r="A81" i="27"/>
  <c r="P80" i="27"/>
  <c r="N80" i="27"/>
  <c r="L80" i="27"/>
  <c r="K80" i="27"/>
  <c r="J80" i="27"/>
  <c r="I80" i="27"/>
  <c r="H80" i="27"/>
  <c r="G80" i="27"/>
  <c r="F80" i="27"/>
  <c r="E80" i="27"/>
  <c r="D80" i="27"/>
  <c r="C80" i="27"/>
  <c r="B80" i="27"/>
  <c r="A80" i="27"/>
  <c r="P79" i="27"/>
  <c r="N79" i="27"/>
  <c r="L79" i="27"/>
  <c r="K79" i="27"/>
  <c r="J79" i="27"/>
  <c r="I79" i="27"/>
  <c r="H79" i="27"/>
  <c r="G79" i="27"/>
  <c r="F79" i="27"/>
  <c r="E79" i="27"/>
  <c r="D79" i="27"/>
  <c r="C79" i="27"/>
  <c r="B79" i="27"/>
  <c r="A79" i="27"/>
  <c r="P78" i="27"/>
  <c r="N78" i="27"/>
  <c r="L78" i="27"/>
  <c r="K78" i="27"/>
  <c r="J78" i="27"/>
  <c r="I78" i="27"/>
  <c r="H78" i="27"/>
  <c r="G78" i="27"/>
  <c r="F78" i="27"/>
  <c r="E78" i="27"/>
  <c r="D78" i="27"/>
  <c r="C78" i="27"/>
  <c r="B78" i="27"/>
  <c r="A78" i="27"/>
  <c r="P77" i="27"/>
  <c r="N77" i="27"/>
  <c r="L77" i="27"/>
  <c r="K77" i="27"/>
  <c r="J77" i="27"/>
  <c r="I77" i="27"/>
  <c r="H77" i="27"/>
  <c r="G77" i="27"/>
  <c r="F77" i="27"/>
  <c r="E77" i="27"/>
  <c r="D77" i="27"/>
  <c r="C77" i="27"/>
  <c r="B77" i="27"/>
  <c r="A77" i="27"/>
  <c r="P76" i="27"/>
  <c r="N76" i="27"/>
  <c r="L76" i="27"/>
  <c r="K76" i="27"/>
  <c r="J76" i="27"/>
  <c r="I76" i="27"/>
  <c r="H76" i="27"/>
  <c r="G76" i="27"/>
  <c r="F76" i="27"/>
  <c r="E76" i="27"/>
  <c r="D76" i="27"/>
  <c r="C76" i="27"/>
  <c r="B76" i="27"/>
  <c r="A76" i="27"/>
  <c r="P75" i="27"/>
  <c r="N75" i="27"/>
  <c r="L75" i="27"/>
  <c r="K75" i="27"/>
  <c r="J75" i="27"/>
  <c r="I75" i="27"/>
  <c r="H75" i="27"/>
  <c r="G75" i="27"/>
  <c r="F75" i="27"/>
  <c r="E75" i="27"/>
  <c r="D75" i="27"/>
  <c r="C75" i="27"/>
  <c r="B75" i="27"/>
  <c r="A75" i="27"/>
  <c r="P74" i="27"/>
  <c r="N74" i="27"/>
  <c r="L74" i="27"/>
  <c r="K74" i="27"/>
  <c r="J74" i="27"/>
  <c r="I74" i="27"/>
  <c r="H74" i="27"/>
  <c r="G74" i="27"/>
  <c r="F74" i="27"/>
  <c r="E74" i="27"/>
  <c r="D74" i="27"/>
  <c r="C74" i="27"/>
  <c r="B74" i="27"/>
  <c r="A74" i="27"/>
  <c r="C73" i="27"/>
  <c r="B73" i="27"/>
  <c r="A73" i="27"/>
  <c r="P72" i="27"/>
  <c r="N72" i="27"/>
  <c r="L72" i="27"/>
  <c r="K72" i="27"/>
  <c r="J72" i="27"/>
  <c r="I72" i="27"/>
  <c r="H72" i="27"/>
  <c r="G72" i="27"/>
  <c r="F72" i="27"/>
  <c r="E72" i="27"/>
  <c r="D72" i="27"/>
  <c r="C72" i="27"/>
  <c r="B72" i="27"/>
  <c r="A72" i="27"/>
  <c r="P71" i="27"/>
  <c r="N71" i="27"/>
  <c r="L71" i="27"/>
  <c r="K71" i="27"/>
  <c r="J71" i="27"/>
  <c r="I71" i="27"/>
  <c r="H71" i="27"/>
  <c r="G71" i="27"/>
  <c r="F71" i="27"/>
  <c r="E71" i="27"/>
  <c r="D71" i="27"/>
  <c r="C71" i="27"/>
  <c r="B71" i="27"/>
  <c r="A71" i="27"/>
  <c r="P70" i="27"/>
  <c r="N70" i="27"/>
  <c r="L70" i="27"/>
  <c r="K70" i="27"/>
  <c r="J70" i="27"/>
  <c r="I70" i="27"/>
  <c r="H70" i="27"/>
  <c r="G70" i="27"/>
  <c r="F70" i="27"/>
  <c r="E70" i="27"/>
  <c r="D70" i="27"/>
  <c r="C70" i="27"/>
  <c r="B70" i="27"/>
  <c r="A70" i="27"/>
  <c r="C69" i="27"/>
  <c r="B69" i="27"/>
  <c r="A69" i="27"/>
  <c r="P68" i="27"/>
  <c r="N68" i="27"/>
  <c r="L68" i="27"/>
  <c r="K68" i="27"/>
  <c r="J68" i="27"/>
  <c r="I68" i="27"/>
  <c r="H68" i="27"/>
  <c r="G68" i="27"/>
  <c r="F68" i="27"/>
  <c r="E68" i="27"/>
  <c r="D68" i="27"/>
  <c r="C68" i="27"/>
  <c r="B68" i="27"/>
  <c r="A68" i="27"/>
  <c r="P67" i="27"/>
  <c r="N67" i="27"/>
  <c r="L67" i="27"/>
  <c r="K67" i="27"/>
  <c r="J67" i="27"/>
  <c r="I67" i="27"/>
  <c r="H67" i="27"/>
  <c r="G67" i="27"/>
  <c r="F67" i="27"/>
  <c r="E67" i="27"/>
  <c r="D67" i="27"/>
  <c r="C67" i="27"/>
  <c r="B67" i="27"/>
  <c r="A67" i="27"/>
  <c r="P66" i="27"/>
  <c r="N66" i="27"/>
  <c r="L66" i="27"/>
  <c r="K66" i="27"/>
  <c r="J66" i="27"/>
  <c r="I66" i="27"/>
  <c r="H66" i="27"/>
  <c r="G66" i="27"/>
  <c r="F66" i="27"/>
  <c r="E66" i="27"/>
  <c r="D66" i="27"/>
  <c r="C66" i="27"/>
  <c r="B66" i="27"/>
  <c r="A66" i="27"/>
  <c r="P65" i="27"/>
  <c r="N65" i="27"/>
  <c r="L65" i="27"/>
  <c r="K65" i="27"/>
  <c r="J65" i="27"/>
  <c r="I65" i="27"/>
  <c r="H65" i="27"/>
  <c r="G65" i="27"/>
  <c r="F65" i="27"/>
  <c r="E65" i="27"/>
  <c r="D65" i="27"/>
  <c r="C65" i="27"/>
  <c r="B65" i="27"/>
  <c r="A65" i="27"/>
  <c r="P64" i="27"/>
  <c r="N64" i="27"/>
  <c r="L64" i="27"/>
  <c r="K64" i="27"/>
  <c r="J64" i="27"/>
  <c r="I64" i="27"/>
  <c r="H64" i="27"/>
  <c r="G64" i="27"/>
  <c r="F64" i="27"/>
  <c r="E64" i="27"/>
  <c r="D64" i="27"/>
  <c r="C64" i="27"/>
  <c r="B64" i="27"/>
  <c r="A64" i="27"/>
  <c r="P63" i="27"/>
  <c r="N63" i="27"/>
  <c r="L63" i="27"/>
  <c r="K63" i="27"/>
  <c r="J63" i="27"/>
  <c r="I63" i="27"/>
  <c r="H63" i="27"/>
  <c r="G63" i="27"/>
  <c r="F63" i="27"/>
  <c r="E63" i="27"/>
  <c r="D63" i="27"/>
  <c r="C63" i="27"/>
  <c r="B63" i="27"/>
  <c r="A63" i="27"/>
  <c r="P62" i="27"/>
  <c r="N62" i="27"/>
  <c r="L62" i="27"/>
  <c r="K62" i="27"/>
  <c r="J62" i="27"/>
  <c r="I62" i="27"/>
  <c r="H62" i="27"/>
  <c r="G62" i="27"/>
  <c r="F62" i="27"/>
  <c r="E62" i="27"/>
  <c r="D62" i="27"/>
  <c r="C62" i="27"/>
  <c r="B62" i="27"/>
  <c r="A62" i="27"/>
  <c r="P61" i="27"/>
  <c r="N61" i="27"/>
  <c r="L61" i="27"/>
  <c r="K61" i="27"/>
  <c r="J61" i="27"/>
  <c r="I61" i="27"/>
  <c r="H61" i="27"/>
  <c r="G61" i="27"/>
  <c r="F61" i="27"/>
  <c r="E61" i="27"/>
  <c r="D61" i="27"/>
  <c r="C61" i="27"/>
  <c r="B61" i="27"/>
  <c r="A61" i="27"/>
  <c r="P60" i="27"/>
  <c r="N60" i="27"/>
  <c r="L60" i="27"/>
  <c r="K60" i="27"/>
  <c r="J60" i="27"/>
  <c r="I60" i="27"/>
  <c r="H60" i="27"/>
  <c r="G60" i="27"/>
  <c r="F60" i="27"/>
  <c r="E60" i="27"/>
  <c r="D60" i="27"/>
  <c r="C60" i="27"/>
  <c r="B60" i="27"/>
  <c r="A60" i="27"/>
  <c r="P59" i="27"/>
  <c r="N59" i="27"/>
  <c r="K59" i="27"/>
  <c r="J59" i="27"/>
  <c r="I59" i="27"/>
  <c r="H59" i="27"/>
  <c r="G59" i="27"/>
  <c r="F59" i="27"/>
  <c r="E59" i="27"/>
  <c r="D59" i="27"/>
  <c r="C59" i="27"/>
  <c r="B59" i="27"/>
  <c r="A59" i="27"/>
  <c r="C58" i="27"/>
  <c r="B58" i="27"/>
  <c r="A58" i="27"/>
  <c r="P57" i="27"/>
  <c r="N57" i="27"/>
  <c r="L57" i="27"/>
  <c r="K57" i="27"/>
  <c r="J57" i="27"/>
  <c r="I57" i="27"/>
  <c r="H57" i="27"/>
  <c r="G57" i="27"/>
  <c r="F57" i="27"/>
  <c r="E57" i="27"/>
  <c r="D57" i="27"/>
  <c r="C57" i="27"/>
  <c r="B57" i="27"/>
  <c r="A57" i="27"/>
  <c r="P56" i="27"/>
  <c r="N56" i="27"/>
  <c r="L56" i="27"/>
  <c r="K56" i="27"/>
  <c r="J56" i="27"/>
  <c r="I56" i="27"/>
  <c r="H56" i="27"/>
  <c r="G56" i="27"/>
  <c r="F56" i="27"/>
  <c r="E56" i="27"/>
  <c r="D56" i="27"/>
  <c r="C56" i="27"/>
  <c r="B56" i="27"/>
  <c r="A56" i="27"/>
  <c r="C55" i="27"/>
  <c r="A55" i="27"/>
  <c r="P54" i="27"/>
  <c r="N54" i="27"/>
  <c r="L54" i="27"/>
  <c r="K54" i="27"/>
  <c r="J54" i="27"/>
  <c r="I54" i="27"/>
  <c r="H54" i="27"/>
  <c r="G54" i="27"/>
  <c r="F54" i="27"/>
  <c r="E54" i="27"/>
  <c r="D54" i="27"/>
  <c r="C54" i="27"/>
  <c r="B54" i="27"/>
  <c r="A54" i="27"/>
  <c r="P53" i="27"/>
  <c r="N53" i="27"/>
  <c r="L53" i="27"/>
  <c r="K53" i="27"/>
  <c r="J53" i="27"/>
  <c r="I53" i="27"/>
  <c r="H53" i="27"/>
  <c r="G53" i="27"/>
  <c r="F53" i="27"/>
  <c r="E53" i="27"/>
  <c r="D53" i="27"/>
  <c r="C53" i="27"/>
  <c r="B53" i="27"/>
  <c r="A53" i="27"/>
  <c r="P52" i="27"/>
  <c r="N52" i="27"/>
  <c r="L52" i="27"/>
  <c r="K52" i="27"/>
  <c r="J52" i="27"/>
  <c r="I52" i="27"/>
  <c r="H52" i="27"/>
  <c r="G52" i="27"/>
  <c r="F52" i="27"/>
  <c r="E52" i="27"/>
  <c r="D52" i="27"/>
  <c r="C52" i="27"/>
  <c r="B52" i="27"/>
  <c r="A52" i="27"/>
  <c r="C51" i="27"/>
  <c r="B51" i="27"/>
  <c r="A51" i="27"/>
  <c r="P50" i="27"/>
  <c r="N50" i="27"/>
  <c r="L50" i="27"/>
  <c r="K50" i="27"/>
  <c r="J50" i="27"/>
  <c r="I50" i="27"/>
  <c r="H50" i="27"/>
  <c r="G50" i="27"/>
  <c r="F50" i="27"/>
  <c r="E50" i="27"/>
  <c r="D50" i="27"/>
  <c r="C50" i="27"/>
  <c r="B50" i="27"/>
  <c r="A50" i="27"/>
  <c r="P49" i="27"/>
  <c r="N49" i="27"/>
  <c r="L49" i="27"/>
  <c r="K49" i="27"/>
  <c r="J49" i="27"/>
  <c r="I49" i="27"/>
  <c r="H49" i="27"/>
  <c r="G49" i="27"/>
  <c r="F49" i="27"/>
  <c r="E49" i="27"/>
  <c r="D49" i="27"/>
  <c r="C49" i="27"/>
  <c r="B49" i="27"/>
  <c r="A49" i="27"/>
  <c r="P48" i="27"/>
  <c r="N48" i="27"/>
  <c r="L48" i="27"/>
  <c r="K48" i="27"/>
  <c r="J48" i="27"/>
  <c r="I48" i="27"/>
  <c r="H48" i="27"/>
  <c r="G48" i="27"/>
  <c r="F48" i="27"/>
  <c r="E48" i="27"/>
  <c r="D48" i="27"/>
  <c r="C48" i="27"/>
  <c r="B48" i="27"/>
  <c r="A48" i="27"/>
  <c r="P47" i="27"/>
  <c r="N47" i="27"/>
  <c r="L47" i="27"/>
  <c r="K47" i="27"/>
  <c r="J47" i="27"/>
  <c r="I47" i="27"/>
  <c r="H47" i="27"/>
  <c r="G47" i="27"/>
  <c r="F47" i="27"/>
  <c r="E47" i="27"/>
  <c r="D47" i="27"/>
  <c r="C47" i="27"/>
  <c r="B47" i="27"/>
  <c r="A47" i="27"/>
  <c r="C46" i="27"/>
  <c r="B46" i="27"/>
  <c r="A46" i="27"/>
  <c r="R45" i="27"/>
  <c r="Q45" i="27"/>
  <c r="P45" i="27"/>
  <c r="N45" i="27"/>
  <c r="L45" i="27"/>
  <c r="K45" i="27"/>
  <c r="J45" i="27"/>
  <c r="I45" i="27"/>
  <c r="H45" i="27"/>
  <c r="G45" i="27"/>
  <c r="F45" i="27"/>
  <c r="E45" i="27"/>
  <c r="D45" i="27"/>
  <c r="C45" i="27"/>
  <c r="B45" i="27"/>
  <c r="A45" i="27"/>
  <c r="R44" i="27"/>
  <c r="Q44" i="27"/>
  <c r="P44" i="27"/>
  <c r="N44" i="27"/>
  <c r="L44" i="27"/>
  <c r="K44" i="27"/>
  <c r="J44" i="27"/>
  <c r="I44" i="27"/>
  <c r="H44" i="27"/>
  <c r="G44" i="27"/>
  <c r="F44" i="27"/>
  <c r="E44" i="27"/>
  <c r="D44" i="27"/>
  <c r="C44" i="27"/>
  <c r="B44" i="27"/>
  <c r="A44" i="27"/>
  <c r="R43" i="27"/>
  <c r="Q43" i="27"/>
  <c r="P43" i="27"/>
  <c r="N43" i="27"/>
  <c r="L43" i="27"/>
  <c r="K43" i="27"/>
  <c r="J43" i="27"/>
  <c r="I43" i="27"/>
  <c r="H43" i="27"/>
  <c r="G43" i="27"/>
  <c r="F43" i="27"/>
  <c r="E43" i="27"/>
  <c r="D43" i="27"/>
  <c r="C43" i="27"/>
  <c r="B43" i="27"/>
  <c r="A43" i="27"/>
  <c r="R42" i="27"/>
  <c r="Q42" i="27"/>
  <c r="P42" i="27"/>
  <c r="N42" i="27"/>
  <c r="L42" i="27"/>
  <c r="K42" i="27"/>
  <c r="J42" i="27"/>
  <c r="I42" i="27"/>
  <c r="H42" i="27"/>
  <c r="G42" i="27"/>
  <c r="F42" i="27"/>
  <c r="E42" i="27"/>
  <c r="D42" i="27"/>
  <c r="C42" i="27"/>
  <c r="B42" i="27"/>
  <c r="A42" i="27"/>
  <c r="R41" i="27"/>
  <c r="Q41" i="27"/>
  <c r="P41" i="27"/>
  <c r="N41" i="27"/>
  <c r="L41" i="27"/>
  <c r="K41" i="27"/>
  <c r="J41" i="27"/>
  <c r="I41" i="27"/>
  <c r="H41" i="27"/>
  <c r="G41" i="27"/>
  <c r="F41" i="27"/>
  <c r="E41" i="27"/>
  <c r="D41" i="27"/>
  <c r="C41" i="27"/>
  <c r="B41" i="27"/>
  <c r="A41" i="27"/>
  <c r="R40" i="27"/>
  <c r="Q40" i="27"/>
  <c r="P40" i="27"/>
  <c r="N40" i="27"/>
  <c r="L40" i="27"/>
  <c r="K40" i="27"/>
  <c r="J40" i="27"/>
  <c r="I40" i="27"/>
  <c r="H40" i="27"/>
  <c r="G40" i="27"/>
  <c r="F40" i="27"/>
  <c r="E40" i="27"/>
  <c r="D40" i="27"/>
  <c r="C40" i="27"/>
  <c r="B40" i="27"/>
  <c r="A40" i="27"/>
  <c r="R38" i="27"/>
  <c r="P39" i="27"/>
  <c r="N39" i="27"/>
  <c r="L39" i="27"/>
  <c r="K39" i="27"/>
  <c r="J39" i="27"/>
  <c r="I39" i="27"/>
  <c r="H39" i="27"/>
  <c r="G39" i="27"/>
  <c r="F39" i="27"/>
  <c r="E39" i="27"/>
  <c r="D39" i="27"/>
  <c r="C39" i="27"/>
  <c r="B39" i="27"/>
  <c r="A39" i="27"/>
  <c r="C38" i="27"/>
  <c r="B38" i="27"/>
  <c r="A38" i="27"/>
  <c r="R37" i="27"/>
  <c r="Q37" i="27"/>
  <c r="P37" i="27"/>
  <c r="N37" i="27"/>
  <c r="L37" i="27"/>
  <c r="K37" i="27"/>
  <c r="J37" i="27"/>
  <c r="I37" i="27"/>
  <c r="H37" i="27"/>
  <c r="G37" i="27"/>
  <c r="F37" i="27"/>
  <c r="E37" i="27"/>
  <c r="D37" i="27"/>
  <c r="C37" i="27"/>
  <c r="B37" i="27"/>
  <c r="A37" i="27"/>
  <c r="P36" i="27"/>
  <c r="N36" i="27"/>
  <c r="L36" i="27"/>
  <c r="K36" i="27"/>
  <c r="J36" i="27"/>
  <c r="I36" i="27"/>
  <c r="H36" i="27"/>
  <c r="G36" i="27"/>
  <c r="F36" i="27"/>
  <c r="C36" i="27"/>
  <c r="B36" i="27"/>
  <c r="A36" i="27"/>
  <c r="R35" i="27"/>
  <c r="Q35" i="27"/>
  <c r="P35" i="27"/>
  <c r="N35" i="27"/>
  <c r="L35" i="27"/>
  <c r="K35" i="27"/>
  <c r="J35" i="27"/>
  <c r="I35" i="27"/>
  <c r="H35" i="27"/>
  <c r="G35" i="27"/>
  <c r="F35" i="27"/>
  <c r="E35" i="27"/>
  <c r="D35" i="27"/>
  <c r="C35" i="27"/>
  <c r="B35" i="27"/>
  <c r="A35" i="27"/>
  <c r="R34" i="27"/>
  <c r="Q34" i="27"/>
  <c r="P34" i="27"/>
  <c r="N34" i="27"/>
  <c r="L34" i="27"/>
  <c r="K34" i="27"/>
  <c r="J34" i="27"/>
  <c r="I34" i="27"/>
  <c r="H34" i="27"/>
  <c r="G34" i="27"/>
  <c r="F34" i="27"/>
  <c r="E34" i="27"/>
  <c r="D34" i="27"/>
  <c r="C34" i="27"/>
  <c r="B34" i="27"/>
  <c r="A34" i="27"/>
  <c r="C33" i="27"/>
  <c r="B33" i="27"/>
  <c r="A33" i="27"/>
  <c r="R32" i="27"/>
  <c r="Q32" i="27"/>
  <c r="P32" i="27"/>
  <c r="N32" i="27"/>
  <c r="L32" i="27"/>
  <c r="K32" i="27"/>
  <c r="J32" i="27"/>
  <c r="I32" i="27"/>
  <c r="H32" i="27"/>
  <c r="G32" i="27"/>
  <c r="F32" i="27"/>
  <c r="E32" i="27"/>
  <c r="D32" i="27"/>
  <c r="C32" i="27"/>
  <c r="B32" i="27"/>
  <c r="A32" i="27"/>
  <c r="R31" i="27"/>
  <c r="Q31" i="27"/>
  <c r="P31" i="27"/>
  <c r="N31" i="27"/>
  <c r="L31" i="27"/>
  <c r="K31" i="27"/>
  <c r="J31" i="27"/>
  <c r="I31" i="27"/>
  <c r="H31" i="27"/>
  <c r="G31" i="27"/>
  <c r="F31" i="27"/>
  <c r="E31" i="27"/>
  <c r="D31" i="27"/>
  <c r="C31" i="27"/>
  <c r="B31" i="27"/>
  <c r="A31" i="27"/>
  <c r="R30" i="27"/>
  <c r="Q30" i="27"/>
  <c r="P30" i="27"/>
  <c r="N30" i="27"/>
  <c r="L30" i="27"/>
  <c r="K30" i="27"/>
  <c r="J30" i="27"/>
  <c r="I30" i="27"/>
  <c r="H30" i="27"/>
  <c r="G30" i="27"/>
  <c r="F30" i="27"/>
  <c r="E30" i="27"/>
  <c r="D30" i="27"/>
  <c r="C30" i="27"/>
  <c r="B30" i="27"/>
  <c r="A30" i="27"/>
  <c r="R29" i="27"/>
  <c r="Q29" i="27"/>
  <c r="P29" i="27"/>
  <c r="N29" i="27"/>
  <c r="L29" i="27"/>
  <c r="K29" i="27"/>
  <c r="J29" i="27"/>
  <c r="I29" i="27"/>
  <c r="H29" i="27"/>
  <c r="G29" i="27"/>
  <c r="F29" i="27"/>
  <c r="E29" i="27"/>
  <c r="D29" i="27"/>
  <c r="C29" i="27"/>
  <c r="B29" i="27"/>
  <c r="A29" i="27"/>
  <c r="R28" i="27"/>
  <c r="Q28" i="27"/>
  <c r="P28" i="27"/>
  <c r="N28" i="27"/>
  <c r="L28" i="27"/>
  <c r="K28" i="27"/>
  <c r="J28" i="27"/>
  <c r="I28" i="27"/>
  <c r="H28" i="27"/>
  <c r="G28" i="27"/>
  <c r="F28" i="27"/>
  <c r="E28" i="27"/>
  <c r="D28" i="27"/>
  <c r="C28" i="27"/>
  <c r="B28" i="27"/>
  <c r="A28" i="27"/>
  <c r="R27" i="27"/>
  <c r="Q27" i="27"/>
  <c r="P27" i="27"/>
  <c r="N27" i="27"/>
  <c r="L27" i="27"/>
  <c r="K27" i="27"/>
  <c r="J27" i="27"/>
  <c r="I27" i="27"/>
  <c r="H27" i="27"/>
  <c r="G27" i="27"/>
  <c r="F27" i="27"/>
  <c r="E27" i="27"/>
  <c r="D27" i="27"/>
  <c r="C27" i="27"/>
  <c r="B27" i="27"/>
  <c r="A27" i="27"/>
  <c r="R26" i="27"/>
  <c r="Q26" i="27"/>
  <c r="P26" i="27"/>
  <c r="N26" i="27"/>
  <c r="L26" i="27"/>
  <c r="K26" i="27"/>
  <c r="J26" i="27"/>
  <c r="I26" i="27"/>
  <c r="H26" i="27"/>
  <c r="G26" i="27"/>
  <c r="F26" i="27"/>
  <c r="E26" i="27"/>
  <c r="D26" i="27"/>
  <c r="C26" i="27"/>
  <c r="B26" i="27"/>
  <c r="A26" i="27"/>
  <c r="R25" i="27"/>
  <c r="Q25" i="27"/>
  <c r="P25" i="27"/>
  <c r="N25" i="27"/>
  <c r="L25" i="27"/>
  <c r="K25" i="27"/>
  <c r="J25" i="27"/>
  <c r="I25" i="27"/>
  <c r="H25" i="27"/>
  <c r="G25" i="27"/>
  <c r="F25" i="27"/>
  <c r="E25" i="27"/>
  <c r="D25" i="27"/>
  <c r="C25" i="27"/>
  <c r="B25" i="27"/>
  <c r="A25" i="27"/>
  <c r="R24" i="27"/>
  <c r="Q24" i="27"/>
  <c r="P24" i="27"/>
  <c r="N24" i="27"/>
  <c r="L24" i="27"/>
  <c r="K24" i="27"/>
  <c r="J24" i="27"/>
  <c r="I24" i="27"/>
  <c r="H24" i="27"/>
  <c r="G24" i="27"/>
  <c r="F24" i="27"/>
  <c r="E24" i="27"/>
  <c r="D24" i="27"/>
  <c r="C24" i="27"/>
  <c r="B24" i="27"/>
  <c r="A24" i="27"/>
  <c r="C23" i="27"/>
  <c r="B23" i="27"/>
  <c r="A23" i="27"/>
  <c r="R22" i="27"/>
  <c r="Q22" i="27"/>
  <c r="P22" i="27"/>
  <c r="L22" i="27"/>
  <c r="K22" i="27"/>
  <c r="J22" i="27"/>
  <c r="I22" i="27"/>
  <c r="H22" i="27"/>
  <c r="G22" i="27"/>
  <c r="E22" i="27"/>
  <c r="D22" i="27"/>
  <c r="C22" i="27"/>
  <c r="B22" i="27"/>
  <c r="A22" i="27"/>
  <c r="R21" i="27"/>
  <c r="R20" i="27" s="1"/>
  <c r="Q21" i="27"/>
  <c r="P21" i="27"/>
  <c r="N21" i="27"/>
  <c r="L21" i="27"/>
  <c r="K21" i="27"/>
  <c r="J21" i="27"/>
  <c r="I21" i="27"/>
  <c r="H21" i="27"/>
  <c r="G21" i="27"/>
  <c r="F21" i="27"/>
  <c r="E21" i="27"/>
  <c r="D21" i="27"/>
  <c r="C21" i="27"/>
  <c r="B21" i="27"/>
  <c r="A21" i="27"/>
  <c r="C20" i="27"/>
  <c r="B20" i="27"/>
  <c r="A20" i="27"/>
  <c r="R19" i="27"/>
  <c r="Q19" i="27"/>
  <c r="P19" i="27"/>
  <c r="N19" i="27"/>
  <c r="K19" i="27"/>
  <c r="J19" i="27"/>
  <c r="I19" i="27"/>
  <c r="H19" i="27"/>
  <c r="G19" i="27"/>
  <c r="F19" i="27"/>
  <c r="E19" i="27"/>
  <c r="D19" i="27"/>
  <c r="C19" i="27"/>
  <c r="B19" i="27"/>
  <c r="A19" i="27"/>
  <c r="R18" i="27"/>
  <c r="Q18" i="27"/>
  <c r="P18" i="27"/>
  <c r="N18" i="27"/>
  <c r="L18" i="27"/>
  <c r="K18" i="27"/>
  <c r="J18" i="27"/>
  <c r="I18" i="27"/>
  <c r="H18" i="27"/>
  <c r="G18" i="27"/>
  <c r="F18" i="27"/>
  <c r="E18" i="27"/>
  <c r="D18" i="27"/>
  <c r="C18" i="27"/>
  <c r="B18" i="27"/>
  <c r="A18" i="27"/>
  <c r="R17" i="27"/>
  <c r="Q17" i="27"/>
  <c r="P17" i="27"/>
  <c r="N17" i="27"/>
  <c r="L17" i="27"/>
  <c r="K17" i="27"/>
  <c r="J17" i="27"/>
  <c r="I17" i="27"/>
  <c r="H17" i="27"/>
  <c r="G17" i="27"/>
  <c r="F17" i="27"/>
  <c r="E17" i="27"/>
  <c r="D17" i="27"/>
  <c r="C17" i="27"/>
  <c r="B17" i="27"/>
  <c r="A17" i="27"/>
  <c r="R16" i="27"/>
  <c r="Q16" i="27"/>
  <c r="P16" i="27"/>
  <c r="N16" i="27"/>
  <c r="L16" i="27"/>
  <c r="K16" i="27"/>
  <c r="J16" i="27"/>
  <c r="I16" i="27"/>
  <c r="H16" i="27"/>
  <c r="G16" i="27"/>
  <c r="F16" i="27"/>
  <c r="E16" i="27"/>
  <c r="D16" i="27"/>
  <c r="C16" i="27"/>
  <c r="B16" i="27"/>
  <c r="A16" i="27"/>
  <c r="R15" i="27"/>
  <c r="Q15" i="27"/>
  <c r="P15" i="27"/>
  <c r="N15" i="27"/>
  <c r="L15" i="27"/>
  <c r="K15" i="27"/>
  <c r="J15" i="27"/>
  <c r="I15" i="27"/>
  <c r="H15" i="27"/>
  <c r="G15" i="27"/>
  <c r="F15" i="27"/>
  <c r="E15" i="27"/>
  <c r="D15" i="27"/>
  <c r="C15" i="27"/>
  <c r="B15" i="27"/>
  <c r="A15" i="27"/>
  <c r="R14" i="27"/>
  <c r="Q14" i="27"/>
  <c r="P14" i="27"/>
  <c r="N14" i="27"/>
  <c r="K14" i="27"/>
  <c r="J14" i="27"/>
  <c r="I14" i="27"/>
  <c r="H14" i="27"/>
  <c r="G14" i="27"/>
  <c r="F14" i="27"/>
  <c r="E14" i="27"/>
  <c r="D14" i="27"/>
  <c r="C14" i="27"/>
  <c r="B14" i="27"/>
  <c r="A14" i="27"/>
  <c r="R13" i="27"/>
  <c r="Q13" i="27"/>
  <c r="P13" i="27"/>
  <c r="N13" i="27"/>
  <c r="K13" i="27"/>
  <c r="J13" i="27"/>
  <c r="I13" i="27"/>
  <c r="H13" i="27"/>
  <c r="G13" i="27"/>
  <c r="F13" i="27"/>
  <c r="E13" i="27"/>
  <c r="D13" i="27"/>
  <c r="C13" i="27"/>
  <c r="B13" i="27"/>
  <c r="A13" i="27"/>
  <c r="C12" i="27"/>
  <c r="B12" i="27"/>
  <c r="A12" i="27"/>
  <c r="R11" i="27"/>
  <c r="Q11" i="27"/>
  <c r="P11" i="27"/>
  <c r="N11" i="27"/>
  <c r="L11" i="27"/>
  <c r="K11" i="27"/>
  <c r="J11" i="27"/>
  <c r="I11" i="27"/>
  <c r="H11" i="27"/>
  <c r="G11" i="27"/>
  <c r="F11" i="27"/>
  <c r="E11" i="27"/>
  <c r="D11" i="27"/>
  <c r="C11" i="27"/>
  <c r="B11" i="27"/>
  <c r="A11" i="27"/>
  <c r="R10" i="27"/>
  <c r="Q10" i="27"/>
  <c r="P10" i="27"/>
  <c r="N10" i="27"/>
  <c r="K10" i="27"/>
  <c r="J10" i="27"/>
  <c r="I10" i="27"/>
  <c r="H10" i="27"/>
  <c r="G10" i="27"/>
  <c r="F10" i="27"/>
  <c r="E10" i="27"/>
  <c r="D10" i="27"/>
  <c r="C10" i="27"/>
  <c r="B10" i="27"/>
  <c r="A10" i="27"/>
  <c r="R9" i="27"/>
  <c r="Q9" i="27"/>
  <c r="P9" i="27"/>
  <c r="N9" i="27"/>
  <c r="K9" i="27"/>
  <c r="J9" i="27"/>
  <c r="I9" i="27"/>
  <c r="H9" i="27"/>
  <c r="G9" i="27"/>
  <c r="F9" i="27"/>
  <c r="E9" i="27"/>
  <c r="D9" i="27"/>
  <c r="C9" i="27"/>
  <c r="B9" i="27"/>
  <c r="A9" i="27"/>
  <c r="R8" i="27"/>
  <c r="Q8" i="27"/>
  <c r="P8" i="27"/>
  <c r="N8" i="27"/>
  <c r="K8" i="27"/>
  <c r="J8" i="27"/>
  <c r="I8" i="27"/>
  <c r="H8" i="27"/>
  <c r="G8" i="27"/>
  <c r="F8" i="27"/>
  <c r="E8" i="27"/>
  <c r="D8" i="27"/>
  <c r="C8" i="27"/>
  <c r="B8" i="27"/>
  <c r="A8" i="27"/>
  <c r="C7" i="27"/>
  <c r="A7" i="27"/>
  <c r="C6" i="27"/>
  <c r="A6" i="27"/>
  <c r="F3" i="27"/>
  <c r="C3" i="27"/>
  <c r="F2" i="27"/>
  <c r="C2" i="27"/>
  <c r="B2" i="27"/>
  <c r="A2" i="27"/>
  <c r="P20" i="37"/>
  <c r="N20" i="37"/>
  <c r="L20" i="37"/>
  <c r="K20" i="37"/>
  <c r="J20" i="37"/>
  <c r="I20" i="37"/>
  <c r="H20" i="37"/>
  <c r="G20" i="37"/>
  <c r="F20" i="37"/>
  <c r="E20" i="37"/>
  <c r="D20" i="37"/>
  <c r="C20" i="37"/>
  <c r="B20" i="37"/>
  <c r="P19" i="37"/>
  <c r="N19" i="37"/>
  <c r="L19" i="37"/>
  <c r="K19" i="37"/>
  <c r="J19" i="37"/>
  <c r="I19" i="37"/>
  <c r="H19" i="37"/>
  <c r="G19" i="37"/>
  <c r="F19" i="37"/>
  <c r="E19" i="37"/>
  <c r="D19" i="37"/>
  <c r="C19" i="37"/>
  <c r="B19" i="37"/>
  <c r="A19" i="37"/>
  <c r="R18" i="37"/>
  <c r="O14" i="87" s="1"/>
  <c r="C18" i="37"/>
  <c r="A18" i="37"/>
  <c r="P17" i="37"/>
  <c r="N17" i="37"/>
  <c r="L17" i="37"/>
  <c r="K17" i="37"/>
  <c r="J17" i="37"/>
  <c r="I17" i="37"/>
  <c r="H17" i="37"/>
  <c r="G17" i="37"/>
  <c r="F17" i="37"/>
  <c r="E17" i="37"/>
  <c r="D17" i="37"/>
  <c r="C17" i="37"/>
  <c r="B17" i="37"/>
  <c r="A17" i="37"/>
  <c r="P16" i="37"/>
  <c r="N16" i="37"/>
  <c r="L16" i="37"/>
  <c r="K16" i="37"/>
  <c r="J16" i="37"/>
  <c r="I16" i="37"/>
  <c r="H16" i="37"/>
  <c r="G16" i="37"/>
  <c r="F16" i="37"/>
  <c r="E16" i="37"/>
  <c r="D16" i="37"/>
  <c r="C16" i="37"/>
  <c r="B16" i="37"/>
  <c r="A16" i="37"/>
  <c r="R15" i="37"/>
  <c r="O13" i="87" s="1"/>
  <c r="C15" i="37"/>
  <c r="A15" i="37"/>
  <c r="P14" i="37"/>
  <c r="N14" i="37"/>
  <c r="L14" i="37"/>
  <c r="K14" i="37"/>
  <c r="J14" i="37"/>
  <c r="I14" i="37"/>
  <c r="H14" i="37"/>
  <c r="G14" i="37"/>
  <c r="F14" i="37"/>
  <c r="E14" i="37"/>
  <c r="D14" i="37"/>
  <c r="C14" i="37"/>
  <c r="B14" i="37"/>
  <c r="P13" i="37"/>
  <c r="N13" i="37"/>
  <c r="L13" i="37"/>
  <c r="K13" i="37"/>
  <c r="J13" i="37"/>
  <c r="I13" i="37"/>
  <c r="H13" i="37"/>
  <c r="G13" i="37"/>
  <c r="F13" i="37"/>
  <c r="E13" i="37"/>
  <c r="D13" i="37"/>
  <c r="C13" i="37"/>
  <c r="B13" i="37"/>
  <c r="A13" i="37"/>
  <c r="P12" i="37"/>
  <c r="N12" i="37"/>
  <c r="L12" i="37"/>
  <c r="K12" i="37"/>
  <c r="J12" i="37"/>
  <c r="I12" i="37"/>
  <c r="H12" i="37"/>
  <c r="G12" i="37"/>
  <c r="F12" i="37"/>
  <c r="E12" i="37"/>
  <c r="D12" i="37"/>
  <c r="C12" i="37"/>
  <c r="B12" i="37"/>
  <c r="P11" i="37"/>
  <c r="N11" i="37"/>
  <c r="L11" i="37"/>
  <c r="K11" i="37"/>
  <c r="J11" i="37"/>
  <c r="I11" i="37"/>
  <c r="H11" i="37"/>
  <c r="G11" i="37"/>
  <c r="F11" i="37"/>
  <c r="E11" i="37"/>
  <c r="D11" i="37"/>
  <c r="C11" i="37"/>
  <c r="B11" i="37"/>
  <c r="A11" i="37"/>
  <c r="R10" i="37"/>
  <c r="O9" i="87" s="1"/>
  <c r="C10" i="37"/>
  <c r="A10" i="37"/>
  <c r="P9" i="37"/>
  <c r="N9" i="37"/>
  <c r="L9" i="37"/>
  <c r="K9" i="37"/>
  <c r="J9" i="37"/>
  <c r="I9" i="37"/>
  <c r="H9" i="37"/>
  <c r="G9" i="37"/>
  <c r="F9" i="37"/>
  <c r="E9" i="37"/>
  <c r="D9" i="37"/>
  <c r="C9" i="37"/>
  <c r="B9" i="37"/>
  <c r="A9" i="37"/>
  <c r="R8" i="37"/>
  <c r="O8" i="87" s="1"/>
  <c r="C8" i="37"/>
  <c r="A8" i="37"/>
  <c r="P7" i="37"/>
  <c r="N7" i="37"/>
  <c r="L7" i="37"/>
  <c r="K7" i="37"/>
  <c r="J7" i="37"/>
  <c r="I7" i="37"/>
  <c r="H7" i="37"/>
  <c r="G7" i="37"/>
  <c r="F7" i="37"/>
  <c r="E7" i="37"/>
  <c r="D7" i="37"/>
  <c r="C7" i="37"/>
  <c r="B7" i="37"/>
  <c r="A7" i="37"/>
  <c r="R6" i="37"/>
  <c r="O6" i="87" s="1"/>
  <c r="C6" i="37"/>
  <c r="A6" i="37"/>
  <c r="C3" i="37"/>
  <c r="C2" i="37"/>
  <c r="B2" i="37"/>
  <c r="A2" i="37"/>
  <c r="P481" i="38"/>
  <c r="N481" i="38"/>
  <c r="L481" i="38"/>
  <c r="K481" i="38"/>
  <c r="J481" i="38"/>
  <c r="I481" i="38"/>
  <c r="H481" i="38"/>
  <c r="G481" i="38"/>
  <c r="F481" i="38"/>
  <c r="E481" i="38"/>
  <c r="D481" i="38"/>
  <c r="C481" i="38"/>
  <c r="B481" i="38"/>
  <c r="A481" i="38"/>
  <c r="P480" i="38"/>
  <c r="N480" i="38"/>
  <c r="L480" i="38"/>
  <c r="K480" i="38"/>
  <c r="J480" i="38"/>
  <c r="I480" i="38"/>
  <c r="H480" i="38"/>
  <c r="G480" i="38"/>
  <c r="F480" i="38"/>
  <c r="E480" i="38"/>
  <c r="D480" i="38"/>
  <c r="C480" i="38"/>
  <c r="B480" i="38"/>
  <c r="A480" i="38"/>
  <c r="P479" i="38"/>
  <c r="N479" i="38"/>
  <c r="L479" i="38"/>
  <c r="K479" i="38"/>
  <c r="J479" i="38"/>
  <c r="I479" i="38"/>
  <c r="H479" i="38"/>
  <c r="G479" i="38"/>
  <c r="F479" i="38"/>
  <c r="E479" i="38"/>
  <c r="D479" i="38"/>
  <c r="C479" i="38"/>
  <c r="B479" i="38"/>
  <c r="A479" i="38"/>
  <c r="P478" i="38"/>
  <c r="N478" i="38"/>
  <c r="L478" i="38"/>
  <c r="K478" i="38"/>
  <c r="J478" i="38"/>
  <c r="I478" i="38"/>
  <c r="H478" i="38"/>
  <c r="G478" i="38"/>
  <c r="F478" i="38"/>
  <c r="E478" i="38"/>
  <c r="D478" i="38"/>
  <c r="C478" i="38"/>
  <c r="B478" i="38"/>
  <c r="A478" i="38"/>
  <c r="P477" i="38"/>
  <c r="N477" i="38"/>
  <c r="L477" i="38"/>
  <c r="K477" i="38"/>
  <c r="J477" i="38"/>
  <c r="I477" i="38"/>
  <c r="H477" i="38"/>
  <c r="G477" i="38"/>
  <c r="F477" i="38"/>
  <c r="E477" i="38"/>
  <c r="D477" i="38"/>
  <c r="C477" i="38"/>
  <c r="B477" i="38"/>
  <c r="A477" i="38"/>
  <c r="R476" i="38"/>
  <c r="J21" i="87" s="1"/>
  <c r="K21" i="87" s="1"/>
  <c r="AL21" i="87" s="1"/>
  <c r="C476" i="38"/>
  <c r="A476" i="38"/>
  <c r="P475" i="38"/>
  <c r="N475" i="38"/>
  <c r="L475" i="38"/>
  <c r="K475" i="38"/>
  <c r="J475" i="38"/>
  <c r="I475" i="38"/>
  <c r="H475" i="38"/>
  <c r="G475" i="38"/>
  <c r="F475" i="38"/>
  <c r="E475" i="38"/>
  <c r="D475" i="38"/>
  <c r="C475" i="38"/>
  <c r="B475" i="38"/>
  <c r="A475" i="38"/>
  <c r="P474" i="38"/>
  <c r="N474" i="38"/>
  <c r="L474" i="38"/>
  <c r="K474" i="38"/>
  <c r="J474" i="38"/>
  <c r="I474" i="38"/>
  <c r="H474" i="38"/>
  <c r="G474" i="38"/>
  <c r="F474" i="38"/>
  <c r="E474" i="38"/>
  <c r="D474" i="38"/>
  <c r="C474" i="38"/>
  <c r="B474" i="38"/>
  <c r="A474" i="38"/>
  <c r="P473" i="38"/>
  <c r="N473" i="38"/>
  <c r="L473" i="38"/>
  <c r="K473" i="38"/>
  <c r="J473" i="38"/>
  <c r="I473" i="38"/>
  <c r="H473" i="38"/>
  <c r="G473" i="38"/>
  <c r="F473" i="38"/>
  <c r="E473" i="38"/>
  <c r="D473" i="38"/>
  <c r="C473" i="38"/>
  <c r="B473" i="38"/>
  <c r="A473" i="38"/>
  <c r="P472" i="38"/>
  <c r="N472" i="38"/>
  <c r="L472" i="38"/>
  <c r="K472" i="38"/>
  <c r="J472" i="38"/>
  <c r="I472" i="38"/>
  <c r="H472" i="38"/>
  <c r="G472" i="38"/>
  <c r="F472" i="38"/>
  <c r="E472" i="38"/>
  <c r="D472" i="38"/>
  <c r="C472" i="38"/>
  <c r="B472" i="38"/>
  <c r="A472" i="38"/>
  <c r="P471" i="38"/>
  <c r="N471" i="38"/>
  <c r="L471" i="38"/>
  <c r="K471" i="38"/>
  <c r="J471" i="38"/>
  <c r="I471" i="38"/>
  <c r="H471" i="38"/>
  <c r="G471" i="38"/>
  <c r="F471" i="38"/>
  <c r="E471" i="38"/>
  <c r="D471" i="38"/>
  <c r="C471" i="38"/>
  <c r="B471" i="38"/>
  <c r="A471" i="38"/>
  <c r="P470" i="38"/>
  <c r="N470" i="38"/>
  <c r="L470" i="38"/>
  <c r="K470" i="38"/>
  <c r="J470" i="38"/>
  <c r="I470" i="38"/>
  <c r="H470" i="38"/>
  <c r="G470" i="38"/>
  <c r="F470" i="38"/>
  <c r="E470" i="38"/>
  <c r="D470" i="38"/>
  <c r="C470" i="38"/>
  <c r="B470" i="38"/>
  <c r="A470" i="38"/>
  <c r="P469" i="38"/>
  <c r="N469" i="38"/>
  <c r="L469" i="38"/>
  <c r="K469" i="38"/>
  <c r="J469" i="38"/>
  <c r="I469" i="38"/>
  <c r="H469" i="38"/>
  <c r="G469" i="38"/>
  <c r="F469" i="38"/>
  <c r="E469" i="38"/>
  <c r="D469" i="38"/>
  <c r="C469" i="38"/>
  <c r="B469" i="38"/>
  <c r="A469" i="38"/>
  <c r="P468" i="38"/>
  <c r="N468" i="38"/>
  <c r="L468" i="38"/>
  <c r="K468" i="38"/>
  <c r="J468" i="38"/>
  <c r="I468" i="38"/>
  <c r="H468" i="38"/>
  <c r="G468" i="38"/>
  <c r="F468" i="38"/>
  <c r="E468" i="38"/>
  <c r="D468" i="38"/>
  <c r="C468" i="38"/>
  <c r="B468" i="38"/>
  <c r="A468" i="38"/>
  <c r="P467" i="38"/>
  <c r="N467" i="38"/>
  <c r="L467" i="38"/>
  <c r="K467" i="38"/>
  <c r="J467" i="38"/>
  <c r="I467" i="38"/>
  <c r="H467" i="38"/>
  <c r="G467" i="38"/>
  <c r="F467" i="38"/>
  <c r="E467" i="38"/>
  <c r="D467" i="38"/>
  <c r="C467" i="38"/>
  <c r="B467" i="38"/>
  <c r="A467" i="38"/>
  <c r="P466" i="38"/>
  <c r="N466" i="38"/>
  <c r="L466" i="38"/>
  <c r="K466" i="38"/>
  <c r="J466" i="38"/>
  <c r="I466" i="38"/>
  <c r="H466" i="38"/>
  <c r="G466" i="38"/>
  <c r="F466" i="38"/>
  <c r="E466" i="38"/>
  <c r="D466" i="38"/>
  <c r="C466" i="38"/>
  <c r="B466" i="38"/>
  <c r="A466" i="38"/>
  <c r="P465" i="38"/>
  <c r="N465" i="38"/>
  <c r="K465" i="38"/>
  <c r="J465" i="38"/>
  <c r="I465" i="38"/>
  <c r="H465" i="38"/>
  <c r="G465" i="38"/>
  <c r="F465" i="38"/>
  <c r="E465" i="38"/>
  <c r="D465" i="38"/>
  <c r="C465" i="38"/>
  <c r="B465" i="38"/>
  <c r="A465" i="38"/>
  <c r="P464" i="38"/>
  <c r="N464" i="38"/>
  <c r="L464" i="38"/>
  <c r="K464" i="38"/>
  <c r="J464" i="38"/>
  <c r="I464" i="38"/>
  <c r="H464" i="38"/>
  <c r="G464" i="38"/>
  <c r="F464" i="38"/>
  <c r="E464" i="38"/>
  <c r="D464" i="38"/>
  <c r="C464" i="38"/>
  <c r="B464" i="38"/>
  <c r="A464" i="38"/>
  <c r="P463" i="38"/>
  <c r="N463" i="38"/>
  <c r="L463" i="38"/>
  <c r="K463" i="38"/>
  <c r="J463" i="38"/>
  <c r="I463" i="38"/>
  <c r="H463" i="38"/>
  <c r="G463" i="38"/>
  <c r="F463" i="38"/>
  <c r="E463" i="38"/>
  <c r="D463" i="38"/>
  <c r="C463" i="38"/>
  <c r="B463" i="38"/>
  <c r="A463" i="38"/>
  <c r="P462" i="38"/>
  <c r="N462" i="38"/>
  <c r="K462" i="38"/>
  <c r="J462" i="38"/>
  <c r="I462" i="38"/>
  <c r="H462" i="38"/>
  <c r="G462" i="38"/>
  <c r="F462" i="38"/>
  <c r="E462" i="38"/>
  <c r="D462" i="38"/>
  <c r="C462" i="38"/>
  <c r="B462" i="38"/>
  <c r="A462" i="38"/>
  <c r="P461" i="38"/>
  <c r="N461" i="38"/>
  <c r="L461" i="38"/>
  <c r="K461" i="38"/>
  <c r="J461" i="38"/>
  <c r="I461" i="38"/>
  <c r="H461" i="38"/>
  <c r="G461" i="38"/>
  <c r="F461" i="38"/>
  <c r="E461" i="38"/>
  <c r="D461" i="38"/>
  <c r="C461" i="38"/>
  <c r="B461" i="38"/>
  <c r="A461" i="38"/>
  <c r="P460" i="38"/>
  <c r="N460" i="38"/>
  <c r="L460" i="38"/>
  <c r="K460" i="38"/>
  <c r="J460" i="38"/>
  <c r="I460" i="38"/>
  <c r="H460" i="38"/>
  <c r="G460" i="38"/>
  <c r="F460" i="38"/>
  <c r="E460" i="38"/>
  <c r="D460" i="38"/>
  <c r="C460" i="38"/>
  <c r="B460" i="38"/>
  <c r="A460" i="38"/>
  <c r="P459" i="38"/>
  <c r="N459" i="38"/>
  <c r="L459" i="38"/>
  <c r="K459" i="38"/>
  <c r="J459" i="38"/>
  <c r="I459" i="38"/>
  <c r="H459" i="38"/>
  <c r="G459" i="38"/>
  <c r="F459" i="38"/>
  <c r="E459" i="38"/>
  <c r="D459" i="38"/>
  <c r="C459" i="38"/>
  <c r="B459" i="38"/>
  <c r="A459" i="38"/>
  <c r="P458" i="38"/>
  <c r="N458" i="38"/>
  <c r="L458" i="38"/>
  <c r="K458" i="38"/>
  <c r="J458" i="38"/>
  <c r="I458" i="38"/>
  <c r="H458" i="38"/>
  <c r="G458" i="38"/>
  <c r="F458" i="38"/>
  <c r="E458" i="38"/>
  <c r="D458" i="38"/>
  <c r="C458" i="38"/>
  <c r="B458" i="38"/>
  <c r="A458" i="38"/>
  <c r="P457" i="38"/>
  <c r="N457" i="38"/>
  <c r="L457" i="38"/>
  <c r="K457" i="38"/>
  <c r="J457" i="38"/>
  <c r="I457" i="38"/>
  <c r="H457" i="38"/>
  <c r="G457" i="38"/>
  <c r="F457" i="38"/>
  <c r="E457" i="38"/>
  <c r="D457" i="38"/>
  <c r="C457" i="38"/>
  <c r="B457" i="38"/>
  <c r="A457" i="38"/>
  <c r="P456" i="38"/>
  <c r="N456" i="38"/>
  <c r="L456" i="38"/>
  <c r="K456" i="38"/>
  <c r="J456" i="38"/>
  <c r="I456" i="38"/>
  <c r="H456" i="38"/>
  <c r="G456" i="38"/>
  <c r="F456" i="38"/>
  <c r="E456" i="38"/>
  <c r="D456" i="38"/>
  <c r="C456" i="38"/>
  <c r="B456" i="38"/>
  <c r="A456" i="38"/>
  <c r="P455" i="38"/>
  <c r="N455" i="38"/>
  <c r="L455" i="38"/>
  <c r="K455" i="38"/>
  <c r="J455" i="38"/>
  <c r="I455" i="38"/>
  <c r="H455" i="38"/>
  <c r="G455" i="38"/>
  <c r="F455" i="38"/>
  <c r="E455" i="38"/>
  <c r="D455" i="38"/>
  <c r="C455" i="38"/>
  <c r="B455" i="38"/>
  <c r="A455" i="38"/>
  <c r="P454" i="38"/>
  <c r="N454" i="38"/>
  <c r="L454" i="38"/>
  <c r="K454" i="38"/>
  <c r="J454" i="38"/>
  <c r="I454" i="38"/>
  <c r="H454" i="38"/>
  <c r="G454" i="38"/>
  <c r="F454" i="38"/>
  <c r="E454" i="38"/>
  <c r="D454" i="38"/>
  <c r="C454" i="38"/>
  <c r="B454" i="38"/>
  <c r="A454" i="38"/>
  <c r="P453" i="38"/>
  <c r="N453" i="38"/>
  <c r="L453" i="38"/>
  <c r="K453" i="38"/>
  <c r="J453" i="38"/>
  <c r="I453" i="38"/>
  <c r="H453" i="38"/>
  <c r="G453" i="38"/>
  <c r="F453" i="38"/>
  <c r="E453" i="38"/>
  <c r="D453" i="38"/>
  <c r="C453" i="38"/>
  <c r="B453" i="38"/>
  <c r="A453" i="38"/>
  <c r="P452" i="38"/>
  <c r="N452" i="38"/>
  <c r="L452" i="38"/>
  <c r="K452" i="38"/>
  <c r="J452" i="38"/>
  <c r="I452" i="38"/>
  <c r="H452" i="38"/>
  <c r="G452" i="38"/>
  <c r="F452" i="38"/>
  <c r="E452" i="38"/>
  <c r="D452" i="38"/>
  <c r="C452" i="38"/>
  <c r="B452" i="38"/>
  <c r="A452" i="38"/>
  <c r="P451" i="38"/>
  <c r="N451" i="38"/>
  <c r="L451" i="38"/>
  <c r="K451" i="38"/>
  <c r="J451" i="38"/>
  <c r="I451" i="38"/>
  <c r="H451" i="38"/>
  <c r="G451" i="38"/>
  <c r="F451" i="38"/>
  <c r="E451" i="38"/>
  <c r="D451" i="38"/>
  <c r="C451" i="38"/>
  <c r="B451" i="38"/>
  <c r="A451" i="38"/>
  <c r="P450" i="38"/>
  <c r="N450" i="38"/>
  <c r="L450" i="38"/>
  <c r="K450" i="38"/>
  <c r="J450" i="38"/>
  <c r="I450" i="38"/>
  <c r="H450" i="38"/>
  <c r="G450" i="38"/>
  <c r="F450" i="38"/>
  <c r="E450" i="38"/>
  <c r="D450" i="38"/>
  <c r="C450" i="38"/>
  <c r="B450" i="38"/>
  <c r="A450" i="38"/>
  <c r="P449" i="38"/>
  <c r="N449" i="38"/>
  <c r="L449" i="38"/>
  <c r="K449" i="38"/>
  <c r="J449" i="38"/>
  <c r="I449" i="38"/>
  <c r="H449" i="38"/>
  <c r="G449" i="38"/>
  <c r="F449" i="38"/>
  <c r="E449" i="38"/>
  <c r="D449" i="38"/>
  <c r="C449" i="38"/>
  <c r="B449" i="38"/>
  <c r="A449" i="38"/>
  <c r="P448" i="38"/>
  <c r="N448" i="38"/>
  <c r="L448" i="38"/>
  <c r="K448" i="38"/>
  <c r="J448" i="38"/>
  <c r="I448" i="38"/>
  <c r="H448" i="38"/>
  <c r="G448" i="38"/>
  <c r="F448" i="38"/>
  <c r="E448" i="38"/>
  <c r="D448" i="38"/>
  <c r="C448" i="38"/>
  <c r="B448" i="38"/>
  <c r="A448" i="38"/>
  <c r="R447" i="38"/>
  <c r="C447" i="38"/>
  <c r="A447" i="38"/>
  <c r="C446" i="38"/>
  <c r="A446" i="38"/>
  <c r="P445" i="38"/>
  <c r="N445" i="38"/>
  <c r="L445" i="38"/>
  <c r="K445" i="38"/>
  <c r="J445" i="38"/>
  <c r="I445" i="38"/>
  <c r="H445" i="38"/>
  <c r="G445" i="38"/>
  <c r="F445" i="38"/>
  <c r="E445" i="38"/>
  <c r="D445" i="38"/>
  <c r="C445" i="38"/>
  <c r="B445" i="38"/>
  <c r="A445" i="38"/>
  <c r="R444" i="38"/>
  <c r="C444" i="38"/>
  <c r="A444" i="38"/>
  <c r="P443" i="38"/>
  <c r="N443" i="38"/>
  <c r="L443" i="38"/>
  <c r="K443" i="38"/>
  <c r="J443" i="38"/>
  <c r="I443" i="38"/>
  <c r="H443" i="38"/>
  <c r="G443" i="38"/>
  <c r="F443" i="38"/>
  <c r="E443" i="38"/>
  <c r="D443" i="38"/>
  <c r="C443" i="38"/>
  <c r="B443" i="38"/>
  <c r="A443" i="38"/>
  <c r="P442" i="38"/>
  <c r="N442" i="38"/>
  <c r="L442" i="38"/>
  <c r="K442" i="38"/>
  <c r="J442" i="38"/>
  <c r="I442" i="38"/>
  <c r="H442" i="38"/>
  <c r="G442" i="38"/>
  <c r="F442" i="38"/>
  <c r="E442" i="38"/>
  <c r="D442" i="38"/>
  <c r="C442" i="38"/>
  <c r="B442" i="38"/>
  <c r="P441" i="38"/>
  <c r="N441" i="38"/>
  <c r="L441" i="38"/>
  <c r="K441" i="38"/>
  <c r="J441" i="38"/>
  <c r="I441" i="38"/>
  <c r="H441" i="38"/>
  <c r="G441" i="38"/>
  <c r="F441" i="38"/>
  <c r="E441" i="38"/>
  <c r="D441" i="38"/>
  <c r="C441" i="38"/>
  <c r="B441" i="38"/>
  <c r="A441" i="38"/>
  <c r="R440" i="38"/>
  <c r="J12" i="87" s="1"/>
  <c r="C440" i="38"/>
  <c r="A440" i="38"/>
  <c r="P439" i="38"/>
  <c r="N439" i="38"/>
  <c r="L439" i="38"/>
  <c r="K439" i="38"/>
  <c r="J439" i="38"/>
  <c r="I439" i="38"/>
  <c r="H439" i="38"/>
  <c r="G439" i="38"/>
  <c r="F439" i="38"/>
  <c r="E439" i="38"/>
  <c r="D439" i="38"/>
  <c r="C439" i="38"/>
  <c r="B439" i="38"/>
  <c r="A439" i="38"/>
  <c r="P438" i="38"/>
  <c r="N438" i="38"/>
  <c r="L438" i="38"/>
  <c r="K438" i="38"/>
  <c r="J438" i="38"/>
  <c r="I438" i="38"/>
  <c r="H438" i="38"/>
  <c r="G438" i="38"/>
  <c r="F438" i="38"/>
  <c r="E438" i="38"/>
  <c r="D438" i="38"/>
  <c r="C438" i="38"/>
  <c r="B438" i="38"/>
  <c r="A438" i="38"/>
  <c r="R437" i="38"/>
  <c r="J5" i="87" s="1"/>
  <c r="C437" i="38"/>
  <c r="A437" i="38"/>
  <c r="P436" i="38"/>
  <c r="N436" i="38"/>
  <c r="L436" i="38"/>
  <c r="K436" i="38"/>
  <c r="J436" i="38"/>
  <c r="I436" i="38"/>
  <c r="H436" i="38"/>
  <c r="G436" i="38"/>
  <c r="F436" i="38"/>
  <c r="E436" i="38"/>
  <c r="D436" i="38"/>
  <c r="C436" i="38"/>
  <c r="B436" i="38"/>
  <c r="A436" i="38"/>
  <c r="P435" i="38"/>
  <c r="N435" i="38"/>
  <c r="L435" i="38"/>
  <c r="K435" i="38"/>
  <c r="J435" i="38"/>
  <c r="I435" i="38"/>
  <c r="H435" i="38"/>
  <c r="G435" i="38"/>
  <c r="F435" i="38"/>
  <c r="E435" i="38"/>
  <c r="D435" i="38"/>
  <c r="C435" i="38"/>
  <c r="B435" i="38"/>
  <c r="A435" i="38"/>
  <c r="P434" i="38"/>
  <c r="N434" i="38"/>
  <c r="L434" i="38"/>
  <c r="K434" i="38"/>
  <c r="J434" i="38"/>
  <c r="I434" i="38"/>
  <c r="H434" i="38"/>
  <c r="G434" i="38"/>
  <c r="F434" i="38"/>
  <c r="E434" i="38"/>
  <c r="D434" i="38"/>
  <c r="C434" i="38"/>
  <c r="B434" i="38"/>
  <c r="A434" i="38"/>
  <c r="R433" i="38"/>
  <c r="J4" i="87" s="1"/>
  <c r="C433" i="38"/>
  <c r="B433" i="38"/>
  <c r="A433" i="38"/>
  <c r="P431" i="38"/>
  <c r="N431" i="38"/>
  <c r="L431" i="38"/>
  <c r="K431" i="38"/>
  <c r="J431" i="38"/>
  <c r="I431" i="38"/>
  <c r="H431" i="38"/>
  <c r="G431" i="38"/>
  <c r="F431" i="38"/>
  <c r="E431" i="38"/>
  <c r="D431" i="38"/>
  <c r="C431" i="38"/>
  <c r="B431" i="38"/>
  <c r="A431" i="38"/>
  <c r="P430" i="38"/>
  <c r="N430" i="38"/>
  <c r="L430" i="38"/>
  <c r="K430" i="38"/>
  <c r="J430" i="38"/>
  <c r="I430" i="38"/>
  <c r="H430" i="38"/>
  <c r="G430" i="38"/>
  <c r="F430" i="38"/>
  <c r="E430" i="38"/>
  <c r="D430" i="38"/>
  <c r="C430" i="38"/>
  <c r="B430" i="38"/>
  <c r="A430" i="38"/>
  <c r="P429" i="38"/>
  <c r="N429" i="38"/>
  <c r="L429" i="38"/>
  <c r="K429" i="38"/>
  <c r="J429" i="38"/>
  <c r="I429" i="38"/>
  <c r="H429" i="38"/>
  <c r="G429" i="38"/>
  <c r="F429" i="38"/>
  <c r="E429" i="38"/>
  <c r="D429" i="38"/>
  <c r="C429" i="38"/>
  <c r="B429" i="38"/>
  <c r="A429" i="38"/>
  <c r="P428" i="38"/>
  <c r="N428" i="38"/>
  <c r="K428" i="38"/>
  <c r="J428" i="38"/>
  <c r="I428" i="38"/>
  <c r="H428" i="38"/>
  <c r="G428" i="38"/>
  <c r="F428" i="38"/>
  <c r="E428" i="38"/>
  <c r="D428" i="38"/>
  <c r="C428" i="38"/>
  <c r="B428" i="38"/>
  <c r="A428" i="38"/>
  <c r="P427" i="38"/>
  <c r="N427" i="38"/>
  <c r="L427" i="38"/>
  <c r="K427" i="38"/>
  <c r="J427" i="38"/>
  <c r="I427" i="38"/>
  <c r="H427" i="38"/>
  <c r="G427" i="38"/>
  <c r="F427" i="38"/>
  <c r="E427" i="38"/>
  <c r="D427" i="38"/>
  <c r="C427" i="38"/>
  <c r="B427" i="38"/>
  <c r="A427" i="38"/>
  <c r="P426" i="38"/>
  <c r="N426" i="38"/>
  <c r="K426" i="38"/>
  <c r="J426" i="38"/>
  <c r="I426" i="38"/>
  <c r="H426" i="38"/>
  <c r="G426" i="38"/>
  <c r="F426" i="38"/>
  <c r="E426" i="38"/>
  <c r="D426" i="38"/>
  <c r="C426" i="38"/>
  <c r="B426" i="38"/>
  <c r="A426" i="38"/>
  <c r="R425" i="38"/>
  <c r="I17" i="87" s="1"/>
  <c r="K17" i="87" s="1"/>
  <c r="AL17" i="87" s="1"/>
  <c r="C425" i="38"/>
  <c r="A425" i="38"/>
  <c r="P424" i="38"/>
  <c r="N424" i="38"/>
  <c r="L424" i="38"/>
  <c r="K424" i="38"/>
  <c r="J424" i="38"/>
  <c r="I424" i="38"/>
  <c r="H424" i="38"/>
  <c r="G424" i="38"/>
  <c r="F424" i="38"/>
  <c r="E424" i="38"/>
  <c r="D424" i="38"/>
  <c r="C424" i="38"/>
  <c r="B424" i="38"/>
  <c r="A424" i="38"/>
  <c r="R423" i="38"/>
  <c r="C423" i="38"/>
  <c r="A423" i="38"/>
  <c r="P422" i="38"/>
  <c r="N422" i="38"/>
  <c r="L422" i="38"/>
  <c r="K422" i="38"/>
  <c r="J422" i="38"/>
  <c r="I422" i="38"/>
  <c r="H422" i="38"/>
  <c r="G422" i="38"/>
  <c r="F422" i="38"/>
  <c r="E422" i="38"/>
  <c r="D422" i="38"/>
  <c r="C422" i="38"/>
  <c r="B422" i="38"/>
  <c r="P421" i="38"/>
  <c r="N421" i="38"/>
  <c r="L421" i="38"/>
  <c r="K421" i="38"/>
  <c r="J421" i="38"/>
  <c r="I421" i="38"/>
  <c r="H421" i="38"/>
  <c r="G421" i="38"/>
  <c r="F421" i="38"/>
  <c r="E421" i="38"/>
  <c r="D421" i="38"/>
  <c r="C421" i="38"/>
  <c r="B421" i="38"/>
  <c r="A421" i="38"/>
  <c r="R420" i="38"/>
  <c r="I15" i="87" s="1"/>
  <c r="C420" i="38"/>
  <c r="A420" i="38"/>
  <c r="P419" i="38"/>
  <c r="N419" i="38"/>
  <c r="L419" i="38"/>
  <c r="K419" i="38"/>
  <c r="J419" i="38"/>
  <c r="I419" i="38"/>
  <c r="H419" i="38"/>
  <c r="G419" i="38"/>
  <c r="F419" i="38"/>
  <c r="E419" i="38"/>
  <c r="D419" i="38"/>
  <c r="C419" i="38"/>
  <c r="B419" i="38"/>
  <c r="P418" i="38"/>
  <c r="N418" i="38"/>
  <c r="L418" i="38"/>
  <c r="K418" i="38"/>
  <c r="J418" i="38"/>
  <c r="I418" i="38"/>
  <c r="H418" i="38"/>
  <c r="G418" i="38"/>
  <c r="F418" i="38"/>
  <c r="E418" i="38"/>
  <c r="D418" i="38"/>
  <c r="C418" i="38"/>
  <c r="B418" i="38"/>
  <c r="A418" i="38"/>
  <c r="R417" i="38"/>
  <c r="C417" i="38"/>
  <c r="A417" i="38"/>
  <c r="P416" i="38"/>
  <c r="N416" i="38"/>
  <c r="L416" i="38"/>
  <c r="K416" i="38"/>
  <c r="J416" i="38"/>
  <c r="I416" i="38"/>
  <c r="H416" i="38"/>
  <c r="G416" i="38"/>
  <c r="F416" i="38"/>
  <c r="E416" i="38"/>
  <c r="D416" i="38"/>
  <c r="C416" i="38"/>
  <c r="B416" i="38"/>
  <c r="P415" i="38"/>
  <c r="N415" i="38"/>
  <c r="L415" i="38"/>
  <c r="K415" i="38"/>
  <c r="J415" i="38"/>
  <c r="I415" i="38"/>
  <c r="H415" i="38"/>
  <c r="G415" i="38"/>
  <c r="F415" i="38"/>
  <c r="E415" i="38"/>
  <c r="D415" i="38"/>
  <c r="C415" i="38"/>
  <c r="B415" i="38"/>
  <c r="A415" i="38"/>
  <c r="R414" i="38"/>
  <c r="I12" i="87" s="1"/>
  <c r="C414" i="38"/>
  <c r="A414" i="38"/>
  <c r="P413" i="38"/>
  <c r="N413" i="38"/>
  <c r="L413" i="38"/>
  <c r="K413" i="38"/>
  <c r="J413" i="38"/>
  <c r="I413" i="38"/>
  <c r="H413" i="38"/>
  <c r="G413" i="38"/>
  <c r="F413" i="38"/>
  <c r="E413" i="38"/>
  <c r="D413" i="38"/>
  <c r="C413" i="38"/>
  <c r="B413" i="38"/>
  <c r="P412" i="38"/>
  <c r="N412" i="38"/>
  <c r="L412" i="38"/>
  <c r="K412" i="38"/>
  <c r="J412" i="38"/>
  <c r="I412" i="38"/>
  <c r="H412" i="38"/>
  <c r="G412" i="38"/>
  <c r="F412" i="38"/>
  <c r="E412" i="38"/>
  <c r="D412" i="38"/>
  <c r="C412" i="38"/>
  <c r="B412" i="38"/>
  <c r="A412" i="38"/>
  <c r="P411" i="38"/>
  <c r="N411" i="38"/>
  <c r="L411" i="38"/>
  <c r="K411" i="38"/>
  <c r="J411" i="38"/>
  <c r="I411" i="38"/>
  <c r="H411" i="38"/>
  <c r="G411" i="38"/>
  <c r="F411" i="38"/>
  <c r="E411" i="38"/>
  <c r="D411" i="38"/>
  <c r="C411" i="38"/>
  <c r="B411" i="38"/>
  <c r="P410" i="38"/>
  <c r="N410" i="38"/>
  <c r="L410" i="38"/>
  <c r="K410" i="38"/>
  <c r="J410" i="38"/>
  <c r="I410" i="38"/>
  <c r="H410" i="38"/>
  <c r="G410" i="38"/>
  <c r="F410" i="38"/>
  <c r="E410" i="38"/>
  <c r="D410" i="38"/>
  <c r="C410" i="38"/>
  <c r="B410" i="38"/>
  <c r="A410" i="38"/>
  <c r="R409" i="38"/>
  <c r="I9" i="87" s="1"/>
  <c r="C409" i="38"/>
  <c r="A409" i="38"/>
  <c r="P408" i="38"/>
  <c r="N408" i="38"/>
  <c r="L408" i="38"/>
  <c r="K408" i="38"/>
  <c r="J408" i="38"/>
  <c r="I408" i="38"/>
  <c r="H408" i="38"/>
  <c r="G408" i="38"/>
  <c r="F408" i="38"/>
  <c r="E408" i="38"/>
  <c r="D408" i="38"/>
  <c r="C408" i="38"/>
  <c r="B408" i="38"/>
  <c r="A408" i="38"/>
  <c r="R407" i="38"/>
  <c r="C407" i="38"/>
  <c r="A407" i="38"/>
  <c r="P406" i="38"/>
  <c r="L406" i="38"/>
  <c r="K406" i="38"/>
  <c r="J406" i="38"/>
  <c r="I406" i="38"/>
  <c r="H406" i="38"/>
  <c r="G406" i="38"/>
  <c r="E406" i="38"/>
  <c r="D406" i="38"/>
  <c r="C406" i="38"/>
  <c r="B406" i="38"/>
  <c r="P405" i="38"/>
  <c r="N405" i="38"/>
  <c r="L405" i="38"/>
  <c r="K405" i="38"/>
  <c r="J405" i="38"/>
  <c r="I405" i="38"/>
  <c r="H405" i="38"/>
  <c r="G405" i="38"/>
  <c r="F405" i="38"/>
  <c r="E405" i="38"/>
  <c r="D405" i="38"/>
  <c r="C405" i="38"/>
  <c r="B405" i="38"/>
  <c r="A405" i="38"/>
  <c r="R404" i="38"/>
  <c r="I6" i="87" s="1"/>
  <c r="C404" i="38"/>
  <c r="A404" i="38"/>
  <c r="P403" i="38"/>
  <c r="N403" i="38"/>
  <c r="L403" i="38"/>
  <c r="K403" i="38"/>
  <c r="J403" i="38"/>
  <c r="I403" i="38"/>
  <c r="H403" i="38"/>
  <c r="G403" i="38"/>
  <c r="F403" i="38"/>
  <c r="E403" i="38"/>
  <c r="D403" i="38"/>
  <c r="C403" i="38"/>
  <c r="B403" i="38"/>
  <c r="A403" i="38"/>
  <c r="P402" i="38"/>
  <c r="N402" i="38"/>
  <c r="L402" i="38"/>
  <c r="K402" i="38"/>
  <c r="J402" i="38"/>
  <c r="I402" i="38"/>
  <c r="H402" i="38"/>
  <c r="G402" i="38"/>
  <c r="F402" i="38"/>
  <c r="E402" i="38"/>
  <c r="D402" i="38"/>
  <c r="C402" i="38"/>
  <c r="B402" i="38"/>
  <c r="A402" i="38"/>
  <c r="P401" i="38"/>
  <c r="N401" i="38"/>
  <c r="L401" i="38"/>
  <c r="K401" i="38"/>
  <c r="J401" i="38"/>
  <c r="I401" i="38"/>
  <c r="H401" i="38"/>
  <c r="G401" i="38"/>
  <c r="F401" i="38"/>
  <c r="E401" i="38"/>
  <c r="D401" i="38"/>
  <c r="C401" i="38"/>
  <c r="B401" i="38"/>
  <c r="A401" i="38"/>
  <c r="P400" i="38"/>
  <c r="N400" i="38"/>
  <c r="L400" i="38"/>
  <c r="K400" i="38"/>
  <c r="J400" i="38"/>
  <c r="I400" i="38"/>
  <c r="H400" i="38"/>
  <c r="G400" i="38"/>
  <c r="F400" i="38"/>
  <c r="E400" i="38"/>
  <c r="D400" i="38"/>
  <c r="C400" i="38"/>
  <c r="B400" i="38"/>
  <c r="A400" i="38"/>
  <c r="P399" i="38"/>
  <c r="N399" i="38"/>
  <c r="L399" i="38"/>
  <c r="K399" i="38"/>
  <c r="J399" i="38"/>
  <c r="I399" i="38"/>
  <c r="H399" i="38"/>
  <c r="G399" i="38"/>
  <c r="F399" i="38"/>
  <c r="E399" i="38"/>
  <c r="D399" i="38"/>
  <c r="C399" i="38"/>
  <c r="B399" i="38"/>
  <c r="A399" i="38"/>
  <c r="P398" i="38"/>
  <c r="N398" i="38"/>
  <c r="L398" i="38"/>
  <c r="K398" i="38"/>
  <c r="J398" i="38"/>
  <c r="I398" i="38"/>
  <c r="H398" i="38"/>
  <c r="G398" i="38"/>
  <c r="F398" i="38"/>
  <c r="E398" i="38"/>
  <c r="D398" i="38"/>
  <c r="C398" i="38"/>
  <c r="B398" i="38"/>
  <c r="A398" i="38"/>
  <c r="R397" i="38"/>
  <c r="I5" i="87" s="1"/>
  <c r="C397" i="38"/>
  <c r="A397" i="38"/>
  <c r="P396" i="38"/>
  <c r="N396" i="38"/>
  <c r="L396" i="38"/>
  <c r="K396" i="38"/>
  <c r="J396" i="38"/>
  <c r="I396" i="38"/>
  <c r="H396" i="38"/>
  <c r="G396" i="38"/>
  <c r="F396" i="38"/>
  <c r="E396" i="38"/>
  <c r="D396" i="38"/>
  <c r="C396" i="38"/>
  <c r="B396" i="38"/>
  <c r="A396" i="38"/>
  <c r="R395" i="38"/>
  <c r="I4" i="87" s="1"/>
  <c r="C395" i="38"/>
  <c r="A395" i="38"/>
  <c r="P393" i="38"/>
  <c r="N393" i="38"/>
  <c r="L393" i="38"/>
  <c r="K393" i="38"/>
  <c r="J393" i="38"/>
  <c r="I393" i="38"/>
  <c r="H393" i="38"/>
  <c r="G393" i="38"/>
  <c r="F393" i="38"/>
  <c r="C393" i="38"/>
  <c r="B393" i="38"/>
  <c r="A393" i="38"/>
  <c r="P392" i="38"/>
  <c r="N392" i="38"/>
  <c r="L392" i="38"/>
  <c r="K392" i="38"/>
  <c r="J392" i="38"/>
  <c r="I392" i="38"/>
  <c r="H392" i="38"/>
  <c r="G392" i="38"/>
  <c r="F392" i="38"/>
  <c r="C392" i="38"/>
  <c r="B392" i="38"/>
  <c r="A392" i="38"/>
  <c r="P391" i="38"/>
  <c r="N391" i="38"/>
  <c r="L391" i="38"/>
  <c r="K391" i="38"/>
  <c r="J391" i="38"/>
  <c r="I391" i="38"/>
  <c r="H391" i="38"/>
  <c r="G391" i="38"/>
  <c r="F391" i="38"/>
  <c r="C391" i="38"/>
  <c r="B391" i="38"/>
  <c r="A391" i="38"/>
  <c r="R390" i="38"/>
  <c r="H19" i="87" s="1"/>
  <c r="C390" i="38"/>
  <c r="A390" i="38"/>
  <c r="P389" i="38"/>
  <c r="N389" i="38"/>
  <c r="L389" i="38"/>
  <c r="K389" i="38"/>
  <c r="J389" i="38"/>
  <c r="I389" i="38"/>
  <c r="H389" i="38"/>
  <c r="G389" i="38"/>
  <c r="F389" i="38"/>
  <c r="E389" i="38"/>
  <c r="D389" i="38"/>
  <c r="C389" i="38"/>
  <c r="B389" i="38"/>
  <c r="P388" i="38"/>
  <c r="N388" i="38"/>
  <c r="L388" i="38"/>
  <c r="K388" i="38"/>
  <c r="J388" i="38"/>
  <c r="I388" i="38"/>
  <c r="H388" i="38"/>
  <c r="G388" i="38"/>
  <c r="F388" i="38"/>
  <c r="E388" i="38"/>
  <c r="D388" i="38"/>
  <c r="C388" i="38"/>
  <c r="B388" i="38"/>
  <c r="P387" i="38"/>
  <c r="N387" i="38"/>
  <c r="L387" i="38"/>
  <c r="K387" i="38"/>
  <c r="J387" i="38"/>
  <c r="I387" i="38"/>
  <c r="H387" i="38"/>
  <c r="G387" i="38"/>
  <c r="F387" i="38"/>
  <c r="E387" i="38"/>
  <c r="D387" i="38"/>
  <c r="C387" i="38"/>
  <c r="B387" i="38"/>
  <c r="A387" i="38"/>
  <c r="R386" i="38"/>
  <c r="C386" i="38"/>
  <c r="A386" i="38"/>
  <c r="P385" i="38"/>
  <c r="N385" i="38"/>
  <c r="L385" i="38"/>
  <c r="K385" i="38"/>
  <c r="J385" i="38"/>
  <c r="I385" i="38"/>
  <c r="H385" i="38"/>
  <c r="G385" i="38"/>
  <c r="F385" i="38"/>
  <c r="E385" i="38"/>
  <c r="D385" i="38"/>
  <c r="C385" i="38"/>
  <c r="B385" i="38"/>
  <c r="P384" i="38"/>
  <c r="N384" i="38"/>
  <c r="L384" i="38"/>
  <c r="K384" i="38"/>
  <c r="J384" i="38"/>
  <c r="I384" i="38"/>
  <c r="H384" i="38"/>
  <c r="G384" i="38"/>
  <c r="F384" i="38"/>
  <c r="E384" i="38"/>
  <c r="D384" i="38"/>
  <c r="C384" i="38"/>
  <c r="B384" i="38"/>
  <c r="A384" i="38"/>
  <c r="R383" i="38"/>
  <c r="C383" i="38"/>
  <c r="A383" i="38"/>
  <c r="P382" i="38"/>
  <c r="N382" i="38"/>
  <c r="L382" i="38"/>
  <c r="K382" i="38"/>
  <c r="J382" i="38"/>
  <c r="I382" i="38"/>
  <c r="H382" i="38"/>
  <c r="G382" i="38"/>
  <c r="F382" i="38"/>
  <c r="E382" i="38"/>
  <c r="D382" i="38"/>
  <c r="C382" i="38"/>
  <c r="B382" i="38"/>
  <c r="P381" i="38"/>
  <c r="N381" i="38"/>
  <c r="L381" i="38"/>
  <c r="K381" i="38"/>
  <c r="J381" i="38"/>
  <c r="I381" i="38"/>
  <c r="H381" i="38"/>
  <c r="G381" i="38"/>
  <c r="F381" i="38"/>
  <c r="E381" i="38"/>
  <c r="D381" i="38"/>
  <c r="C381" i="38"/>
  <c r="B381" i="38"/>
  <c r="P380" i="38"/>
  <c r="N380" i="38"/>
  <c r="L380" i="38"/>
  <c r="K380" i="38"/>
  <c r="J380" i="38"/>
  <c r="I380" i="38"/>
  <c r="H380" i="38"/>
  <c r="G380" i="38"/>
  <c r="F380" i="38"/>
  <c r="E380" i="38"/>
  <c r="D380" i="38"/>
  <c r="C380" i="38"/>
  <c r="B380" i="38"/>
  <c r="P379" i="38"/>
  <c r="N379" i="38"/>
  <c r="L379" i="38"/>
  <c r="K379" i="38"/>
  <c r="J379" i="38"/>
  <c r="I379" i="38"/>
  <c r="H379" i="38"/>
  <c r="G379" i="38"/>
  <c r="F379" i="38"/>
  <c r="E379" i="38"/>
  <c r="D379" i="38"/>
  <c r="C379" i="38"/>
  <c r="B379" i="38"/>
  <c r="A379" i="38"/>
  <c r="R378" i="38"/>
  <c r="C378" i="38"/>
  <c r="A378" i="38"/>
  <c r="P376" i="38"/>
  <c r="N376" i="38"/>
  <c r="L376" i="38"/>
  <c r="K376" i="38"/>
  <c r="J376" i="38"/>
  <c r="I376" i="38"/>
  <c r="H376" i="38"/>
  <c r="G376" i="38"/>
  <c r="F376" i="38"/>
  <c r="E376" i="38"/>
  <c r="D376" i="38"/>
  <c r="C376" i="38"/>
  <c r="B376" i="38"/>
  <c r="P375" i="38"/>
  <c r="N375" i="38"/>
  <c r="L375" i="38"/>
  <c r="K375" i="38"/>
  <c r="J375" i="38"/>
  <c r="I375" i="38"/>
  <c r="H375" i="38"/>
  <c r="G375" i="38"/>
  <c r="F375" i="38"/>
  <c r="E375" i="38"/>
  <c r="D375" i="38"/>
  <c r="C375" i="38"/>
  <c r="B375" i="38"/>
  <c r="P374" i="38"/>
  <c r="N374" i="38"/>
  <c r="L374" i="38"/>
  <c r="K374" i="38"/>
  <c r="J374" i="38"/>
  <c r="I374" i="38"/>
  <c r="H374" i="38"/>
  <c r="G374" i="38"/>
  <c r="F374" i="38"/>
  <c r="E374" i="38"/>
  <c r="D374" i="38"/>
  <c r="C374" i="38"/>
  <c r="B374" i="38"/>
  <c r="P373" i="38"/>
  <c r="N373" i="38"/>
  <c r="L373" i="38"/>
  <c r="K373" i="38"/>
  <c r="J373" i="38"/>
  <c r="I373" i="38"/>
  <c r="H373" i="38"/>
  <c r="G373" i="38"/>
  <c r="F373" i="38"/>
  <c r="E373" i="38"/>
  <c r="D373" i="38"/>
  <c r="C373" i="38"/>
  <c r="B373" i="38"/>
  <c r="P372" i="38"/>
  <c r="N372" i="38"/>
  <c r="L372" i="38"/>
  <c r="K372" i="38"/>
  <c r="J372" i="38"/>
  <c r="I372" i="38"/>
  <c r="H372" i="38"/>
  <c r="G372" i="38"/>
  <c r="F372" i="38"/>
  <c r="E372" i="38"/>
  <c r="D372" i="38"/>
  <c r="C372" i="38"/>
  <c r="B372" i="38"/>
  <c r="P371" i="38"/>
  <c r="N371" i="38"/>
  <c r="L371" i="38"/>
  <c r="K371" i="38"/>
  <c r="J371" i="38"/>
  <c r="I371" i="38"/>
  <c r="H371" i="38"/>
  <c r="G371" i="38"/>
  <c r="F371" i="38"/>
  <c r="E371" i="38"/>
  <c r="D371" i="38"/>
  <c r="C371" i="38"/>
  <c r="B371" i="38"/>
  <c r="A371" i="38"/>
  <c r="R370" i="38"/>
  <c r="G15" i="87" s="1"/>
  <c r="C370" i="38"/>
  <c r="A370" i="38"/>
  <c r="P369" i="38"/>
  <c r="N369" i="38"/>
  <c r="L369" i="38"/>
  <c r="K369" i="38"/>
  <c r="J369" i="38"/>
  <c r="I369" i="38"/>
  <c r="H369" i="38"/>
  <c r="G369" i="38"/>
  <c r="F369" i="38"/>
  <c r="E369" i="38"/>
  <c r="D369" i="38"/>
  <c r="C369" i="38"/>
  <c r="B369" i="38"/>
  <c r="P368" i="38"/>
  <c r="N368" i="38"/>
  <c r="L368" i="38"/>
  <c r="K368" i="38"/>
  <c r="J368" i="38"/>
  <c r="I368" i="38"/>
  <c r="H368" i="38"/>
  <c r="G368" i="38"/>
  <c r="F368" i="38"/>
  <c r="E368" i="38"/>
  <c r="D368" i="38"/>
  <c r="C368" i="38"/>
  <c r="B368" i="38"/>
  <c r="P367" i="38"/>
  <c r="N367" i="38"/>
  <c r="L367" i="38"/>
  <c r="K367" i="38"/>
  <c r="J367" i="38"/>
  <c r="I367" i="38"/>
  <c r="H367" i="38"/>
  <c r="G367" i="38"/>
  <c r="F367" i="38"/>
  <c r="E367" i="38"/>
  <c r="D367" i="38"/>
  <c r="C367" i="38"/>
  <c r="B367" i="38"/>
  <c r="P366" i="38"/>
  <c r="N366" i="38"/>
  <c r="L366" i="38"/>
  <c r="K366" i="38"/>
  <c r="J366" i="38"/>
  <c r="I366" i="38"/>
  <c r="H366" i="38"/>
  <c r="G366" i="38"/>
  <c r="F366" i="38"/>
  <c r="E366" i="38"/>
  <c r="D366" i="38"/>
  <c r="C366" i="38"/>
  <c r="B366" i="38"/>
  <c r="P365" i="38"/>
  <c r="N365" i="38"/>
  <c r="L365" i="38"/>
  <c r="K365" i="38"/>
  <c r="J365" i="38"/>
  <c r="I365" i="38"/>
  <c r="H365" i="38"/>
  <c r="G365" i="38"/>
  <c r="F365" i="38"/>
  <c r="E365" i="38"/>
  <c r="D365" i="38"/>
  <c r="C365" i="38"/>
  <c r="B365" i="38"/>
  <c r="A365" i="38"/>
  <c r="R364" i="38"/>
  <c r="G12" i="87" s="1"/>
  <c r="C364" i="38"/>
  <c r="A364" i="38"/>
  <c r="P363" i="38"/>
  <c r="N363" i="38"/>
  <c r="L363" i="38"/>
  <c r="K363" i="38"/>
  <c r="J363" i="38"/>
  <c r="I363" i="38"/>
  <c r="H363" i="38"/>
  <c r="G363" i="38"/>
  <c r="F363" i="38"/>
  <c r="E363" i="38"/>
  <c r="D363" i="38"/>
  <c r="C363" i="38"/>
  <c r="B363" i="38"/>
  <c r="A363" i="38"/>
  <c r="R362" i="38"/>
  <c r="C362" i="38"/>
  <c r="A362" i="38"/>
  <c r="P361" i="38"/>
  <c r="N361" i="38"/>
  <c r="L361" i="38"/>
  <c r="K361" i="38"/>
  <c r="J361" i="38"/>
  <c r="I361" i="38"/>
  <c r="H361" i="38"/>
  <c r="G361" i="38"/>
  <c r="F361" i="38"/>
  <c r="E361" i="38"/>
  <c r="D361" i="38"/>
  <c r="C361" i="38"/>
  <c r="B361" i="38"/>
  <c r="P360" i="38"/>
  <c r="N360" i="38"/>
  <c r="L360" i="38"/>
  <c r="K360" i="38"/>
  <c r="J360" i="38"/>
  <c r="I360" i="38"/>
  <c r="H360" i="38"/>
  <c r="G360" i="38"/>
  <c r="F360" i="38"/>
  <c r="E360" i="38"/>
  <c r="D360" i="38"/>
  <c r="C360" i="38"/>
  <c r="B360" i="38"/>
  <c r="A360" i="38"/>
  <c r="P359" i="38"/>
  <c r="N359" i="38"/>
  <c r="L359" i="38"/>
  <c r="K359" i="38"/>
  <c r="J359" i="38"/>
  <c r="I359" i="38"/>
  <c r="H359" i="38"/>
  <c r="G359" i="38"/>
  <c r="F359" i="38"/>
  <c r="E359" i="38"/>
  <c r="D359" i="38"/>
  <c r="C359" i="38"/>
  <c r="B359" i="38"/>
  <c r="P358" i="38"/>
  <c r="N358" i="38"/>
  <c r="L358" i="38"/>
  <c r="K358" i="38"/>
  <c r="J358" i="38"/>
  <c r="I358" i="38"/>
  <c r="H358" i="38"/>
  <c r="G358" i="38"/>
  <c r="F358" i="38"/>
  <c r="E358" i="38"/>
  <c r="D358" i="38"/>
  <c r="C358" i="38"/>
  <c r="B358" i="38"/>
  <c r="P357" i="38"/>
  <c r="N357" i="38"/>
  <c r="L357" i="38"/>
  <c r="K357" i="38"/>
  <c r="J357" i="38"/>
  <c r="I357" i="38"/>
  <c r="H357" i="38"/>
  <c r="G357" i="38"/>
  <c r="F357" i="38"/>
  <c r="E357" i="38"/>
  <c r="D357" i="38"/>
  <c r="C357" i="38"/>
  <c r="B357" i="38"/>
  <c r="P356" i="38"/>
  <c r="N356" i="38"/>
  <c r="L356" i="38"/>
  <c r="K356" i="38"/>
  <c r="J356" i="38"/>
  <c r="I356" i="38"/>
  <c r="H356" i="38"/>
  <c r="G356" i="38"/>
  <c r="F356" i="38"/>
  <c r="E356" i="38"/>
  <c r="D356" i="38"/>
  <c r="C356" i="38"/>
  <c r="B356" i="38"/>
  <c r="P355" i="38"/>
  <c r="N355" i="38"/>
  <c r="L355" i="38"/>
  <c r="K355" i="38"/>
  <c r="J355" i="38"/>
  <c r="I355" i="38"/>
  <c r="H355" i="38"/>
  <c r="G355" i="38"/>
  <c r="F355" i="38"/>
  <c r="E355" i="38"/>
  <c r="D355" i="38"/>
  <c r="C355" i="38"/>
  <c r="B355" i="38"/>
  <c r="A355" i="38"/>
  <c r="R354" i="38"/>
  <c r="G9" i="87" s="1"/>
  <c r="C354" i="38"/>
  <c r="A354" i="38"/>
  <c r="P353" i="38"/>
  <c r="N353" i="38"/>
  <c r="L353" i="38"/>
  <c r="K353" i="38"/>
  <c r="J353" i="38"/>
  <c r="I353" i="38"/>
  <c r="H353" i="38"/>
  <c r="G353" i="38"/>
  <c r="F353" i="38"/>
  <c r="E353" i="38"/>
  <c r="D353" i="38"/>
  <c r="C353" i="38"/>
  <c r="B353" i="38"/>
  <c r="A353" i="38"/>
  <c r="P352" i="38"/>
  <c r="N352" i="38"/>
  <c r="L352" i="38"/>
  <c r="K352" i="38"/>
  <c r="J352" i="38"/>
  <c r="I352" i="38"/>
  <c r="H352" i="38"/>
  <c r="G352" i="38"/>
  <c r="F352" i="38"/>
  <c r="E352" i="38"/>
  <c r="D352" i="38"/>
  <c r="C352" i="38"/>
  <c r="B352" i="38"/>
  <c r="A352" i="38"/>
  <c r="R351" i="38"/>
  <c r="G8" i="87" s="1"/>
  <c r="C351" i="38"/>
  <c r="A351" i="38"/>
  <c r="P350" i="38"/>
  <c r="N350" i="38"/>
  <c r="L350" i="38"/>
  <c r="K350" i="38"/>
  <c r="J350" i="38"/>
  <c r="I350" i="38"/>
  <c r="H350" i="38"/>
  <c r="G350" i="38"/>
  <c r="F350" i="38"/>
  <c r="E350" i="38"/>
  <c r="D350" i="38"/>
  <c r="C350" i="38"/>
  <c r="B350" i="38"/>
  <c r="A350" i="38"/>
  <c r="P349" i="38"/>
  <c r="N349" i="38"/>
  <c r="L349" i="38"/>
  <c r="K349" i="38"/>
  <c r="J349" i="38"/>
  <c r="I349" i="38"/>
  <c r="H349" i="38"/>
  <c r="G349" i="38"/>
  <c r="F349" i="38"/>
  <c r="E349" i="38"/>
  <c r="D349" i="38"/>
  <c r="C349" i="38"/>
  <c r="B349" i="38"/>
  <c r="A349" i="38"/>
  <c r="R348" i="38"/>
  <c r="G5" i="87" s="1"/>
  <c r="C348" i="38"/>
  <c r="B348" i="38"/>
  <c r="A348" i="38"/>
  <c r="P347" i="38"/>
  <c r="N347" i="38"/>
  <c r="L347" i="38"/>
  <c r="K347" i="38"/>
  <c r="J347" i="38"/>
  <c r="I347" i="38"/>
  <c r="H347" i="38"/>
  <c r="G347" i="38"/>
  <c r="F347" i="38"/>
  <c r="E347" i="38"/>
  <c r="D347" i="38"/>
  <c r="C347" i="38"/>
  <c r="B347" i="38"/>
  <c r="A347" i="38"/>
  <c r="P346" i="38"/>
  <c r="N346" i="38"/>
  <c r="L346" i="38"/>
  <c r="K346" i="38"/>
  <c r="J346" i="38"/>
  <c r="I346" i="38"/>
  <c r="H346" i="38"/>
  <c r="G346" i="38"/>
  <c r="F346" i="38"/>
  <c r="E346" i="38"/>
  <c r="D346" i="38"/>
  <c r="C346" i="38"/>
  <c r="B346" i="38"/>
  <c r="A346" i="38"/>
  <c r="P345" i="38"/>
  <c r="N345" i="38"/>
  <c r="L345" i="38"/>
  <c r="K345" i="38"/>
  <c r="J345" i="38"/>
  <c r="I345" i="38"/>
  <c r="H345" i="38"/>
  <c r="G345" i="38"/>
  <c r="F345" i="38"/>
  <c r="E345" i="38"/>
  <c r="D345" i="38"/>
  <c r="C345" i="38"/>
  <c r="B345" i="38"/>
  <c r="A345" i="38"/>
  <c r="P344" i="38"/>
  <c r="N344" i="38"/>
  <c r="L344" i="38"/>
  <c r="K344" i="38"/>
  <c r="J344" i="38"/>
  <c r="I344" i="38"/>
  <c r="H344" i="38"/>
  <c r="G344" i="38"/>
  <c r="F344" i="38"/>
  <c r="E344" i="38"/>
  <c r="D344" i="38"/>
  <c r="C344" i="38"/>
  <c r="B344" i="38"/>
  <c r="A344" i="38"/>
  <c r="P343" i="38"/>
  <c r="N343" i="38"/>
  <c r="L343" i="38"/>
  <c r="K343" i="38"/>
  <c r="J343" i="38"/>
  <c r="I343" i="38"/>
  <c r="H343" i="38"/>
  <c r="G343" i="38"/>
  <c r="F343" i="38"/>
  <c r="E343" i="38"/>
  <c r="D343" i="38"/>
  <c r="C343" i="38"/>
  <c r="B343" i="38"/>
  <c r="A343" i="38"/>
  <c r="R342" i="38"/>
  <c r="G4" i="87" s="1"/>
  <c r="C342" i="38"/>
  <c r="B342" i="38"/>
  <c r="A342" i="38"/>
  <c r="P340" i="38"/>
  <c r="N340" i="38"/>
  <c r="L340" i="38"/>
  <c r="K340" i="38"/>
  <c r="J340" i="38"/>
  <c r="I340" i="38"/>
  <c r="H340" i="38"/>
  <c r="G340" i="38"/>
  <c r="F340" i="38"/>
  <c r="E340" i="38"/>
  <c r="D340" i="38"/>
  <c r="C340" i="38"/>
  <c r="B340" i="38"/>
  <c r="P339" i="38"/>
  <c r="N339" i="38"/>
  <c r="L339" i="38"/>
  <c r="K339" i="38"/>
  <c r="J339" i="38"/>
  <c r="I339" i="38"/>
  <c r="H339" i="38"/>
  <c r="G339" i="38"/>
  <c r="F339" i="38"/>
  <c r="E339" i="38"/>
  <c r="D339" i="38"/>
  <c r="C339" i="38"/>
  <c r="B339" i="38"/>
  <c r="P338" i="38"/>
  <c r="N338" i="38"/>
  <c r="L338" i="38"/>
  <c r="K338" i="38"/>
  <c r="J338" i="38"/>
  <c r="I338" i="38"/>
  <c r="H338" i="38"/>
  <c r="G338" i="38"/>
  <c r="F338" i="38"/>
  <c r="E338" i="38"/>
  <c r="D338" i="38"/>
  <c r="C338" i="38"/>
  <c r="B338" i="38"/>
  <c r="P337" i="38"/>
  <c r="N337" i="38"/>
  <c r="L337" i="38"/>
  <c r="K337" i="38"/>
  <c r="J337" i="38"/>
  <c r="I337" i="38"/>
  <c r="H337" i="38"/>
  <c r="G337" i="38"/>
  <c r="F337" i="38"/>
  <c r="E337" i="38"/>
  <c r="D337" i="38"/>
  <c r="C337" i="38"/>
  <c r="B337" i="38"/>
  <c r="P336" i="38"/>
  <c r="N336" i="38"/>
  <c r="L336" i="38"/>
  <c r="K336" i="38"/>
  <c r="J336" i="38"/>
  <c r="I336" i="38"/>
  <c r="H336" i="38"/>
  <c r="G336" i="38"/>
  <c r="F336" i="38"/>
  <c r="E336" i="38"/>
  <c r="D336" i="38"/>
  <c r="C336" i="38"/>
  <c r="B336" i="38"/>
  <c r="P335" i="38"/>
  <c r="N335" i="38"/>
  <c r="L335" i="38"/>
  <c r="K335" i="38"/>
  <c r="J335" i="38"/>
  <c r="I335" i="38"/>
  <c r="H335" i="38"/>
  <c r="G335" i="38"/>
  <c r="F335" i="38"/>
  <c r="E335" i="38"/>
  <c r="D335" i="38"/>
  <c r="C335" i="38"/>
  <c r="B335" i="38"/>
  <c r="A335" i="38"/>
  <c r="R334" i="38"/>
  <c r="F15" i="87" s="1"/>
  <c r="C334" i="38"/>
  <c r="A334" i="38"/>
  <c r="P333" i="38"/>
  <c r="N333" i="38"/>
  <c r="L333" i="38"/>
  <c r="K333" i="38"/>
  <c r="J333" i="38"/>
  <c r="I333" i="38"/>
  <c r="H333" i="38"/>
  <c r="G333" i="38"/>
  <c r="F333" i="38"/>
  <c r="E333" i="38"/>
  <c r="D333" i="38"/>
  <c r="C333" i="38"/>
  <c r="B333" i="38"/>
  <c r="P332" i="38"/>
  <c r="N332" i="38"/>
  <c r="L332" i="38"/>
  <c r="K332" i="38"/>
  <c r="J332" i="38"/>
  <c r="I332" i="38"/>
  <c r="H332" i="38"/>
  <c r="G332" i="38"/>
  <c r="F332" i="38"/>
  <c r="E332" i="38"/>
  <c r="D332" i="38"/>
  <c r="C332" i="38"/>
  <c r="B332" i="38"/>
  <c r="P331" i="38"/>
  <c r="N331" i="38"/>
  <c r="L331" i="38"/>
  <c r="K331" i="38"/>
  <c r="J331" i="38"/>
  <c r="I331" i="38"/>
  <c r="H331" i="38"/>
  <c r="G331" i="38"/>
  <c r="F331" i="38"/>
  <c r="E331" i="38"/>
  <c r="D331" i="38"/>
  <c r="C331" i="38"/>
  <c r="B331" i="38"/>
  <c r="A331" i="38"/>
  <c r="R330" i="38"/>
  <c r="C330" i="38"/>
  <c r="A330" i="38"/>
  <c r="P329" i="38"/>
  <c r="N329" i="38"/>
  <c r="L329" i="38"/>
  <c r="K329" i="38"/>
  <c r="J329" i="38"/>
  <c r="I329" i="38"/>
  <c r="H329" i="38"/>
  <c r="G329" i="38"/>
  <c r="F329" i="38"/>
  <c r="E329" i="38"/>
  <c r="D329" i="38"/>
  <c r="C329" i="38"/>
  <c r="B329" i="38"/>
  <c r="P328" i="38"/>
  <c r="N328" i="38"/>
  <c r="L328" i="38"/>
  <c r="K328" i="38"/>
  <c r="J328" i="38"/>
  <c r="I328" i="38"/>
  <c r="H328" i="38"/>
  <c r="G328" i="38"/>
  <c r="F328" i="38"/>
  <c r="E328" i="38"/>
  <c r="D328" i="38"/>
  <c r="C328" i="38"/>
  <c r="B328" i="38"/>
  <c r="P327" i="38"/>
  <c r="N327" i="38"/>
  <c r="L327" i="38"/>
  <c r="K327" i="38"/>
  <c r="J327" i="38"/>
  <c r="I327" i="38"/>
  <c r="H327" i="38"/>
  <c r="G327" i="38"/>
  <c r="F327" i="38"/>
  <c r="E327" i="38"/>
  <c r="D327" i="38"/>
  <c r="C327" i="38"/>
  <c r="B327" i="38"/>
  <c r="P326" i="38"/>
  <c r="N326" i="38"/>
  <c r="L326" i="38"/>
  <c r="K326" i="38"/>
  <c r="J326" i="38"/>
  <c r="I326" i="38"/>
  <c r="H326" i="38"/>
  <c r="G326" i="38"/>
  <c r="F326" i="38"/>
  <c r="E326" i="38"/>
  <c r="D326" i="38"/>
  <c r="C326" i="38"/>
  <c r="B326" i="38"/>
  <c r="P325" i="38"/>
  <c r="N325" i="38"/>
  <c r="L325" i="38"/>
  <c r="K325" i="38"/>
  <c r="J325" i="38"/>
  <c r="I325" i="38"/>
  <c r="H325" i="38"/>
  <c r="G325" i="38"/>
  <c r="F325" i="38"/>
  <c r="E325" i="38"/>
  <c r="D325" i="38"/>
  <c r="C325" i="38"/>
  <c r="B325" i="38"/>
  <c r="P324" i="38"/>
  <c r="N324" i="38"/>
  <c r="L324" i="38"/>
  <c r="K324" i="38"/>
  <c r="J324" i="38"/>
  <c r="I324" i="38"/>
  <c r="H324" i="38"/>
  <c r="G324" i="38"/>
  <c r="F324" i="38"/>
  <c r="E324" i="38"/>
  <c r="D324" i="38"/>
  <c r="C324" i="38"/>
  <c r="B324" i="38"/>
  <c r="P323" i="38"/>
  <c r="N323" i="38"/>
  <c r="L323" i="38"/>
  <c r="K323" i="38"/>
  <c r="J323" i="38"/>
  <c r="I323" i="38"/>
  <c r="H323" i="38"/>
  <c r="G323" i="38"/>
  <c r="F323" i="38"/>
  <c r="E323" i="38"/>
  <c r="D323" i="38"/>
  <c r="C323" i="38"/>
  <c r="B323" i="38"/>
  <c r="P322" i="38"/>
  <c r="N322" i="38"/>
  <c r="L322" i="38"/>
  <c r="K322" i="38"/>
  <c r="J322" i="38"/>
  <c r="I322" i="38"/>
  <c r="H322" i="38"/>
  <c r="G322" i="38"/>
  <c r="F322" i="38"/>
  <c r="E322" i="38"/>
  <c r="D322" i="38"/>
  <c r="C322" i="38"/>
  <c r="B322" i="38"/>
  <c r="P321" i="38"/>
  <c r="N321" i="38"/>
  <c r="L321" i="38"/>
  <c r="K321" i="38"/>
  <c r="J321" i="38"/>
  <c r="I321" i="38"/>
  <c r="H321" i="38"/>
  <c r="G321" i="38"/>
  <c r="F321" i="38"/>
  <c r="E321" i="38"/>
  <c r="D321" i="38"/>
  <c r="C321" i="38"/>
  <c r="B321" i="38"/>
  <c r="P320" i="38"/>
  <c r="N320" i="38"/>
  <c r="L320" i="38"/>
  <c r="K320" i="38"/>
  <c r="J320" i="38"/>
  <c r="I320" i="38"/>
  <c r="H320" i="38"/>
  <c r="G320" i="38"/>
  <c r="F320" i="38"/>
  <c r="E320" i="38"/>
  <c r="D320" i="38"/>
  <c r="C320" i="38"/>
  <c r="B320" i="38"/>
  <c r="P319" i="38"/>
  <c r="N319" i="38"/>
  <c r="L319" i="38"/>
  <c r="K319" i="38"/>
  <c r="J319" i="38"/>
  <c r="I319" i="38"/>
  <c r="H319" i="38"/>
  <c r="G319" i="38"/>
  <c r="F319" i="38"/>
  <c r="E319" i="38"/>
  <c r="D319" i="38"/>
  <c r="C319" i="38"/>
  <c r="B319" i="38"/>
  <c r="P318" i="38"/>
  <c r="N318" i="38"/>
  <c r="L318" i="38"/>
  <c r="K318" i="38"/>
  <c r="J318" i="38"/>
  <c r="I318" i="38"/>
  <c r="H318" i="38"/>
  <c r="G318" i="38"/>
  <c r="F318" i="38"/>
  <c r="E318" i="38"/>
  <c r="D318" i="38"/>
  <c r="C318" i="38"/>
  <c r="B318" i="38"/>
  <c r="P317" i="38"/>
  <c r="N317" i="38"/>
  <c r="L317" i="38"/>
  <c r="K317" i="38"/>
  <c r="J317" i="38"/>
  <c r="I317" i="38"/>
  <c r="H317" i="38"/>
  <c r="G317" i="38"/>
  <c r="F317" i="38"/>
  <c r="E317" i="38"/>
  <c r="D317" i="38"/>
  <c r="C317" i="38"/>
  <c r="B317" i="38"/>
  <c r="P316" i="38"/>
  <c r="N316" i="38"/>
  <c r="L316" i="38"/>
  <c r="K316" i="38"/>
  <c r="J316" i="38"/>
  <c r="I316" i="38"/>
  <c r="H316" i="38"/>
  <c r="G316" i="38"/>
  <c r="F316" i="38"/>
  <c r="E316" i="38"/>
  <c r="D316" i="38"/>
  <c r="C316" i="38"/>
  <c r="B316" i="38"/>
  <c r="P315" i="38"/>
  <c r="N315" i="38"/>
  <c r="L315" i="38"/>
  <c r="K315" i="38"/>
  <c r="J315" i="38"/>
  <c r="I315" i="38"/>
  <c r="H315" i="38"/>
  <c r="G315" i="38"/>
  <c r="F315" i="38"/>
  <c r="E315" i="38"/>
  <c r="D315" i="38"/>
  <c r="C315" i="38"/>
  <c r="B315" i="38"/>
  <c r="P314" i="38"/>
  <c r="N314" i="38"/>
  <c r="L314" i="38"/>
  <c r="K314" i="38"/>
  <c r="J314" i="38"/>
  <c r="I314" i="38"/>
  <c r="H314" i="38"/>
  <c r="G314" i="38"/>
  <c r="F314" i="38"/>
  <c r="E314" i="38"/>
  <c r="D314" i="38"/>
  <c r="C314" i="38"/>
  <c r="B314" i="38"/>
  <c r="A314" i="38"/>
  <c r="R313" i="38"/>
  <c r="F12" i="87" s="1"/>
  <c r="C313" i="38"/>
  <c r="A313" i="38"/>
  <c r="P312" i="38"/>
  <c r="N312" i="38"/>
  <c r="L312" i="38"/>
  <c r="K312" i="38"/>
  <c r="J312" i="38"/>
  <c r="I312" i="38"/>
  <c r="H312" i="38"/>
  <c r="G312" i="38"/>
  <c r="F312" i="38"/>
  <c r="E312" i="38"/>
  <c r="D312" i="38"/>
  <c r="C312" i="38"/>
  <c r="B312" i="38"/>
  <c r="A312" i="38"/>
  <c r="R311" i="38"/>
  <c r="C311" i="38"/>
  <c r="A311" i="38"/>
  <c r="P310" i="38"/>
  <c r="N310" i="38"/>
  <c r="L310" i="38"/>
  <c r="K310" i="38"/>
  <c r="J310" i="38"/>
  <c r="I310" i="38"/>
  <c r="H310" i="38"/>
  <c r="G310" i="38"/>
  <c r="F310" i="38"/>
  <c r="E310" i="38"/>
  <c r="D310" i="38"/>
  <c r="C310" i="38"/>
  <c r="B310" i="38"/>
  <c r="P309" i="38"/>
  <c r="N309" i="38"/>
  <c r="L309" i="38"/>
  <c r="K309" i="38"/>
  <c r="J309" i="38"/>
  <c r="I309" i="38"/>
  <c r="H309" i="38"/>
  <c r="G309" i="38"/>
  <c r="F309" i="38"/>
  <c r="E309" i="38"/>
  <c r="D309" i="38"/>
  <c r="C309" i="38"/>
  <c r="B309" i="38"/>
  <c r="P308" i="38"/>
  <c r="L308" i="38"/>
  <c r="K308" i="38"/>
  <c r="J308" i="38"/>
  <c r="I308" i="38"/>
  <c r="H308" i="38"/>
  <c r="G308" i="38"/>
  <c r="F308" i="38"/>
  <c r="E308" i="38"/>
  <c r="D308" i="38"/>
  <c r="C308" i="38"/>
  <c r="B308" i="38"/>
  <c r="P307" i="38"/>
  <c r="L307" i="38"/>
  <c r="K307" i="38"/>
  <c r="J307" i="38"/>
  <c r="I307" i="38"/>
  <c r="H307" i="38"/>
  <c r="G307" i="38"/>
  <c r="F307" i="38"/>
  <c r="E307" i="38"/>
  <c r="D307" i="38"/>
  <c r="C307" i="38"/>
  <c r="B307" i="38"/>
  <c r="A307" i="38"/>
  <c r="P306" i="38"/>
  <c r="N306" i="38"/>
  <c r="L306" i="38"/>
  <c r="K306" i="38"/>
  <c r="J306" i="38"/>
  <c r="I306" i="38"/>
  <c r="H306" i="38"/>
  <c r="G306" i="38"/>
  <c r="F306" i="38"/>
  <c r="E306" i="38"/>
  <c r="D306" i="38"/>
  <c r="C306" i="38"/>
  <c r="B306" i="38"/>
  <c r="P305" i="38"/>
  <c r="N305" i="38"/>
  <c r="L305" i="38"/>
  <c r="K305" i="38"/>
  <c r="J305" i="38"/>
  <c r="I305" i="38"/>
  <c r="H305" i="38"/>
  <c r="G305" i="38"/>
  <c r="F305" i="38"/>
  <c r="E305" i="38"/>
  <c r="D305" i="38"/>
  <c r="C305" i="38"/>
  <c r="B305" i="38"/>
  <c r="A305" i="38"/>
  <c r="R304" i="38"/>
  <c r="F9" i="87" s="1"/>
  <c r="C304" i="38"/>
  <c r="A304" i="38"/>
  <c r="P303" i="38"/>
  <c r="N303" i="38"/>
  <c r="L303" i="38"/>
  <c r="K303" i="38"/>
  <c r="J303" i="38"/>
  <c r="I303" i="38"/>
  <c r="H303" i="38"/>
  <c r="G303" i="38"/>
  <c r="F303" i="38"/>
  <c r="E303" i="38"/>
  <c r="D303" i="38"/>
  <c r="C303" i="38"/>
  <c r="B303" i="38"/>
  <c r="A303" i="38"/>
  <c r="R302" i="38"/>
  <c r="C302" i="38"/>
  <c r="A302" i="38"/>
  <c r="P301" i="38"/>
  <c r="N301" i="38"/>
  <c r="L301" i="38"/>
  <c r="K301" i="38"/>
  <c r="J301" i="38"/>
  <c r="I301" i="38"/>
  <c r="H301" i="38"/>
  <c r="G301" i="38"/>
  <c r="F301" i="38"/>
  <c r="E301" i="38"/>
  <c r="D301" i="38"/>
  <c r="C301" i="38"/>
  <c r="B301" i="38"/>
  <c r="A301" i="38"/>
  <c r="P300" i="38"/>
  <c r="N300" i="38"/>
  <c r="L300" i="38"/>
  <c r="K300" i="38"/>
  <c r="J300" i="38"/>
  <c r="I300" i="38"/>
  <c r="H300" i="38"/>
  <c r="G300" i="38"/>
  <c r="F300" i="38"/>
  <c r="E300" i="38"/>
  <c r="D300" i="38"/>
  <c r="C300" i="38"/>
  <c r="B300" i="38"/>
  <c r="P299" i="38"/>
  <c r="N299" i="38"/>
  <c r="L299" i="38"/>
  <c r="K299" i="38"/>
  <c r="J299" i="38"/>
  <c r="I299" i="38"/>
  <c r="H299" i="38"/>
  <c r="G299" i="38"/>
  <c r="F299" i="38"/>
  <c r="E299" i="38"/>
  <c r="D299" i="38"/>
  <c r="C299" i="38"/>
  <c r="B299" i="38"/>
  <c r="A299" i="38"/>
  <c r="R298" i="38"/>
  <c r="F6" i="87" s="1"/>
  <c r="C298" i="38"/>
  <c r="A298" i="38"/>
  <c r="P297" i="38"/>
  <c r="L297" i="38"/>
  <c r="K297" i="38"/>
  <c r="J297" i="38"/>
  <c r="I297" i="38"/>
  <c r="H297" i="38"/>
  <c r="G297" i="38"/>
  <c r="E297" i="38"/>
  <c r="D297" i="38"/>
  <c r="C297" i="38"/>
  <c r="B297" i="38"/>
  <c r="A297" i="38"/>
  <c r="P296" i="38"/>
  <c r="L296" i="38"/>
  <c r="K296" i="38"/>
  <c r="J296" i="38"/>
  <c r="I296" i="38"/>
  <c r="H296" i="38"/>
  <c r="G296" i="38"/>
  <c r="E296" i="38"/>
  <c r="D296" i="38"/>
  <c r="C296" i="38"/>
  <c r="B296" i="38"/>
  <c r="A296" i="38"/>
  <c r="P295" i="38"/>
  <c r="L295" i="38"/>
  <c r="K295" i="38"/>
  <c r="J295" i="38"/>
  <c r="I295" i="38"/>
  <c r="H295" i="38"/>
  <c r="G295" i="38"/>
  <c r="F295" i="38"/>
  <c r="E295" i="38"/>
  <c r="D295" i="38"/>
  <c r="C295" i="38"/>
  <c r="B295" i="38"/>
  <c r="A295" i="38"/>
  <c r="R294" i="38"/>
  <c r="F5" i="87" s="1"/>
  <c r="C294" i="38"/>
  <c r="B294" i="38"/>
  <c r="A294" i="38"/>
  <c r="P293" i="38"/>
  <c r="N293" i="38"/>
  <c r="L293" i="38"/>
  <c r="K293" i="38"/>
  <c r="J293" i="38"/>
  <c r="I293" i="38"/>
  <c r="H293" i="38"/>
  <c r="G293" i="38"/>
  <c r="F293" i="38"/>
  <c r="E293" i="38"/>
  <c r="D293" i="38"/>
  <c r="C293" i="38"/>
  <c r="B293" i="38"/>
  <c r="A293" i="38"/>
  <c r="P292" i="38"/>
  <c r="N292" i="38"/>
  <c r="K292" i="38"/>
  <c r="J292" i="38"/>
  <c r="I292" i="38"/>
  <c r="H292" i="38"/>
  <c r="G292" i="38"/>
  <c r="F292" i="38"/>
  <c r="E292" i="38"/>
  <c r="D292" i="38"/>
  <c r="C292" i="38"/>
  <c r="B292" i="38"/>
  <c r="A292" i="38"/>
  <c r="P291" i="38"/>
  <c r="N291" i="38"/>
  <c r="L291" i="38"/>
  <c r="K291" i="38"/>
  <c r="J291" i="38"/>
  <c r="I291" i="38"/>
  <c r="H291" i="38"/>
  <c r="G291" i="38"/>
  <c r="F291" i="38"/>
  <c r="E291" i="38"/>
  <c r="D291" i="38"/>
  <c r="C291" i="38"/>
  <c r="B291" i="38"/>
  <c r="A291" i="38"/>
  <c r="P290" i="38"/>
  <c r="N290" i="38"/>
  <c r="L290" i="38"/>
  <c r="K290" i="38"/>
  <c r="J290" i="38"/>
  <c r="I290" i="38"/>
  <c r="H290" i="38"/>
  <c r="G290" i="38"/>
  <c r="F290" i="38"/>
  <c r="E290" i="38"/>
  <c r="D290" i="38"/>
  <c r="C290" i="38"/>
  <c r="B290" i="38"/>
  <c r="A290" i="38"/>
  <c r="R289" i="38"/>
  <c r="F4" i="87" s="1"/>
  <c r="C289" i="38"/>
  <c r="B289" i="38"/>
  <c r="A289" i="38"/>
  <c r="P287" i="38"/>
  <c r="N287" i="38"/>
  <c r="L287" i="38"/>
  <c r="K287" i="38"/>
  <c r="J287" i="38"/>
  <c r="I287" i="38"/>
  <c r="H287" i="38"/>
  <c r="G287" i="38"/>
  <c r="F287" i="38"/>
  <c r="E287" i="38"/>
  <c r="D287" i="38"/>
  <c r="C287" i="38"/>
  <c r="B287" i="38"/>
  <c r="A287" i="38"/>
  <c r="P286" i="38"/>
  <c r="N286" i="38"/>
  <c r="L286" i="38"/>
  <c r="K286" i="38"/>
  <c r="J286" i="38"/>
  <c r="I286" i="38"/>
  <c r="H286" i="38"/>
  <c r="G286" i="38"/>
  <c r="F286" i="38"/>
  <c r="E286" i="38"/>
  <c r="D286" i="38"/>
  <c r="C286" i="38"/>
  <c r="B286" i="38"/>
  <c r="A286" i="38"/>
  <c r="R285" i="38"/>
  <c r="C285" i="38"/>
  <c r="A285" i="38"/>
  <c r="P284" i="38"/>
  <c r="N284" i="38"/>
  <c r="L284" i="38"/>
  <c r="K284" i="38"/>
  <c r="J284" i="38"/>
  <c r="I284" i="38"/>
  <c r="H284" i="38"/>
  <c r="G284" i="38"/>
  <c r="F284" i="38"/>
  <c r="E284" i="38"/>
  <c r="D284" i="38"/>
  <c r="C284" i="38"/>
  <c r="B284" i="38"/>
  <c r="A284" i="38"/>
  <c r="R283" i="38"/>
  <c r="C283" i="38"/>
  <c r="A283" i="38"/>
  <c r="P282" i="38"/>
  <c r="N282" i="38"/>
  <c r="L282" i="38"/>
  <c r="K282" i="38"/>
  <c r="J282" i="38"/>
  <c r="I282" i="38"/>
  <c r="H282" i="38"/>
  <c r="G282" i="38"/>
  <c r="F282" i="38"/>
  <c r="E282" i="38"/>
  <c r="D282" i="38"/>
  <c r="C282" i="38"/>
  <c r="B282" i="38"/>
  <c r="P281" i="38"/>
  <c r="N281" i="38"/>
  <c r="L281" i="38"/>
  <c r="K281" i="38"/>
  <c r="J281" i="38"/>
  <c r="I281" i="38"/>
  <c r="H281" i="38"/>
  <c r="G281" i="38"/>
  <c r="F281" i="38"/>
  <c r="E281" i="38"/>
  <c r="D281" i="38"/>
  <c r="C281" i="38"/>
  <c r="B281" i="38"/>
  <c r="P280" i="38"/>
  <c r="N280" i="38"/>
  <c r="L280" i="38"/>
  <c r="K280" i="38"/>
  <c r="J280" i="38"/>
  <c r="I280" i="38"/>
  <c r="H280" i="38"/>
  <c r="G280" i="38"/>
  <c r="F280" i="38"/>
  <c r="E280" i="38"/>
  <c r="D280" i="38"/>
  <c r="C280" i="38"/>
  <c r="B280" i="38"/>
  <c r="P279" i="38"/>
  <c r="N279" i="38"/>
  <c r="L279" i="38"/>
  <c r="K279" i="38"/>
  <c r="J279" i="38"/>
  <c r="I279" i="38"/>
  <c r="H279" i="38"/>
  <c r="G279" i="38"/>
  <c r="F279" i="38"/>
  <c r="E279" i="38"/>
  <c r="D279" i="38"/>
  <c r="C279" i="38"/>
  <c r="B279" i="38"/>
  <c r="P278" i="38"/>
  <c r="N278" i="38"/>
  <c r="L278" i="38"/>
  <c r="K278" i="38"/>
  <c r="J278" i="38"/>
  <c r="I278" i="38"/>
  <c r="H278" i="38"/>
  <c r="G278" i="38"/>
  <c r="F278" i="38"/>
  <c r="E278" i="38"/>
  <c r="D278" i="38"/>
  <c r="C278" i="38"/>
  <c r="B278" i="38"/>
  <c r="A278" i="38"/>
  <c r="R277" i="38"/>
  <c r="E15" i="87" s="1"/>
  <c r="C277" i="38"/>
  <c r="A277" i="38"/>
  <c r="P276" i="38"/>
  <c r="N276" i="38"/>
  <c r="L276" i="38"/>
  <c r="K276" i="38"/>
  <c r="J276" i="38"/>
  <c r="I276" i="38"/>
  <c r="H276" i="38"/>
  <c r="G276" i="38"/>
  <c r="F276" i="38"/>
  <c r="E276" i="38"/>
  <c r="D276" i="38"/>
  <c r="C276" i="38"/>
  <c r="B276" i="38"/>
  <c r="P275" i="38"/>
  <c r="N275" i="38"/>
  <c r="L275" i="38"/>
  <c r="K275" i="38"/>
  <c r="J275" i="38"/>
  <c r="I275" i="38"/>
  <c r="H275" i="38"/>
  <c r="G275" i="38"/>
  <c r="F275" i="38"/>
  <c r="E275" i="38"/>
  <c r="D275" i="38"/>
  <c r="C275" i="38"/>
  <c r="B275" i="38"/>
  <c r="P274" i="38"/>
  <c r="N274" i="38"/>
  <c r="L274" i="38"/>
  <c r="K274" i="38"/>
  <c r="J274" i="38"/>
  <c r="I274" i="38"/>
  <c r="H274" i="38"/>
  <c r="G274" i="38"/>
  <c r="F274" i="38"/>
  <c r="E274" i="38"/>
  <c r="D274" i="38"/>
  <c r="C274" i="38"/>
  <c r="B274" i="38"/>
  <c r="P273" i="38"/>
  <c r="N273" i="38"/>
  <c r="L273" i="38"/>
  <c r="K273" i="38"/>
  <c r="J273" i="38"/>
  <c r="I273" i="38"/>
  <c r="H273" i="38"/>
  <c r="G273" i="38"/>
  <c r="F273" i="38"/>
  <c r="E273" i="38"/>
  <c r="D273" i="38"/>
  <c r="C273" i="38"/>
  <c r="B273" i="38"/>
  <c r="P272" i="38"/>
  <c r="N272" i="38"/>
  <c r="L272" i="38"/>
  <c r="K272" i="38"/>
  <c r="J272" i="38"/>
  <c r="I272" i="38"/>
  <c r="H272" i="38"/>
  <c r="G272" i="38"/>
  <c r="F272" i="38"/>
  <c r="E272" i="38"/>
  <c r="D272" i="38"/>
  <c r="C272" i="38"/>
  <c r="B272" i="38"/>
  <c r="P271" i="38"/>
  <c r="N271" i="38"/>
  <c r="L271" i="38"/>
  <c r="K271" i="38"/>
  <c r="J271" i="38"/>
  <c r="I271" i="38"/>
  <c r="H271" i="38"/>
  <c r="G271" i="38"/>
  <c r="F271" i="38"/>
  <c r="E271" i="38"/>
  <c r="D271" i="38"/>
  <c r="C271" i="38"/>
  <c r="B271" i="38"/>
  <c r="A271" i="38"/>
  <c r="R270" i="38"/>
  <c r="E14" i="87" s="1"/>
  <c r="C270" i="38"/>
  <c r="A270" i="38"/>
  <c r="P269" i="38"/>
  <c r="N269" i="38"/>
  <c r="L269" i="38"/>
  <c r="K269" i="38"/>
  <c r="J269" i="38"/>
  <c r="I269" i="38"/>
  <c r="H269" i="38"/>
  <c r="G269" i="38"/>
  <c r="F269" i="38"/>
  <c r="E269" i="38"/>
  <c r="D269" i="38"/>
  <c r="C269" i="38"/>
  <c r="B269" i="38"/>
  <c r="P268" i="38"/>
  <c r="N268" i="38"/>
  <c r="L268" i="38"/>
  <c r="K268" i="38"/>
  <c r="J268" i="38"/>
  <c r="I268" i="38"/>
  <c r="H268" i="38"/>
  <c r="G268" i="38"/>
  <c r="F268" i="38"/>
  <c r="E268" i="38"/>
  <c r="D268" i="38"/>
  <c r="C268" i="38"/>
  <c r="B268" i="38"/>
  <c r="P267" i="38"/>
  <c r="N267" i="38"/>
  <c r="L267" i="38"/>
  <c r="K267" i="38"/>
  <c r="J267" i="38"/>
  <c r="I267" i="38"/>
  <c r="H267" i="38"/>
  <c r="G267" i="38"/>
  <c r="F267" i="38"/>
  <c r="E267" i="38"/>
  <c r="D267" i="38"/>
  <c r="C267" i="38"/>
  <c r="B267" i="38"/>
  <c r="P266" i="38"/>
  <c r="N266" i="38"/>
  <c r="L266" i="38"/>
  <c r="K266" i="38"/>
  <c r="J266" i="38"/>
  <c r="I266" i="38"/>
  <c r="H266" i="38"/>
  <c r="G266" i="38"/>
  <c r="F266" i="38"/>
  <c r="E266" i="38"/>
  <c r="D266" i="38"/>
  <c r="C266" i="38"/>
  <c r="B266" i="38"/>
  <c r="P265" i="38"/>
  <c r="N265" i="38"/>
  <c r="L265" i="38"/>
  <c r="K265" i="38"/>
  <c r="J265" i="38"/>
  <c r="I265" i="38"/>
  <c r="H265" i="38"/>
  <c r="G265" i="38"/>
  <c r="F265" i="38"/>
  <c r="E265" i="38"/>
  <c r="D265" i="38"/>
  <c r="C265" i="38"/>
  <c r="B265" i="38"/>
  <c r="P264" i="38"/>
  <c r="N264" i="38"/>
  <c r="L264" i="38"/>
  <c r="K264" i="38"/>
  <c r="J264" i="38"/>
  <c r="I264" i="38"/>
  <c r="H264" i="38"/>
  <c r="G264" i="38"/>
  <c r="F264" i="38"/>
  <c r="E264" i="38"/>
  <c r="D264" i="38"/>
  <c r="C264" i="38"/>
  <c r="B264" i="38"/>
  <c r="P263" i="38"/>
  <c r="N263" i="38"/>
  <c r="L263" i="38"/>
  <c r="K263" i="38"/>
  <c r="J263" i="38"/>
  <c r="I263" i="38"/>
  <c r="H263" i="38"/>
  <c r="G263" i="38"/>
  <c r="F263" i="38"/>
  <c r="E263" i="38"/>
  <c r="D263" i="38"/>
  <c r="C263" i="38"/>
  <c r="B263" i="38"/>
  <c r="P262" i="38"/>
  <c r="N262" i="38"/>
  <c r="L262" i="38"/>
  <c r="K262" i="38"/>
  <c r="J262" i="38"/>
  <c r="I262" i="38"/>
  <c r="H262" i="38"/>
  <c r="G262" i="38"/>
  <c r="F262" i="38"/>
  <c r="E262" i="38"/>
  <c r="D262" i="38"/>
  <c r="C262" i="38"/>
  <c r="B262" i="38"/>
  <c r="P261" i="38"/>
  <c r="N261" i="38"/>
  <c r="L261" i="38"/>
  <c r="K261" i="38"/>
  <c r="J261" i="38"/>
  <c r="I261" i="38"/>
  <c r="H261" i="38"/>
  <c r="G261" i="38"/>
  <c r="F261" i="38"/>
  <c r="E261" i="38"/>
  <c r="D261" i="38"/>
  <c r="C261" i="38"/>
  <c r="B261" i="38"/>
  <c r="P260" i="38"/>
  <c r="N260" i="38"/>
  <c r="L260" i="38"/>
  <c r="K260" i="38"/>
  <c r="J260" i="38"/>
  <c r="I260" i="38"/>
  <c r="H260" i="38"/>
  <c r="G260" i="38"/>
  <c r="F260" i="38"/>
  <c r="E260" i="38"/>
  <c r="D260" i="38"/>
  <c r="C260" i="38"/>
  <c r="B260" i="38"/>
  <c r="P259" i="38"/>
  <c r="N259" i="38"/>
  <c r="L259" i="38"/>
  <c r="K259" i="38"/>
  <c r="J259" i="38"/>
  <c r="I259" i="38"/>
  <c r="H259" i="38"/>
  <c r="G259" i="38"/>
  <c r="F259" i="38"/>
  <c r="E259" i="38"/>
  <c r="D259" i="38"/>
  <c r="C259" i="38"/>
  <c r="B259" i="38"/>
  <c r="P258" i="38"/>
  <c r="N258" i="38"/>
  <c r="L258" i="38"/>
  <c r="K258" i="38"/>
  <c r="J258" i="38"/>
  <c r="I258" i="38"/>
  <c r="H258" i="38"/>
  <c r="G258" i="38"/>
  <c r="F258" i="38"/>
  <c r="E258" i="38"/>
  <c r="D258" i="38"/>
  <c r="C258" i="38"/>
  <c r="B258" i="38"/>
  <c r="P257" i="38"/>
  <c r="N257" i="38"/>
  <c r="L257" i="38"/>
  <c r="K257" i="38"/>
  <c r="J257" i="38"/>
  <c r="I257" i="38"/>
  <c r="H257" i="38"/>
  <c r="G257" i="38"/>
  <c r="F257" i="38"/>
  <c r="E257" i="38"/>
  <c r="D257" i="38"/>
  <c r="C257" i="38"/>
  <c r="B257" i="38"/>
  <c r="P256" i="38"/>
  <c r="N256" i="38"/>
  <c r="L256" i="38"/>
  <c r="K256" i="38"/>
  <c r="J256" i="38"/>
  <c r="I256" i="38"/>
  <c r="H256" i="38"/>
  <c r="G256" i="38"/>
  <c r="F256" i="38"/>
  <c r="E256" i="38"/>
  <c r="D256" i="38"/>
  <c r="C256" i="38"/>
  <c r="B256" i="38"/>
  <c r="P255" i="38"/>
  <c r="N255" i="38"/>
  <c r="L255" i="38"/>
  <c r="K255" i="38"/>
  <c r="J255" i="38"/>
  <c r="I255" i="38"/>
  <c r="H255" i="38"/>
  <c r="G255" i="38"/>
  <c r="F255" i="38"/>
  <c r="E255" i="38"/>
  <c r="D255" i="38"/>
  <c r="C255" i="38"/>
  <c r="B255" i="38"/>
  <c r="P254" i="38"/>
  <c r="N254" i="38"/>
  <c r="L254" i="38"/>
  <c r="K254" i="38"/>
  <c r="J254" i="38"/>
  <c r="I254" i="38"/>
  <c r="H254" i="38"/>
  <c r="G254" i="38"/>
  <c r="F254" i="38"/>
  <c r="E254" i="38"/>
  <c r="D254" i="38"/>
  <c r="C254" i="38"/>
  <c r="B254" i="38"/>
  <c r="P253" i="38"/>
  <c r="N253" i="38"/>
  <c r="L253" i="38"/>
  <c r="K253" i="38"/>
  <c r="J253" i="38"/>
  <c r="I253" i="38"/>
  <c r="H253" i="38"/>
  <c r="G253" i="38"/>
  <c r="F253" i="38"/>
  <c r="E253" i="38"/>
  <c r="D253" i="38"/>
  <c r="C253" i="38"/>
  <c r="B253" i="38"/>
  <c r="P252" i="38"/>
  <c r="N252" i="38"/>
  <c r="L252" i="38"/>
  <c r="K252" i="38"/>
  <c r="J252" i="38"/>
  <c r="I252" i="38"/>
  <c r="H252" i="38"/>
  <c r="G252" i="38"/>
  <c r="F252" i="38"/>
  <c r="E252" i="38"/>
  <c r="D252" i="38"/>
  <c r="C252" i="38"/>
  <c r="B252" i="38"/>
  <c r="P251" i="38"/>
  <c r="N251" i="38"/>
  <c r="L251" i="38"/>
  <c r="K251" i="38"/>
  <c r="J251" i="38"/>
  <c r="I251" i="38"/>
  <c r="H251" i="38"/>
  <c r="G251" i="38"/>
  <c r="F251" i="38"/>
  <c r="E251" i="38"/>
  <c r="D251" i="38"/>
  <c r="C251" i="38"/>
  <c r="B251" i="38"/>
  <c r="P250" i="38"/>
  <c r="N250" i="38"/>
  <c r="L250" i="38"/>
  <c r="K250" i="38"/>
  <c r="J250" i="38"/>
  <c r="I250" i="38"/>
  <c r="H250" i="38"/>
  <c r="G250" i="38"/>
  <c r="F250" i="38"/>
  <c r="E250" i="38"/>
  <c r="D250" i="38"/>
  <c r="C250" i="38"/>
  <c r="B250" i="38"/>
  <c r="P249" i="38"/>
  <c r="N249" i="38"/>
  <c r="L249" i="38"/>
  <c r="K249" i="38"/>
  <c r="J249" i="38"/>
  <c r="I249" i="38"/>
  <c r="H249" i="38"/>
  <c r="G249" i="38"/>
  <c r="F249" i="38"/>
  <c r="E249" i="38"/>
  <c r="D249" i="38"/>
  <c r="C249" i="38"/>
  <c r="B249" i="38"/>
  <c r="P248" i="38"/>
  <c r="N248" i="38"/>
  <c r="L248" i="38"/>
  <c r="K248" i="38"/>
  <c r="J248" i="38"/>
  <c r="I248" i="38"/>
  <c r="H248" i="38"/>
  <c r="G248" i="38"/>
  <c r="F248" i="38"/>
  <c r="E248" i="38"/>
  <c r="D248" i="38"/>
  <c r="C248" i="38"/>
  <c r="B248" i="38"/>
  <c r="P247" i="38"/>
  <c r="N247" i="38"/>
  <c r="L247" i="38"/>
  <c r="K247" i="38"/>
  <c r="J247" i="38"/>
  <c r="I247" i="38"/>
  <c r="H247" i="38"/>
  <c r="G247" i="38"/>
  <c r="F247" i="38"/>
  <c r="E247" i="38"/>
  <c r="D247" i="38"/>
  <c r="C247" i="38"/>
  <c r="B247" i="38"/>
  <c r="P246" i="38"/>
  <c r="N246" i="38"/>
  <c r="L246" i="38"/>
  <c r="K246" i="38"/>
  <c r="J246" i="38"/>
  <c r="I246" i="38"/>
  <c r="H246" i="38"/>
  <c r="G246" i="38"/>
  <c r="F246" i="38"/>
  <c r="E246" i="38"/>
  <c r="D246" i="38"/>
  <c r="C246" i="38"/>
  <c r="B246" i="38"/>
  <c r="P245" i="38"/>
  <c r="N245" i="38"/>
  <c r="L245" i="38"/>
  <c r="K245" i="38"/>
  <c r="J245" i="38"/>
  <c r="I245" i="38"/>
  <c r="H245" i="38"/>
  <c r="G245" i="38"/>
  <c r="F245" i="38"/>
  <c r="E245" i="38"/>
  <c r="D245" i="38"/>
  <c r="C245" i="38"/>
  <c r="B245" i="38"/>
  <c r="P244" i="38"/>
  <c r="N244" i="38"/>
  <c r="L244" i="38"/>
  <c r="K244" i="38"/>
  <c r="J244" i="38"/>
  <c r="I244" i="38"/>
  <c r="H244" i="38"/>
  <c r="G244" i="38"/>
  <c r="F244" i="38"/>
  <c r="E244" i="38"/>
  <c r="D244" i="38"/>
  <c r="C244" i="38"/>
  <c r="B244" i="38"/>
  <c r="P243" i="38"/>
  <c r="N243" i="38"/>
  <c r="L243" i="38"/>
  <c r="K243" i="38"/>
  <c r="J243" i="38"/>
  <c r="I243" i="38"/>
  <c r="H243" i="38"/>
  <c r="G243" i="38"/>
  <c r="F243" i="38"/>
  <c r="E243" i="38"/>
  <c r="D243" i="38"/>
  <c r="C243" i="38"/>
  <c r="B243" i="38"/>
  <c r="P242" i="38"/>
  <c r="N242" i="38"/>
  <c r="L242" i="38"/>
  <c r="K242" i="38"/>
  <c r="J242" i="38"/>
  <c r="I242" i="38"/>
  <c r="H242" i="38"/>
  <c r="G242" i="38"/>
  <c r="F242" i="38"/>
  <c r="E242" i="38"/>
  <c r="D242" i="38"/>
  <c r="C242" i="38"/>
  <c r="B242" i="38"/>
  <c r="A242" i="38"/>
  <c r="R241" i="38"/>
  <c r="E12" i="87" s="1"/>
  <c r="C241" i="38"/>
  <c r="A241" i="38"/>
  <c r="P240" i="38"/>
  <c r="N240" i="38"/>
  <c r="L240" i="38"/>
  <c r="K240" i="38"/>
  <c r="J240" i="38"/>
  <c r="I240" i="38"/>
  <c r="H240" i="38"/>
  <c r="G240" i="38"/>
  <c r="F240" i="38"/>
  <c r="E240" i="38"/>
  <c r="D240" i="38"/>
  <c r="C240" i="38"/>
  <c r="B240" i="38"/>
  <c r="A240" i="38"/>
  <c r="P239" i="38"/>
  <c r="N239" i="38"/>
  <c r="L239" i="38"/>
  <c r="K239" i="38"/>
  <c r="J239" i="38"/>
  <c r="I239" i="38"/>
  <c r="H239" i="38"/>
  <c r="G239" i="38"/>
  <c r="F239" i="38"/>
  <c r="E239" i="38"/>
  <c r="D239" i="38"/>
  <c r="C239" i="38"/>
  <c r="B239" i="38"/>
  <c r="A239" i="38"/>
  <c r="P238" i="38"/>
  <c r="N238" i="38"/>
  <c r="L238" i="38"/>
  <c r="K238" i="38"/>
  <c r="J238" i="38"/>
  <c r="I238" i="38"/>
  <c r="H238" i="38"/>
  <c r="G238" i="38"/>
  <c r="F238" i="38"/>
  <c r="E238" i="38"/>
  <c r="D238" i="38"/>
  <c r="C238" i="38"/>
  <c r="B238" i="38"/>
  <c r="A238" i="38"/>
  <c r="P237" i="38"/>
  <c r="N237" i="38"/>
  <c r="L237" i="38"/>
  <c r="K237" i="38"/>
  <c r="J237" i="38"/>
  <c r="I237" i="38"/>
  <c r="H237" i="38"/>
  <c r="G237" i="38"/>
  <c r="F237" i="38"/>
  <c r="E237" i="38"/>
  <c r="D237" i="38"/>
  <c r="C237" i="38"/>
  <c r="B237" i="38"/>
  <c r="A237" i="38"/>
  <c r="R236" i="38"/>
  <c r="E11" i="87" s="1"/>
  <c r="K11" i="87" s="1"/>
  <c r="AL11" i="87" s="1"/>
  <c r="C236" i="38"/>
  <c r="A236" i="38"/>
  <c r="P235" i="38"/>
  <c r="N235" i="38"/>
  <c r="L235" i="38"/>
  <c r="K235" i="38"/>
  <c r="J235" i="38"/>
  <c r="I235" i="38"/>
  <c r="H235" i="38"/>
  <c r="G235" i="38"/>
  <c r="F235" i="38"/>
  <c r="E235" i="38"/>
  <c r="D235" i="38"/>
  <c r="C235" i="38"/>
  <c r="B235" i="38"/>
  <c r="A235" i="38"/>
  <c r="R234" i="38"/>
  <c r="E10" i="87" s="1"/>
  <c r="C234" i="38"/>
  <c r="A234" i="38"/>
  <c r="P233" i="38"/>
  <c r="N233" i="38"/>
  <c r="L233" i="38"/>
  <c r="K233" i="38"/>
  <c r="J233" i="38"/>
  <c r="I233" i="38"/>
  <c r="H233" i="38"/>
  <c r="G233" i="38"/>
  <c r="F233" i="38"/>
  <c r="E233" i="38"/>
  <c r="D233" i="38"/>
  <c r="C233" i="38"/>
  <c r="B233" i="38"/>
  <c r="P232" i="38"/>
  <c r="N232" i="38"/>
  <c r="L232" i="38"/>
  <c r="K232" i="38"/>
  <c r="J232" i="38"/>
  <c r="I232" i="38"/>
  <c r="H232" i="38"/>
  <c r="G232" i="38"/>
  <c r="F232" i="38"/>
  <c r="E232" i="38"/>
  <c r="D232" i="38"/>
  <c r="C232" i="38"/>
  <c r="B232" i="38"/>
  <c r="A232" i="38"/>
  <c r="P231" i="38"/>
  <c r="N231" i="38"/>
  <c r="L231" i="38"/>
  <c r="K231" i="38"/>
  <c r="J231" i="38"/>
  <c r="I231" i="38"/>
  <c r="H231" i="38"/>
  <c r="G231" i="38"/>
  <c r="F231" i="38"/>
  <c r="E231" i="38"/>
  <c r="D231" i="38"/>
  <c r="C231" i="38"/>
  <c r="B231" i="38"/>
  <c r="A231" i="38"/>
  <c r="P230" i="38"/>
  <c r="N230" i="38"/>
  <c r="K230" i="38"/>
  <c r="J230" i="38"/>
  <c r="I230" i="38"/>
  <c r="H230" i="38"/>
  <c r="G230" i="38"/>
  <c r="F230" i="38"/>
  <c r="E230" i="38"/>
  <c r="D230" i="38"/>
  <c r="C230" i="38"/>
  <c r="B230" i="38"/>
  <c r="P229" i="38"/>
  <c r="N229" i="38"/>
  <c r="L229" i="38"/>
  <c r="K229" i="38"/>
  <c r="J229" i="38"/>
  <c r="I229" i="38"/>
  <c r="H229" i="38"/>
  <c r="G229" i="38"/>
  <c r="F229" i="38"/>
  <c r="E229" i="38"/>
  <c r="D229" i="38"/>
  <c r="C229" i="38"/>
  <c r="B229" i="38"/>
  <c r="P228" i="38"/>
  <c r="N228" i="38"/>
  <c r="L228" i="38"/>
  <c r="K228" i="38"/>
  <c r="J228" i="38"/>
  <c r="I228" i="38"/>
  <c r="H228" i="38"/>
  <c r="G228" i="38"/>
  <c r="F228" i="38"/>
  <c r="E228" i="38"/>
  <c r="D228" i="38"/>
  <c r="C228" i="38"/>
  <c r="B228" i="38"/>
  <c r="P227" i="38"/>
  <c r="N227" i="38"/>
  <c r="L227" i="38"/>
  <c r="K227" i="38"/>
  <c r="J227" i="38"/>
  <c r="I227" i="38"/>
  <c r="H227" i="38"/>
  <c r="G227" i="38"/>
  <c r="F227" i="38"/>
  <c r="E227" i="38"/>
  <c r="D227" i="38"/>
  <c r="C227" i="38"/>
  <c r="B227" i="38"/>
  <c r="P226" i="38"/>
  <c r="N226" i="38"/>
  <c r="L226" i="38"/>
  <c r="K226" i="38"/>
  <c r="J226" i="38"/>
  <c r="I226" i="38"/>
  <c r="H226" i="38"/>
  <c r="G226" i="38"/>
  <c r="F226" i="38"/>
  <c r="E226" i="38"/>
  <c r="D226" i="38"/>
  <c r="C226" i="38"/>
  <c r="B226" i="38"/>
  <c r="P225" i="38"/>
  <c r="N225" i="38"/>
  <c r="L225" i="38"/>
  <c r="K225" i="38"/>
  <c r="J225" i="38"/>
  <c r="I225" i="38"/>
  <c r="H225" i="38"/>
  <c r="G225" i="38"/>
  <c r="F225" i="38"/>
  <c r="E225" i="38"/>
  <c r="D225" i="38"/>
  <c r="C225" i="38"/>
  <c r="B225" i="38"/>
  <c r="A225" i="38"/>
  <c r="R224" i="38"/>
  <c r="E9" i="87" s="1"/>
  <c r="C224" i="38"/>
  <c r="A224" i="38"/>
  <c r="P223" i="38"/>
  <c r="N223" i="38"/>
  <c r="L223" i="38"/>
  <c r="K223" i="38"/>
  <c r="J223" i="38"/>
  <c r="I223" i="38"/>
  <c r="H223" i="38"/>
  <c r="G223" i="38"/>
  <c r="F223" i="38"/>
  <c r="E223" i="38"/>
  <c r="D223" i="38"/>
  <c r="C223" i="38"/>
  <c r="B223" i="38"/>
  <c r="A223" i="38"/>
  <c r="P222" i="38"/>
  <c r="N222" i="38"/>
  <c r="L222" i="38"/>
  <c r="K222" i="38"/>
  <c r="J222" i="38"/>
  <c r="I222" i="38"/>
  <c r="H222" i="38"/>
  <c r="G222" i="38"/>
  <c r="F222" i="38"/>
  <c r="E222" i="38"/>
  <c r="D222" i="38"/>
  <c r="C222" i="38"/>
  <c r="B222" i="38"/>
  <c r="P221" i="38"/>
  <c r="N221" i="38"/>
  <c r="L221" i="38"/>
  <c r="K221" i="38"/>
  <c r="J221" i="38"/>
  <c r="I221" i="38"/>
  <c r="H221" i="38"/>
  <c r="G221" i="38"/>
  <c r="F221" i="38"/>
  <c r="E221" i="38"/>
  <c r="D221" i="38"/>
  <c r="C221" i="38"/>
  <c r="B221" i="38"/>
  <c r="P220" i="38"/>
  <c r="N220" i="38"/>
  <c r="L220" i="38"/>
  <c r="K220" i="38"/>
  <c r="J220" i="38"/>
  <c r="I220" i="38"/>
  <c r="H220" i="38"/>
  <c r="G220" i="38"/>
  <c r="F220" i="38"/>
  <c r="E220" i="38"/>
  <c r="D220" i="38"/>
  <c r="C220" i="38"/>
  <c r="B220" i="38"/>
  <c r="P219" i="38"/>
  <c r="N219" i="38"/>
  <c r="L219" i="38"/>
  <c r="K219" i="38"/>
  <c r="J219" i="38"/>
  <c r="I219" i="38"/>
  <c r="H219" i="38"/>
  <c r="G219" i="38"/>
  <c r="F219" i="38"/>
  <c r="E219" i="38"/>
  <c r="D219" i="38"/>
  <c r="C219" i="38"/>
  <c r="B219" i="38"/>
  <c r="P218" i="38"/>
  <c r="N218" i="38"/>
  <c r="L218" i="38"/>
  <c r="K218" i="38"/>
  <c r="J218" i="38"/>
  <c r="I218" i="38"/>
  <c r="H218" i="38"/>
  <c r="G218" i="38"/>
  <c r="F218" i="38"/>
  <c r="E218" i="38"/>
  <c r="D218" i="38"/>
  <c r="C218" i="38"/>
  <c r="B218" i="38"/>
  <c r="P217" i="38"/>
  <c r="N217" i="38"/>
  <c r="L217" i="38"/>
  <c r="K217" i="38"/>
  <c r="J217" i="38"/>
  <c r="I217" i="38"/>
  <c r="H217" i="38"/>
  <c r="G217" i="38"/>
  <c r="F217" i="38"/>
  <c r="E217" i="38"/>
  <c r="D217" i="38"/>
  <c r="C217" i="38"/>
  <c r="B217" i="38"/>
  <c r="P216" i="38"/>
  <c r="N216" i="38"/>
  <c r="L216" i="38"/>
  <c r="K216" i="38"/>
  <c r="J216" i="38"/>
  <c r="I216" i="38"/>
  <c r="H216" i="38"/>
  <c r="G216" i="38"/>
  <c r="F216" i="38"/>
  <c r="E216" i="38"/>
  <c r="D216" i="38"/>
  <c r="C216" i="38"/>
  <c r="B216" i="38"/>
  <c r="P215" i="38"/>
  <c r="N215" i="38"/>
  <c r="L215" i="38"/>
  <c r="K215" i="38"/>
  <c r="J215" i="38"/>
  <c r="I215" i="38"/>
  <c r="H215" i="38"/>
  <c r="G215" i="38"/>
  <c r="F215" i="38"/>
  <c r="E215" i="38"/>
  <c r="D215" i="38"/>
  <c r="C215" i="38"/>
  <c r="B215" i="38"/>
  <c r="P214" i="38"/>
  <c r="N214" i="38"/>
  <c r="L214" i="38"/>
  <c r="K214" i="38"/>
  <c r="J214" i="38"/>
  <c r="I214" i="38"/>
  <c r="H214" i="38"/>
  <c r="G214" i="38"/>
  <c r="F214" i="38"/>
  <c r="E214" i="38"/>
  <c r="D214" i="38"/>
  <c r="C214" i="38"/>
  <c r="B214" i="38"/>
  <c r="A214" i="38"/>
  <c r="R213" i="38"/>
  <c r="E6" i="87" s="1"/>
  <c r="C213" i="38"/>
  <c r="A213" i="38"/>
  <c r="P212" i="38"/>
  <c r="N212" i="38"/>
  <c r="L212" i="38"/>
  <c r="K212" i="38"/>
  <c r="J212" i="38"/>
  <c r="I212" i="38"/>
  <c r="H212" i="38"/>
  <c r="G212" i="38"/>
  <c r="F212" i="38"/>
  <c r="E212" i="38"/>
  <c r="D212" i="38"/>
  <c r="C212" i="38"/>
  <c r="B212" i="38"/>
  <c r="A212" i="38"/>
  <c r="R211" i="38"/>
  <c r="E5" i="87" s="1"/>
  <c r="C211" i="38"/>
  <c r="A211" i="38"/>
  <c r="P210" i="38"/>
  <c r="N210" i="38"/>
  <c r="L210" i="38"/>
  <c r="K210" i="38"/>
  <c r="J210" i="38"/>
  <c r="I210" i="38"/>
  <c r="H210" i="38"/>
  <c r="G210" i="38"/>
  <c r="F210" i="38"/>
  <c r="E210" i="38"/>
  <c r="D210" i="38"/>
  <c r="C210" i="38"/>
  <c r="B210" i="38"/>
  <c r="A210" i="38"/>
  <c r="P209" i="38"/>
  <c r="N209" i="38"/>
  <c r="L209" i="38"/>
  <c r="K209" i="38"/>
  <c r="J209" i="38"/>
  <c r="I209" i="38"/>
  <c r="H209" i="38"/>
  <c r="G209" i="38"/>
  <c r="F209" i="38"/>
  <c r="E209" i="38"/>
  <c r="D209" i="38"/>
  <c r="C209" i="38"/>
  <c r="B209" i="38"/>
  <c r="A209" i="38"/>
  <c r="P208" i="38"/>
  <c r="N208" i="38"/>
  <c r="L208" i="38"/>
  <c r="K208" i="38"/>
  <c r="J208" i="38"/>
  <c r="I208" i="38"/>
  <c r="H208" i="38"/>
  <c r="G208" i="38"/>
  <c r="F208" i="38"/>
  <c r="E208" i="38"/>
  <c r="D208" i="38"/>
  <c r="C208" i="38"/>
  <c r="B208" i="38"/>
  <c r="A208" i="38"/>
  <c r="P207" i="38"/>
  <c r="N207" i="38"/>
  <c r="L207" i="38"/>
  <c r="K207" i="38"/>
  <c r="J207" i="38"/>
  <c r="I207" i="38"/>
  <c r="H207" i="38"/>
  <c r="G207" i="38"/>
  <c r="F207" i="38"/>
  <c r="E207" i="38"/>
  <c r="D207" i="38"/>
  <c r="C207" i="38"/>
  <c r="B207" i="38"/>
  <c r="A207" i="38"/>
  <c r="P206" i="38"/>
  <c r="N206" i="38"/>
  <c r="L206" i="38"/>
  <c r="K206" i="38"/>
  <c r="J206" i="38"/>
  <c r="I206" i="38"/>
  <c r="H206" i="38"/>
  <c r="G206" i="38"/>
  <c r="F206" i="38"/>
  <c r="E206" i="38"/>
  <c r="D206" i="38"/>
  <c r="C206" i="38"/>
  <c r="B206" i="38"/>
  <c r="A206" i="38"/>
  <c r="P205" i="38"/>
  <c r="N205" i="38"/>
  <c r="L205" i="38"/>
  <c r="K205" i="38"/>
  <c r="J205" i="38"/>
  <c r="I205" i="38"/>
  <c r="H205" i="38"/>
  <c r="G205" i="38"/>
  <c r="F205" i="38"/>
  <c r="E205" i="38"/>
  <c r="D205" i="38"/>
  <c r="C205" i="38"/>
  <c r="B205" i="38"/>
  <c r="A205" i="38"/>
  <c r="P204" i="38"/>
  <c r="N204" i="38"/>
  <c r="L204" i="38"/>
  <c r="K204" i="38"/>
  <c r="J204" i="38"/>
  <c r="I204" i="38"/>
  <c r="H204" i="38"/>
  <c r="G204" i="38"/>
  <c r="F204" i="38"/>
  <c r="E204" i="38"/>
  <c r="D204" i="38"/>
  <c r="C204" i="38"/>
  <c r="B204" i="38"/>
  <c r="A204" i="38"/>
  <c r="P203" i="38"/>
  <c r="N203" i="38"/>
  <c r="L203" i="38"/>
  <c r="K203" i="38"/>
  <c r="J203" i="38"/>
  <c r="I203" i="38"/>
  <c r="H203" i="38"/>
  <c r="G203" i="38"/>
  <c r="F203" i="38"/>
  <c r="E203" i="38"/>
  <c r="D203" i="38"/>
  <c r="C203" i="38"/>
  <c r="B203" i="38"/>
  <c r="A203" i="38"/>
  <c r="P202" i="38"/>
  <c r="N202" i="38"/>
  <c r="L202" i="38"/>
  <c r="K202" i="38"/>
  <c r="J202" i="38"/>
  <c r="I202" i="38"/>
  <c r="H202" i="38"/>
  <c r="G202" i="38"/>
  <c r="F202" i="38"/>
  <c r="E202" i="38"/>
  <c r="D202" i="38"/>
  <c r="C202" i="38"/>
  <c r="B202" i="38"/>
  <c r="A202" i="38"/>
  <c r="P201" i="38"/>
  <c r="N201" i="38"/>
  <c r="L201" i="38"/>
  <c r="K201" i="38"/>
  <c r="J201" i="38"/>
  <c r="I201" i="38"/>
  <c r="H201" i="38"/>
  <c r="G201" i="38"/>
  <c r="F201" i="38"/>
  <c r="E201" i="38"/>
  <c r="D201" i="38"/>
  <c r="C201" i="38"/>
  <c r="B201" i="38"/>
  <c r="A201" i="38"/>
  <c r="P200" i="38"/>
  <c r="N200" i="38"/>
  <c r="L200" i="38"/>
  <c r="K200" i="38"/>
  <c r="J200" i="38"/>
  <c r="I200" i="38"/>
  <c r="H200" i="38"/>
  <c r="G200" i="38"/>
  <c r="F200" i="38"/>
  <c r="E200" i="38"/>
  <c r="D200" i="38"/>
  <c r="C200" i="38"/>
  <c r="B200" i="38"/>
  <c r="A200" i="38"/>
  <c r="P199" i="38"/>
  <c r="L199" i="38"/>
  <c r="K199" i="38"/>
  <c r="J199" i="38"/>
  <c r="I199" i="38"/>
  <c r="H199" i="38"/>
  <c r="G199" i="38"/>
  <c r="F199" i="38"/>
  <c r="E199" i="38"/>
  <c r="D199" i="38"/>
  <c r="C199" i="38"/>
  <c r="B199" i="38"/>
  <c r="A199" i="38"/>
  <c r="P198" i="38"/>
  <c r="L198" i="38"/>
  <c r="K198" i="38"/>
  <c r="J198" i="38"/>
  <c r="I198" i="38"/>
  <c r="H198" i="38"/>
  <c r="G198" i="38"/>
  <c r="F198" i="38"/>
  <c r="E198" i="38"/>
  <c r="D198" i="38"/>
  <c r="C198" i="38"/>
  <c r="B198" i="38"/>
  <c r="A198" i="38"/>
  <c r="C197" i="38"/>
  <c r="B197" i="38"/>
  <c r="A197" i="38"/>
  <c r="P195" i="38"/>
  <c r="N195" i="38"/>
  <c r="L195" i="38"/>
  <c r="K195" i="38"/>
  <c r="J195" i="38"/>
  <c r="I195" i="38"/>
  <c r="H195" i="38"/>
  <c r="G195" i="38"/>
  <c r="F195" i="38"/>
  <c r="E195" i="38"/>
  <c r="D195" i="38"/>
  <c r="C195" i="38"/>
  <c r="B195" i="38"/>
  <c r="P194" i="38"/>
  <c r="N194" i="38"/>
  <c r="L194" i="38"/>
  <c r="K194" i="38"/>
  <c r="J194" i="38"/>
  <c r="I194" i="38"/>
  <c r="H194" i="38"/>
  <c r="G194" i="38"/>
  <c r="F194" i="38"/>
  <c r="E194" i="38"/>
  <c r="D194" i="38"/>
  <c r="C194" i="38"/>
  <c r="B194" i="38"/>
  <c r="P193" i="38"/>
  <c r="L193" i="38"/>
  <c r="K193" i="38"/>
  <c r="J193" i="38"/>
  <c r="I193" i="38"/>
  <c r="H193" i="38"/>
  <c r="G193" i="38"/>
  <c r="F193" i="38"/>
  <c r="E193" i="38"/>
  <c r="D193" i="38"/>
  <c r="C193" i="38"/>
  <c r="B193" i="38"/>
  <c r="P192" i="38"/>
  <c r="N192" i="38"/>
  <c r="L192" i="38"/>
  <c r="K192" i="38"/>
  <c r="J192" i="38"/>
  <c r="I192" i="38"/>
  <c r="H192" i="38"/>
  <c r="G192" i="38"/>
  <c r="F192" i="38"/>
  <c r="E192" i="38"/>
  <c r="D192" i="38"/>
  <c r="C192" i="38"/>
  <c r="B192" i="38"/>
  <c r="P191" i="38"/>
  <c r="N191" i="38"/>
  <c r="L191" i="38"/>
  <c r="K191" i="38"/>
  <c r="J191" i="38"/>
  <c r="I191" i="38"/>
  <c r="H191" i="38"/>
  <c r="G191" i="38"/>
  <c r="F191" i="38"/>
  <c r="E191" i="38"/>
  <c r="D191" i="38"/>
  <c r="C191" i="38"/>
  <c r="B191" i="38"/>
  <c r="P190" i="38"/>
  <c r="N190" i="38"/>
  <c r="L190" i="38"/>
  <c r="K190" i="38"/>
  <c r="J190" i="38"/>
  <c r="I190" i="38"/>
  <c r="H190" i="38"/>
  <c r="G190" i="38"/>
  <c r="F190" i="38"/>
  <c r="E190" i="38"/>
  <c r="D190" i="38"/>
  <c r="C190" i="38"/>
  <c r="B190" i="38"/>
  <c r="P189" i="38"/>
  <c r="N189" i="38"/>
  <c r="L189" i="38"/>
  <c r="K189" i="38"/>
  <c r="J189" i="38"/>
  <c r="I189" i="38"/>
  <c r="H189" i="38"/>
  <c r="G189" i="38"/>
  <c r="F189" i="38"/>
  <c r="E189" i="38"/>
  <c r="D189" i="38"/>
  <c r="C189" i="38"/>
  <c r="B189" i="38"/>
  <c r="P188" i="38"/>
  <c r="N188" i="38"/>
  <c r="L188" i="38"/>
  <c r="K188" i="38"/>
  <c r="J188" i="38"/>
  <c r="I188" i="38"/>
  <c r="H188" i="38"/>
  <c r="G188" i="38"/>
  <c r="F188" i="38"/>
  <c r="E188" i="38"/>
  <c r="D188" i="38"/>
  <c r="C188" i="38"/>
  <c r="B188" i="38"/>
  <c r="P187" i="38"/>
  <c r="N187" i="38"/>
  <c r="L187" i="38"/>
  <c r="K187" i="38"/>
  <c r="J187" i="38"/>
  <c r="I187" i="38"/>
  <c r="H187" i="38"/>
  <c r="G187" i="38"/>
  <c r="F187" i="38"/>
  <c r="E187" i="38"/>
  <c r="D187" i="38"/>
  <c r="C187" i="38"/>
  <c r="B187" i="38"/>
  <c r="P186" i="38"/>
  <c r="N186" i="38"/>
  <c r="L186" i="38"/>
  <c r="K186" i="38"/>
  <c r="J186" i="38"/>
  <c r="I186" i="38"/>
  <c r="H186" i="38"/>
  <c r="G186" i="38"/>
  <c r="F186" i="38"/>
  <c r="E186" i="38"/>
  <c r="D186" i="38"/>
  <c r="C186" i="38"/>
  <c r="B186" i="38"/>
  <c r="P185" i="38"/>
  <c r="N185" i="38"/>
  <c r="L185" i="38"/>
  <c r="K185" i="38"/>
  <c r="J185" i="38"/>
  <c r="I185" i="38"/>
  <c r="H185" i="38"/>
  <c r="G185" i="38"/>
  <c r="F185" i="38"/>
  <c r="E185" i="38"/>
  <c r="D185" i="38"/>
  <c r="C185" i="38"/>
  <c r="B185" i="38"/>
  <c r="P184" i="38"/>
  <c r="N184" i="38"/>
  <c r="L184" i="38"/>
  <c r="K184" i="38"/>
  <c r="J184" i="38"/>
  <c r="I184" i="38"/>
  <c r="H184" i="38"/>
  <c r="G184" i="38"/>
  <c r="F184" i="38"/>
  <c r="E184" i="38"/>
  <c r="D184" i="38"/>
  <c r="C184" i="38"/>
  <c r="B184" i="38"/>
  <c r="P183" i="38"/>
  <c r="N183" i="38"/>
  <c r="L183" i="38"/>
  <c r="K183" i="38"/>
  <c r="J183" i="38"/>
  <c r="I183" i="38"/>
  <c r="H183" i="38"/>
  <c r="G183" i="38"/>
  <c r="F183" i="38"/>
  <c r="E183" i="38"/>
  <c r="D183" i="38"/>
  <c r="C183" i="38"/>
  <c r="B183" i="38"/>
  <c r="P182" i="38"/>
  <c r="N182" i="38"/>
  <c r="L182" i="38"/>
  <c r="K182" i="38"/>
  <c r="J182" i="38"/>
  <c r="I182" i="38"/>
  <c r="H182" i="38"/>
  <c r="G182" i="38"/>
  <c r="F182" i="38"/>
  <c r="E182" i="38"/>
  <c r="D182" i="38"/>
  <c r="C182" i="38"/>
  <c r="B182" i="38"/>
  <c r="P181" i="38"/>
  <c r="N181" i="38"/>
  <c r="L181" i="38"/>
  <c r="K181" i="38"/>
  <c r="J181" i="38"/>
  <c r="I181" i="38"/>
  <c r="H181" i="38"/>
  <c r="G181" i="38"/>
  <c r="F181" i="38"/>
  <c r="E181" i="38"/>
  <c r="D181" i="38"/>
  <c r="C181" i="38"/>
  <c r="B181" i="38"/>
  <c r="A181" i="38"/>
  <c r="R180" i="38"/>
  <c r="D15" i="87" s="1"/>
  <c r="C180" i="38"/>
  <c r="A180" i="38"/>
  <c r="P179" i="38"/>
  <c r="N179" i="38"/>
  <c r="L179" i="38"/>
  <c r="K179" i="38"/>
  <c r="J179" i="38"/>
  <c r="I179" i="38"/>
  <c r="H179" i="38"/>
  <c r="G179" i="38"/>
  <c r="F179" i="38"/>
  <c r="E179" i="38"/>
  <c r="D179" i="38"/>
  <c r="C179" i="38"/>
  <c r="B179" i="38"/>
  <c r="P178" i="38"/>
  <c r="N178" i="38"/>
  <c r="L178" i="38"/>
  <c r="K178" i="38"/>
  <c r="J178" i="38"/>
  <c r="I178" i="38"/>
  <c r="H178" i="38"/>
  <c r="G178" i="38"/>
  <c r="F178" i="38"/>
  <c r="E178" i="38"/>
  <c r="D178" i="38"/>
  <c r="C178" i="38"/>
  <c r="B178" i="38"/>
  <c r="P177" i="38"/>
  <c r="N177" i="38"/>
  <c r="L177" i="38"/>
  <c r="K177" i="38"/>
  <c r="J177" i="38"/>
  <c r="I177" i="38"/>
  <c r="H177" i="38"/>
  <c r="G177" i="38"/>
  <c r="F177" i="38"/>
  <c r="E177" i="38"/>
  <c r="D177" i="38"/>
  <c r="C177" i="38"/>
  <c r="B177" i="38"/>
  <c r="P176" i="38"/>
  <c r="N176" i="38"/>
  <c r="L176" i="38"/>
  <c r="K176" i="38"/>
  <c r="J176" i="38"/>
  <c r="I176" i="38"/>
  <c r="H176" i="38"/>
  <c r="G176" i="38"/>
  <c r="F176" i="38"/>
  <c r="E176" i="38"/>
  <c r="D176" i="38"/>
  <c r="C176" i="38"/>
  <c r="B176" i="38"/>
  <c r="A176" i="38"/>
  <c r="R175" i="38"/>
  <c r="D14" i="87" s="1"/>
  <c r="C175" i="38"/>
  <c r="A175" i="38"/>
  <c r="P174" i="38"/>
  <c r="N174" i="38"/>
  <c r="L174" i="38"/>
  <c r="K174" i="38"/>
  <c r="J174" i="38"/>
  <c r="I174" i="38"/>
  <c r="H174" i="38"/>
  <c r="G174" i="38"/>
  <c r="F174" i="38"/>
  <c r="E174" i="38"/>
  <c r="D174" i="38"/>
  <c r="C174" i="38"/>
  <c r="B174" i="38"/>
  <c r="A174" i="38"/>
  <c r="R173" i="38"/>
  <c r="D13" i="87" s="1"/>
  <c r="C173" i="38"/>
  <c r="A173" i="38"/>
  <c r="P172" i="38"/>
  <c r="N172" i="38"/>
  <c r="L172" i="38"/>
  <c r="K172" i="38"/>
  <c r="J172" i="38"/>
  <c r="I172" i="38"/>
  <c r="H172" i="38"/>
  <c r="G172" i="38"/>
  <c r="F172" i="38"/>
  <c r="E172" i="38"/>
  <c r="D172" i="38"/>
  <c r="C172" i="38"/>
  <c r="B172" i="38"/>
  <c r="P171" i="38"/>
  <c r="N171" i="38"/>
  <c r="L171" i="38"/>
  <c r="K171" i="38"/>
  <c r="J171" i="38"/>
  <c r="I171" i="38"/>
  <c r="H171" i="38"/>
  <c r="G171" i="38"/>
  <c r="F171" i="38"/>
  <c r="E171" i="38"/>
  <c r="D171" i="38"/>
  <c r="C171" i="38"/>
  <c r="B171" i="38"/>
  <c r="P170" i="38"/>
  <c r="N170" i="38"/>
  <c r="L170" i="38"/>
  <c r="K170" i="38"/>
  <c r="J170" i="38"/>
  <c r="I170" i="38"/>
  <c r="H170" i="38"/>
  <c r="G170" i="38"/>
  <c r="F170" i="38"/>
  <c r="E170" i="38"/>
  <c r="D170" i="38"/>
  <c r="C170" i="38"/>
  <c r="B170" i="38"/>
  <c r="P169" i="38"/>
  <c r="N169" i="38"/>
  <c r="L169" i="38"/>
  <c r="K169" i="38"/>
  <c r="J169" i="38"/>
  <c r="I169" i="38"/>
  <c r="H169" i="38"/>
  <c r="G169" i="38"/>
  <c r="F169" i="38"/>
  <c r="E169" i="38"/>
  <c r="D169" i="38"/>
  <c r="C169" i="38"/>
  <c r="B169" i="38"/>
  <c r="P168" i="38"/>
  <c r="N168" i="38"/>
  <c r="L168" i="38"/>
  <c r="K168" i="38"/>
  <c r="J168" i="38"/>
  <c r="I168" i="38"/>
  <c r="H168" i="38"/>
  <c r="G168" i="38"/>
  <c r="F168" i="38"/>
  <c r="E168" i="38"/>
  <c r="D168" i="38"/>
  <c r="C168" i="38"/>
  <c r="B168" i="38"/>
  <c r="P167" i="38"/>
  <c r="N167" i="38"/>
  <c r="L167" i="38"/>
  <c r="K167" i="38"/>
  <c r="J167" i="38"/>
  <c r="I167" i="38"/>
  <c r="H167" i="38"/>
  <c r="G167" i="38"/>
  <c r="F167" i="38"/>
  <c r="E167" i="38"/>
  <c r="D167" i="38"/>
  <c r="C167" i="38"/>
  <c r="B167" i="38"/>
  <c r="P166" i="38"/>
  <c r="N166" i="38"/>
  <c r="L166" i="38"/>
  <c r="K166" i="38"/>
  <c r="J166" i="38"/>
  <c r="I166" i="38"/>
  <c r="H166" i="38"/>
  <c r="G166" i="38"/>
  <c r="F166" i="38"/>
  <c r="E166" i="38"/>
  <c r="D166" i="38"/>
  <c r="C166" i="38"/>
  <c r="B166" i="38"/>
  <c r="P165" i="38"/>
  <c r="N165" i="38"/>
  <c r="L165" i="38"/>
  <c r="K165" i="38"/>
  <c r="J165" i="38"/>
  <c r="I165" i="38"/>
  <c r="H165" i="38"/>
  <c r="G165" i="38"/>
  <c r="F165" i="38"/>
  <c r="E165" i="38"/>
  <c r="D165" i="38"/>
  <c r="C165" i="38"/>
  <c r="B165" i="38"/>
  <c r="P164" i="38"/>
  <c r="N164" i="38"/>
  <c r="L164" i="38"/>
  <c r="K164" i="38"/>
  <c r="J164" i="38"/>
  <c r="I164" i="38"/>
  <c r="H164" i="38"/>
  <c r="G164" i="38"/>
  <c r="F164" i="38"/>
  <c r="E164" i="38"/>
  <c r="D164" i="38"/>
  <c r="C164" i="38"/>
  <c r="B164" i="38"/>
  <c r="P163" i="38"/>
  <c r="N163" i="38"/>
  <c r="L163" i="38"/>
  <c r="K163" i="38"/>
  <c r="J163" i="38"/>
  <c r="I163" i="38"/>
  <c r="H163" i="38"/>
  <c r="G163" i="38"/>
  <c r="F163" i="38"/>
  <c r="E163" i="38"/>
  <c r="D163" i="38"/>
  <c r="C163" i="38"/>
  <c r="B163" i="38"/>
  <c r="P162" i="38"/>
  <c r="N162" i="38"/>
  <c r="L162" i="38"/>
  <c r="K162" i="38"/>
  <c r="J162" i="38"/>
  <c r="I162" i="38"/>
  <c r="H162" i="38"/>
  <c r="G162" i="38"/>
  <c r="F162" i="38"/>
  <c r="E162" i="38"/>
  <c r="D162" i="38"/>
  <c r="C162" i="38"/>
  <c r="B162" i="38"/>
  <c r="P161" i="38"/>
  <c r="N161" i="38"/>
  <c r="L161" i="38"/>
  <c r="K161" i="38"/>
  <c r="J161" i="38"/>
  <c r="I161" i="38"/>
  <c r="H161" i="38"/>
  <c r="G161" i="38"/>
  <c r="F161" i="38"/>
  <c r="E161" i="38"/>
  <c r="D161" i="38"/>
  <c r="C161" i="38"/>
  <c r="B161" i="38"/>
  <c r="P160" i="38"/>
  <c r="N160" i="38"/>
  <c r="L160" i="38"/>
  <c r="K160" i="38"/>
  <c r="J160" i="38"/>
  <c r="I160" i="38"/>
  <c r="H160" i="38"/>
  <c r="G160" i="38"/>
  <c r="F160" i="38"/>
  <c r="E160" i="38"/>
  <c r="D160" i="38"/>
  <c r="C160" i="38"/>
  <c r="B160" i="38"/>
  <c r="P159" i="38"/>
  <c r="N159" i="38"/>
  <c r="L159" i="38"/>
  <c r="K159" i="38"/>
  <c r="J159" i="38"/>
  <c r="I159" i="38"/>
  <c r="H159" i="38"/>
  <c r="G159" i="38"/>
  <c r="F159" i="38"/>
  <c r="E159" i="38"/>
  <c r="D159" i="38"/>
  <c r="C159" i="38"/>
  <c r="B159" i="38"/>
  <c r="P158" i="38"/>
  <c r="N158" i="38"/>
  <c r="L158" i="38"/>
  <c r="K158" i="38"/>
  <c r="J158" i="38"/>
  <c r="I158" i="38"/>
  <c r="H158" i="38"/>
  <c r="G158" i="38"/>
  <c r="F158" i="38"/>
  <c r="E158" i="38"/>
  <c r="D158" i="38"/>
  <c r="C158" i="38"/>
  <c r="B158" i="38"/>
  <c r="P157" i="38"/>
  <c r="N157" i="38"/>
  <c r="L157" i="38"/>
  <c r="K157" i="38"/>
  <c r="J157" i="38"/>
  <c r="I157" i="38"/>
  <c r="H157" i="38"/>
  <c r="G157" i="38"/>
  <c r="F157" i="38"/>
  <c r="E157" i="38"/>
  <c r="D157" i="38"/>
  <c r="C157" i="38"/>
  <c r="B157" i="38"/>
  <c r="P156" i="38"/>
  <c r="N156" i="38"/>
  <c r="L156" i="38"/>
  <c r="K156" i="38"/>
  <c r="J156" i="38"/>
  <c r="I156" i="38"/>
  <c r="H156" i="38"/>
  <c r="G156" i="38"/>
  <c r="F156" i="38"/>
  <c r="E156" i="38"/>
  <c r="D156" i="38"/>
  <c r="C156" i="38"/>
  <c r="B156" i="38"/>
  <c r="P155" i="38"/>
  <c r="N155" i="38"/>
  <c r="L155" i="38"/>
  <c r="K155" i="38"/>
  <c r="J155" i="38"/>
  <c r="I155" i="38"/>
  <c r="H155" i="38"/>
  <c r="G155" i="38"/>
  <c r="F155" i="38"/>
  <c r="E155" i="38"/>
  <c r="D155" i="38"/>
  <c r="C155" i="38"/>
  <c r="B155" i="38"/>
  <c r="P154" i="38"/>
  <c r="N154" i="38"/>
  <c r="L154" i="38"/>
  <c r="K154" i="38"/>
  <c r="J154" i="38"/>
  <c r="I154" i="38"/>
  <c r="H154" i="38"/>
  <c r="G154" i="38"/>
  <c r="F154" i="38"/>
  <c r="E154" i="38"/>
  <c r="D154" i="38"/>
  <c r="C154" i="38"/>
  <c r="B154" i="38"/>
  <c r="P153" i="38"/>
  <c r="N153" i="38"/>
  <c r="L153" i="38"/>
  <c r="K153" i="38"/>
  <c r="J153" i="38"/>
  <c r="I153" i="38"/>
  <c r="H153" i="38"/>
  <c r="G153" i="38"/>
  <c r="F153" i="38"/>
  <c r="E153" i="38"/>
  <c r="D153" i="38"/>
  <c r="C153" i="38"/>
  <c r="B153" i="38"/>
  <c r="P152" i="38"/>
  <c r="N152" i="38"/>
  <c r="L152" i="38"/>
  <c r="K152" i="38"/>
  <c r="J152" i="38"/>
  <c r="I152" i="38"/>
  <c r="H152" i="38"/>
  <c r="G152" i="38"/>
  <c r="F152" i="38"/>
  <c r="E152" i="38"/>
  <c r="D152" i="38"/>
  <c r="C152" i="38"/>
  <c r="B152" i="38"/>
  <c r="P151" i="38"/>
  <c r="N151" i="38"/>
  <c r="L151" i="38"/>
  <c r="K151" i="38"/>
  <c r="J151" i="38"/>
  <c r="I151" i="38"/>
  <c r="H151" i="38"/>
  <c r="G151" i="38"/>
  <c r="F151" i="38"/>
  <c r="E151" i="38"/>
  <c r="D151" i="38"/>
  <c r="C151" i="38"/>
  <c r="B151" i="38"/>
  <c r="P150" i="38"/>
  <c r="N150" i="38"/>
  <c r="L150" i="38"/>
  <c r="K150" i="38"/>
  <c r="J150" i="38"/>
  <c r="I150" i="38"/>
  <c r="H150" i="38"/>
  <c r="G150" i="38"/>
  <c r="F150" i="38"/>
  <c r="E150" i="38"/>
  <c r="D150" i="38"/>
  <c r="C150" i="38"/>
  <c r="B150" i="38"/>
  <c r="P149" i="38"/>
  <c r="N149" i="38"/>
  <c r="L149" i="38"/>
  <c r="K149" i="38"/>
  <c r="J149" i="38"/>
  <c r="I149" i="38"/>
  <c r="H149" i="38"/>
  <c r="G149" i="38"/>
  <c r="F149" i="38"/>
  <c r="E149" i="38"/>
  <c r="D149" i="38"/>
  <c r="C149" i="38"/>
  <c r="B149" i="38"/>
  <c r="P148" i="38"/>
  <c r="N148" i="38"/>
  <c r="L148" i="38"/>
  <c r="K148" i="38"/>
  <c r="J148" i="38"/>
  <c r="I148" i="38"/>
  <c r="H148" i="38"/>
  <c r="G148" i="38"/>
  <c r="F148" i="38"/>
  <c r="E148" i="38"/>
  <c r="D148" i="38"/>
  <c r="C148" i="38"/>
  <c r="B148" i="38"/>
  <c r="P147" i="38"/>
  <c r="N147" i="38"/>
  <c r="L147" i="38"/>
  <c r="K147" i="38"/>
  <c r="J147" i="38"/>
  <c r="I147" i="38"/>
  <c r="H147" i="38"/>
  <c r="G147" i="38"/>
  <c r="F147" i="38"/>
  <c r="E147" i="38"/>
  <c r="D147" i="38"/>
  <c r="C147" i="38"/>
  <c r="B147" i="38"/>
  <c r="A147" i="38"/>
  <c r="R146" i="38"/>
  <c r="D12" i="87" s="1"/>
  <c r="C146" i="38"/>
  <c r="A146" i="38"/>
  <c r="P145" i="38"/>
  <c r="N145" i="38"/>
  <c r="L145" i="38"/>
  <c r="K145" i="38"/>
  <c r="J145" i="38"/>
  <c r="I145" i="38"/>
  <c r="H145" i="38"/>
  <c r="G145" i="38"/>
  <c r="F145" i="38"/>
  <c r="E145" i="38"/>
  <c r="D145" i="38"/>
  <c r="C145" i="38"/>
  <c r="B145" i="38"/>
  <c r="A145" i="38"/>
  <c r="R144" i="38"/>
  <c r="D10" i="87" s="1"/>
  <c r="C144" i="38"/>
  <c r="A144" i="38"/>
  <c r="P143" i="38"/>
  <c r="N143" i="38"/>
  <c r="L143" i="38"/>
  <c r="K143" i="38"/>
  <c r="J143" i="38"/>
  <c r="I143" i="38"/>
  <c r="H143" i="38"/>
  <c r="G143" i="38"/>
  <c r="F143" i="38"/>
  <c r="E143" i="38"/>
  <c r="D143" i="38"/>
  <c r="C143" i="38"/>
  <c r="B143" i="38"/>
  <c r="P142" i="38"/>
  <c r="N142" i="38"/>
  <c r="L142" i="38"/>
  <c r="K142" i="38"/>
  <c r="J142" i="38"/>
  <c r="I142" i="38"/>
  <c r="H142" i="38"/>
  <c r="G142" i="38"/>
  <c r="F142" i="38"/>
  <c r="E142" i="38"/>
  <c r="D142" i="38"/>
  <c r="C142" i="38"/>
  <c r="B142" i="38"/>
  <c r="P141" i="38"/>
  <c r="N141" i="38"/>
  <c r="L141" i="38"/>
  <c r="K141" i="38"/>
  <c r="J141" i="38"/>
  <c r="I141" i="38"/>
  <c r="H141" i="38"/>
  <c r="G141" i="38"/>
  <c r="F141" i="38"/>
  <c r="E141" i="38"/>
  <c r="D141" i="38"/>
  <c r="C141" i="38"/>
  <c r="B141" i="38"/>
  <c r="P140" i="38"/>
  <c r="N140" i="38"/>
  <c r="L140" i="38"/>
  <c r="K140" i="38"/>
  <c r="J140" i="38"/>
  <c r="I140" i="38"/>
  <c r="H140" i="38"/>
  <c r="G140" i="38"/>
  <c r="F140" i="38"/>
  <c r="E140" i="38"/>
  <c r="D140" i="38"/>
  <c r="C140" i="38"/>
  <c r="B140" i="38"/>
  <c r="P139" i="38"/>
  <c r="N139" i="38"/>
  <c r="L139" i="38"/>
  <c r="K139" i="38"/>
  <c r="J139" i="38"/>
  <c r="I139" i="38"/>
  <c r="H139" i="38"/>
  <c r="G139" i="38"/>
  <c r="F139" i="38"/>
  <c r="E139" i="38"/>
  <c r="D139" i="38"/>
  <c r="C139" i="38"/>
  <c r="B139" i="38"/>
  <c r="P138" i="38"/>
  <c r="L138" i="38"/>
  <c r="K138" i="38"/>
  <c r="J138" i="38"/>
  <c r="I138" i="38"/>
  <c r="H138" i="38"/>
  <c r="G138" i="38"/>
  <c r="F138" i="38"/>
  <c r="E138" i="38"/>
  <c r="D138" i="38"/>
  <c r="C138" i="38"/>
  <c r="B138" i="38"/>
  <c r="P137" i="38"/>
  <c r="L137" i="38"/>
  <c r="K137" i="38"/>
  <c r="J137" i="38"/>
  <c r="I137" i="38"/>
  <c r="H137" i="38"/>
  <c r="G137" i="38"/>
  <c r="F137" i="38"/>
  <c r="E137" i="38"/>
  <c r="D137" i="38"/>
  <c r="C137" i="38"/>
  <c r="B137" i="38"/>
  <c r="P136" i="38"/>
  <c r="L136" i="38"/>
  <c r="K136" i="38"/>
  <c r="J136" i="38"/>
  <c r="I136" i="38"/>
  <c r="H136" i="38"/>
  <c r="G136" i="38"/>
  <c r="F136" i="38"/>
  <c r="E136" i="38"/>
  <c r="D136" i="38"/>
  <c r="C136" i="38"/>
  <c r="B136" i="38"/>
  <c r="P135" i="38"/>
  <c r="L135" i="38"/>
  <c r="K135" i="38"/>
  <c r="J135" i="38"/>
  <c r="I135" i="38"/>
  <c r="H135" i="38"/>
  <c r="G135" i="38"/>
  <c r="F135" i="38"/>
  <c r="E135" i="38"/>
  <c r="D135" i="38"/>
  <c r="C135" i="38"/>
  <c r="B135" i="38"/>
  <c r="P134" i="38"/>
  <c r="N134" i="38"/>
  <c r="L134" i="38"/>
  <c r="K134" i="38"/>
  <c r="J134" i="38"/>
  <c r="I134" i="38"/>
  <c r="H134" i="38"/>
  <c r="G134" i="38"/>
  <c r="F134" i="38"/>
  <c r="E134" i="38"/>
  <c r="D134" i="38"/>
  <c r="C134" i="38"/>
  <c r="B134" i="38"/>
  <c r="P133" i="38"/>
  <c r="N133" i="38"/>
  <c r="L133" i="38"/>
  <c r="K133" i="38"/>
  <c r="J133" i="38"/>
  <c r="I133" i="38"/>
  <c r="H133" i="38"/>
  <c r="G133" i="38"/>
  <c r="F133" i="38"/>
  <c r="E133" i="38"/>
  <c r="D133" i="38"/>
  <c r="C133" i="38"/>
  <c r="B133" i="38"/>
  <c r="A133" i="38"/>
  <c r="P132" i="38"/>
  <c r="N132" i="38"/>
  <c r="L132" i="38"/>
  <c r="K132" i="38"/>
  <c r="J132" i="38"/>
  <c r="I132" i="38"/>
  <c r="H132" i="38"/>
  <c r="G132" i="38"/>
  <c r="F132" i="38"/>
  <c r="E132" i="38"/>
  <c r="D132" i="38"/>
  <c r="C132" i="38"/>
  <c r="B132" i="38"/>
  <c r="A132" i="38"/>
  <c r="P131" i="38"/>
  <c r="N131" i="38"/>
  <c r="L131" i="38"/>
  <c r="K131" i="38"/>
  <c r="J131" i="38"/>
  <c r="I131" i="38"/>
  <c r="H131" i="38"/>
  <c r="G131" i="38"/>
  <c r="F131" i="38"/>
  <c r="E131" i="38"/>
  <c r="D131" i="38"/>
  <c r="C131" i="38"/>
  <c r="B131" i="38"/>
  <c r="P130" i="38"/>
  <c r="N130" i="38"/>
  <c r="L130" i="38"/>
  <c r="K130" i="38"/>
  <c r="J130" i="38"/>
  <c r="I130" i="38"/>
  <c r="H130" i="38"/>
  <c r="G130" i="38"/>
  <c r="F130" i="38"/>
  <c r="E130" i="38"/>
  <c r="D130" i="38"/>
  <c r="C130" i="38"/>
  <c r="B130" i="38"/>
  <c r="P129" i="38"/>
  <c r="N129" i="38"/>
  <c r="L129" i="38"/>
  <c r="K129" i="38"/>
  <c r="J129" i="38"/>
  <c r="I129" i="38"/>
  <c r="H129" i="38"/>
  <c r="G129" i="38"/>
  <c r="F129" i="38"/>
  <c r="E129" i="38"/>
  <c r="D129" i="38"/>
  <c r="C129" i="38"/>
  <c r="B129" i="38"/>
  <c r="P128" i="38"/>
  <c r="N128" i="38"/>
  <c r="L128" i="38"/>
  <c r="K128" i="38"/>
  <c r="J128" i="38"/>
  <c r="I128" i="38"/>
  <c r="H128" i="38"/>
  <c r="G128" i="38"/>
  <c r="F128" i="38"/>
  <c r="E128" i="38"/>
  <c r="D128" i="38"/>
  <c r="C128" i="38"/>
  <c r="B128" i="38"/>
  <c r="P127" i="38"/>
  <c r="N127" i="38"/>
  <c r="L127" i="38"/>
  <c r="K127" i="38"/>
  <c r="J127" i="38"/>
  <c r="I127" i="38"/>
  <c r="H127" i="38"/>
  <c r="G127" i="38"/>
  <c r="F127" i="38"/>
  <c r="E127" i="38"/>
  <c r="D127" i="38"/>
  <c r="C127" i="38"/>
  <c r="B127" i="38"/>
  <c r="A127" i="38"/>
  <c r="R126" i="38"/>
  <c r="D9" i="87" s="1"/>
  <c r="C126" i="38"/>
  <c r="A126" i="38"/>
  <c r="P125" i="38"/>
  <c r="N125" i="38"/>
  <c r="L125" i="38"/>
  <c r="K125" i="38"/>
  <c r="J125" i="38"/>
  <c r="I125" i="38"/>
  <c r="H125" i="38"/>
  <c r="G125" i="38"/>
  <c r="F125" i="38"/>
  <c r="E125" i="38"/>
  <c r="D125" i="38"/>
  <c r="C125" i="38"/>
  <c r="B125" i="38"/>
  <c r="A125" i="38"/>
  <c r="P124" i="38"/>
  <c r="N124" i="38"/>
  <c r="L124" i="38"/>
  <c r="K124" i="38"/>
  <c r="J124" i="38"/>
  <c r="I124" i="38"/>
  <c r="H124" i="38"/>
  <c r="G124" i="38"/>
  <c r="F124" i="38"/>
  <c r="E124" i="38"/>
  <c r="D124" i="38"/>
  <c r="C124" i="38"/>
  <c r="B124" i="38"/>
  <c r="A124" i="38"/>
  <c r="P123" i="38"/>
  <c r="N123" i="38"/>
  <c r="L123" i="38"/>
  <c r="K123" i="38"/>
  <c r="J123" i="38"/>
  <c r="I123" i="38"/>
  <c r="H123" i="38"/>
  <c r="G123" i="38"/>
  <c r="F123" i="38"/>
  <c r="E123" i="38"/>
  <c r="D123" i="38"/>
  <c r="C123" i="38"/>
  <c r="B123" i="38"/>
  <c r="A123" i="38"/>
  <c r="P122" i="38"/>
  <c r="N122" i="38"/>
  <c r="L122" i="38"/>
  <c r="K122" i="38"/>
  <c r="J122" i="38"/>
  <c r="I122" i="38"/>
  <c r="H122" i="38"/>
  <c r="G122" i="38"/>
  <c r="F122" i="38"/>
  <c r="E122" i="38"/>
  <c r="D122" i="38"/>
  <c r="C122" i="38"/>
  <c r="B122" i="38"/>
  <c r="A122" i="38"/>
  <c r="R121" i="38"/>
  <c r="D8" i="87" s="1"/>
  <c r="C121" i="38"/>
  <c r="A121" i="38"/>
  <c r="P120" i="38"/>
  <c r="N120" i="38"/>
  <c r="K120" i="38"/>
  <c r="J120" i="38"/>
  <c r="I120" i="38"/>
  <c r="H120" i="38"/>
  <c r="G120" i="38"/>
  <c r="F120" i="38"/>
  <c r="E120" i="38"/>
  <c r="D120" i="38"/>
  <c r="C120" i="38"/>
  <c r="B120" i="38"/>
  <c r="P119" i="38"/>
  <c r="N119" i="38"/>
  <c r="L119" i="38"/>
  <c r="K119" i="38"/>
  <c r="J119" i="38"/>
  <c r="I119" i="38"/>
  <c r="H119" i="38"/>
  <c r="G119" i="38"/>
  <c r="F119" i="38"/>
  <c r="E119" i="38"/>
  <c r="D119" i="38"/>
  <c r="C119" i="38"/>
  <c r="B119" i="38"/>
  <c r="P118" i="38"/>
  <c r="N118" i="38"/>
  <c r="L118" i="38"/>
  <c r="K118" i="38"/>
  <c r="J118" i="38"/>
  <c r="I118" i="38"/>
  <c r="H118" i="38"/>
  <c r="G118" i="38"/>
  <c r="F118" i="38"/>
  <c r="E118" i="38"/>
  <c r="D118" i="38"/>
  <c r="C118" i="38"/>
  <c r="B118" i="38"/>
  <c r="P117" i="38"/>
  <c r="N117" i="38"/>
  <c r="L117" i="38"/>
  <c r="K117" i="38"/>
  <c r="J117" i="38"/>
  <c r="I117" i="38"/>
  <c r="H117" i="38"/>
  <c r="G117" i="38"/>
  <c r="F117" i="38"/>
  <c r="E117" i="38"/>
  <c r="D117" i="38"/>
  <c r="C117" i="38"/>
  <c r="B117" i="38"/>
  <c r="P116" i="38"/>
  <c r="N116" i="38"/>
  <c r="L116" i="38"/>
  <c r="K116" i="38"/>
  <c r="J116" i="38"/>
  <c r="I116" i="38"/>
  <c r="H116" i="38"/>
  <c r="G116" i="38"/>
  <c r="F116" i="38"/>
  <c r="E116" i="38"/>
  <c r="D116" i="38"/>
  <c r="C116" i="38"/>
  <c r="B116" i="38"/>
  <c r="P115" i="38"/>
  <c r="N115" i="38"/>
  <c r="K115" i="38"/>
  <c r="J115" i="38"/>
  <c r="I115" i="38"/>
  <c r="H115" i="38"/>
  <c r="G115" i="38"/>
  <c r="F115" i="38"/>
  <c r="E115" i="38"/>
  <c r="D115" i="38"/>
  <c r="C115" i="38"/>
  <c r="B115" i="38"/>
  <c r="P114" i="38"/>
  <c r="N114" i="38"/>
  <c r="K114" i="38"/>
  <c r="J114" i="38"/>
  <c r="I114" i="38"/>
  <c r="H114" i="38"/>
  <c r="G114" i="38"/>
  <c r="F114" i="38"/>
  <c r="E114" i="38"/>
  <c r="D114" i="38"/>
  <c r="C114" i="38"/>
  <c r="B114" i="38"/>
  <c r="A114" i="38"/>
  <c r="R113" i="38"/>
  <c r="D6" i="87" s="1"/>
  <c r="C113" i="38"/>
  <c r="A113" i="38"/>
  <c r="P112" i="38"/>
  <c r="N112" i="38"/>
  <c r="L112" i="38"/>
  <c r="K112" i="38"/>
  <c r="J112" i="38"/>
  <c r="I112" i="38"/>
  <c r="H112" i="38"/>
  <c r="G112" i="38"/>
  <c r="F112" i="38"/>
  <c r="E112" i="38"/>
  <c r="D112" i="38"/>
  <c r="C112" i="38"/>
  <c r="B112" i="38"/>
  <c r="A112" i="38"/>
  <c r="C111" i="38"/>
  <c r="B111" i="38"/>
  <c r="A111" i="38"/>
  <c r="P110" i="38"/>
  <c r="N110" i="38"/>
  <c r="L110" i="38"/>
  <c r="K110" i="38"/>
  <c r="J110" i="38"/>
  <c r="I110" i="38"/>
  <c r="H110" i="38"/>
  <c r="G110" i="38"/>
  <c r="F110" i="38"/>
  <c r="E110" i="38"/>
  <c r="D110" i="38"/>
  <c r="C110" i="38"/>
  <c r="B110" i="38"/>
  <c r="A110" i="38"/>
  <c r="P109" i="38"/>
  <c r="N109" i="38"/>
  <c r="L109" i="38"/>
  <c r="K109" i="38"/>
  <c r="J109" i="38"/>
  <c r="I109" i="38"/>
  <c r="H109" i="38"/>
  <c r="G109" i="38"/>
  <c r="F109" i="38"/>
  <c r="E109" i="38"/>
  <c r="D109" i="38"/>
  <c r="C109" i="38"/>
  <c r="B109" i="38"/>
  <c r="A109" i="38"/>
  <c r="P108" i="38"/>
  <c r="N108" i="38"/>
  <c r="L108" i="38"/>
  <c r="K108" i="38"/>
  <c r="J108" i="38"/>
  <c r="I108" i="38"/>
  <c r="H108" i="38"/>
  <c r="G108" i="38"/>
  <c r="F108" i="38"/>
  <c r="E108" i="38"/>
  <c r="D108" i="38"/>
  <c r="C108" i="38"/>
  <c r="B108" i="38"/>
  <c r="A108" i="38"/>
  <c r="P107" i="38"/>
  <c r="N107" i="38"/>
  <c r="L107" i="38"/>
  <c r="K107" i="38"/>
  <c r="J107" i="38"/>
  <c r="I107" i="38"/>
  <c r="H107" i="38"/>
  <c r="G107" i="38"/>
  <c r="F107" i="38"/>
  <c r="E107" i="38"/>
  <c r="D107" i="38"/>
  <c r="C107" i="38"/>
  <c r="B107" i="38"/>
  <c r="A107" i="38"/>
  <c r="P106" i="38"/>
  <c r="N106" i="38"/>
  <c r="L106" i="38"/>
  <c r="K106" i="38"/>
  <c r="J106" i="38"/>
  <c r="I106" i="38"/>
  <c r="H106" i="38"/>
  <c r="G106" i="38"/>
  <c r="F106" i="38"/>
  <c r="E106" i="38"/>
  <c r="D106" i="38"/>
  <c r="C106" i="38"/>
  <c r="B106" i="38"/>
  <c r="A106" i="38"/>
  <c r="P105" i="38"/>
  <c r="N105" i="38"/>
  <c r="L105" i="38"/>
  <c r="K105" i="38"/>
  <c r="J105" i="38"/>
  <c r="I105" i="38"/>
  <c r="H105" i="38"/>
  <c r="G105" i="38"/>
  <c r="F105" i="38"/>
  <c r="E105" i="38"/>
  <c r="D105" i="38"/>
  <c r="C105" i="38"/>
  <c r="B105" i="38"/>
  <c r="A105" i="38"/>
  <c r="P104" i="38"/>
  <c r="N104" i="38"/>
  <c r="L104" i="38"/>
  <c r="K104" i="38"/>
  <c r="J104" i="38"/>
  <c r="I104" i="38"/>
  <c r="H104" i="38"/>
  <c r="G104" i="38"/>
  <c r="F104" i="38"/>
  <c r="E104" i="38"/>
  <c r="D104" i="38"/>
  <c r="C104" i="38"/>
  <c r="B104" i="38"/>
  <c r="A104" i="38"/>
  <c r="P103" i="38"/>
  <c r="N103" i="38"/>
  <c r="L103" i="38"/>
  <c r="K103" i="38"/>
  <c r="J103" i="38"/>
  <c r="I103" i="38"/>
  <c r="H103" i="38"/>
  <c r="G103" i="38"/>
  <c r="F103" i="38"/>
  <c r="E103" i="38"/>
  <c r="D103" i="38"/>
  <c r="C103" i="38"/>
  <c r="B103" i="38"/>
  <c r="A103" i="38"/>
  <c r="R102" i="38"/>
  <c r="D4" i="87" s="1"/>
  <c r="C102" i="38"/>
  <c r="B102" i="38"/>
  <c r="A102" i="38"/>
  <c r="P100" i="38"/>
  <c r="N100" i="38"/>
  <c r="L100" i="38"/>
  <c r="K100" i="38"/>
  <c r="J100" i="38"/>
  <c r="I100" i="38"/>
  <c r="H100" i="38"/>
  <c r="G100" i="38"/>
  <c r="F100" i="38"/>
  <c r="E100" i="38"/>
  <c r="D100" i="38"/>
  <c r="C100" i="38"/>
  <c r="B100" i="38"/>
  <c r="P99" i="38"/>
  <c r="N99" i="38"/>
  <c r="L99" i="38"/>
  <c r="K99" i="38"/>
  <c r="J99" i="38"/>
  <c r="I99" i="38"/>
  <c r="H99" i="38"/>
  <c r="G99" i="38"/>
  <c r="F99" i="38"/>
  <c r="E99" i="38"/>
  <c r="D99" i="38"/>
  <c r="C99" i="38"/>
  <c r="B99" i="38"/>
  <c r="P98" i="38"/>
  <c r="N98" i="38"/>
  <c r="L98" i="38"/>
  <c r="K98" i="38"/>
  <c r="J98" i="38"/>
  <c r="I98" i="38"/>
  <c r="H98" i="38"/>
  <c r="G98" i="38"/>
  <c r="F98" i="38"/>
  <c r="E98" i="38"/>
  <c r="D98" i="38"/>
  <c r="C98" i="38"/>
  <c r="B98" i="38"/>
  <c r="P97" i="38"/>
  <c r="N97" i="38"/>
  <c r="L97" i="38"/>
  <c r="K97" i="38"/>
  <c r="J97" i="38"/>
  <c r="I97" i="38"/>
  <c r="H97" i="38"/>
  <c r="G97" i="38"/>
  <c r="F97" i="38"/>
  <c r="E97" i="38"/>
  <c r="D97" i="38"/>
  <c r="C97" i="38"/>
  <c r="B97" i="38"/>
  <c r="A97" i="38"/>
  <c r="R96" i="38"/>
  <c r="C15" i="87" s="1"/>
  <c r="K15" i="87" s="1"/>
  <c r="AL15" i="87" s="1"/>
  <c r="C96" i="38"/>
  <c r="A96" i="38"/>
  <c r="P95" i="38"/>
  <c r="N95" i="38"/>
  <c r="L95" i="38"/>
  <c r="K95" i="38"/>
  <c r="J95" i="38"/>
  <c r="I95" i="38"/>
  <c r="H95" i="38"/>
  <c r="G95" i="38"/>
  <c r="F95" i="38"/>
  <c r="E95" i="38"/>
  <c r="D95" i="38"/>
  <c r="C95" i="38"/>
  <c r="B95" i="38"/>
  <c r="P94" i="38"/>
  <c r="N94" i="38"/>
  <c r="L94" i="38"/>
  <c r="K94" i="38"/>
  <c r="J94" i="38"/>
  <c r="I94" i="38"/>
  <c r="H94" i="38"/>
  <c r="G94" i="38"/>
  <c r="F94" i="38"/>
  <c r="E94" i="38"/>
  <c r="D94" i="38"/>
  <c r="C94" i="38"/>
  <c r="B94" i="38"/>
  <c r="P93" i="38"/>
  <c r="N93" i="38"/>
  <c r="L93" i="38"/>
  <c r="K93" i="38"/>
  <c r="J93" i="38"/>
  <c r="I93" i="38"/>
  <c r="H93" i="38"/>
  <c r="G93" i="38"/>
  <c r="F93" i="38"/>
  <c r="E93" i="38"/>
  <c r="D93" i="38"/>
  <c r="C93" i="38"/>
  <c r="B93" i="38"/>
  <c r="A93" i="38"/>
  <c r="R92" i="38"/>
  <c r="C14" i="87" s="1"/>
  <c r="K14" i="87" s="1"/>
  <c r="C92" i="38"/>
  <c r="A92" i="38"/>
  <c r="P91" i="38"/>
  <c r="N91" i="38"/>
  <c r="L91" i="38"/>
  <c r="K91" i="38"/>
  <c r="J91" i="38"/>
  <c r="I91" i="38"/>
  <c r="H91" i="38"/>
  <c r="G91" i="38"/>
  <c r="F91" i="38"/>
  <c r="E91" i="38"/>
  <c r="D91" i="38"/>
  <c r="C91" i="38"/>
  <c r="B91" i="38"/>
  <c r="A91" i="38"/>
  <c r="R90" i="38"/>
  <c r="C13" i="87" s="1"/>
  <c r="C90" i="38"/>
  <c r="A90" i="38"/>
  <c r="P89" i="38"/>
  <c r="N89" i="38"/>
  <c r="L89" i="38"/>
  <c r="K89" i="38"/>
  <c r="J89" i="38"/>
  <c r="I89" i="38"/>
  <c r="H89" i="38"/>
  <c r="G89" i="38"/>
  <c r="F89" i="38"/>
  <c r="E89" i="38"/>
  <c r="D89" i="38"/>
  <c r="C89" i="38"/>
  <c r="B89" i="38"/>
  <c r="P88" i="38"/>
  <c r="N88" i="38"/>
  <c r="L88" i="38"/>
  <c r="K88" i="38"/>
  <c r="J88" i="38"/>
  <c r="I88" i="38"/>
  <c r="H88" i="38"/>
  <c r="G88" i="38"/>
  <c r="F88" i="38"/>
  <c r="E88" i="38"/>
  <c r="D88" i="38"/>
  <c r="C88" i="38"/>
  <c r="B88" i="38"/>
  <c r="P87" i="38"/>
  <c r="N87" i="38"/>
  <c r="L87" i="38"/>
  <c r="K87" i="38"/>
  <c r="J87" i="38"/>
  <c r="I87" i="38"/>
  <c r="H87" i="38"/>
  <c r="G87" i="38"/>
  <c r="F87" i="38"/>
  <c r="E87" i="38"/>
  <c r="D87" i="38"/>
  <c r="C87" i="38"/>
  <c r="B87" i="38"/>
  <c r="P86" i="38"/>
  <c r="N86" i="38"/>
  <c r="L86" i="38"/>
  <c r="K86" i="38"/>
  <c r="J86" i="38"/>
  <c r="I86" i="38"/>
  <c r="H86" i="38"/>
  <c r="G86" i="38"/>
  <c r="F86" i="38"/>
  <c r="E86" i="38"/>
  <c r="D86" i="38"/>
  <c r="C86" i="38"/>
  <c r="B86" i="38"/>
  <c r="P85" i="38"/>
  <c r="N85" i="38"/>
  <c r="L85" i="38"/>
  <c r="K85" i="38"/>
  <c r="J85" i="38"/>
  <c r="I85" i="38"/>
  <c r="H85" i="38"/>
  <c r="G85" i="38"/>
  <c r="F85" i="38"/>
  <c r="E85" i="38"/>
  <c r="D85" i="38"/>
  <c r="C85" i="38"/>
  <c r="B85" i="38"/>
  <c r="P84" i="38"/>
  <c r="N84" i="38"/>
  <c r="L84" i="38"/>
  <c r="K84" i="38"/>
  <c r="J84" i="38"/>
  <c r="I84" i="38"/>
  <c r="H84" i="38"/>
  <c r="G84" i="38"/>
  <c r="F84" i="38"/>
  <c r="E84" i="38"/>
  <c r="D84" i="38"/>
  <c r="C84" i="38"/>
  <c r="B84" i="38"/>
  <c r="P83" i="38"/>
  <c r="N83" i="38"/>
  <c r="L83" i="38"/>
  <c r="K83" i="38"/>
  <c r="J83" i="38"/>
  <c r="I83" i="38"/>
  <c r="H83" i="38"/>
  <c r="G83" i="38"/>
  <c r="F83" i="38"/>
  <c r="E83" i="38"/>
  <c r="D83" i="38"/>
  <c r="C83" i="38"/>
  <c r="B83" i="38"/>
  <c r="P82" i="38"/>
  <c r="N82" i="38"/>
  <c r="L82" i="38"/>
  <c r="K82" i="38"/>
  <c r="J82" i="38"/>
  <c r="I82" i="38"/>
  <c r="H82" i="38"/>
  <c r="G82" i="38"/>
  <c r="F82" i="38"/>
  <c r="E82" i="38"/>
  <c r="D82" i="38"/>
  <c r="C82" i="38"/>
  <c r="B82" i="38"/>
  <c r="P81" i="38"/>
  <c r="N81" i="38"/>
  <c r="L81" i="38"/>
  <c r="K81" i="38"/>
  <c r="J81" i="38"/>
  <c r="I81" i="38"/>
  <c r="H81" i="38"/>
  <c r="G81" i="38"/>
  <c r="F81" i="38"/>
  <c r="E81" i="38"/>
  <c r="D81" i="38"/>
  <c r="C81" i="38"/>
  <c r="B81" i="38"/>
  <c r="P80" i="38"/>
  <c r="N80" i="38"/>
  <c r="L80" i="38"/>
  <c r="K80" i="38"/>
  <c r="J80" i="38"/>
  <c r="I80" i="38"/>
  <c r="H80" i="38"/>
  <c r="G80" i="38"/>
  <c r="F80" i="38"/>
  <c r="E80" i="38"/>
  <c r="D80" i="38"/>
  <c r="C80" i="38"/>
  <c r="B80" i="38"/>
  <c r="P79" i="38"/>
  <c r="N79" i="38"/>
  <c r="L79" i="38"/>
  <c r="K79" i="38"/>
  <c r="J79" i="38"/>
  <c r="I79" i="38"/>
  <c r="H79" i="38"/>
  <c r="G79" i="38"/>
  <c r="F79" i="38"/>
  <c r="E79" i="38"/>
  <c r="D79" i="38"/>
  <c r="C79" i="38"/>
  <c r="B79" i="38"/>
  <c r="P78" i="38"/>
  <c r="N78" i="38"/>
  <c r="L78" i="38"/>
  <c r="K78" i="38"/>
  <c r="J78" i="38"/>
  <c r="I78" i="38"/>
  <c r="H78" i="38"/>
  <c r="G78" i="38"/>
  <c r="F78" i="38"/>
  <c r="E78" i="38"/>
  <c r="D78" i="38"/>
  <c r="C78" i="38"/>
  <c r="B78" i="38"/>
  <c r="P77" i="38"/>
  <c r="N77" i="38"/>
  <c r="L77" i="38"/>
  <c r="K77" i="38"/>
  <c r="J77" i="38"/>
  <c r="I77" i="38"/>
  <c r="H77" i="38"/>
  <c r="G77" i="38"/>
  <c r="F77" i="38"/>
  <c r="E77" i="38"/>
  <c r="D77" i="38"/>
  <c r="C77" i="38"/>
  <c r="B77" i="38"/>
  <c r="P76" i="38"/>
  <c r="N76" i="38"/>
  <c r="L76" i="38"/>
  <c r="K76" i="38"/>
  <c r="J76" i="38"/>
  <c r="I76" i="38"/>
  <c r="H76" i="38"/>
  <c r="G76" i="38"/>
  <c r="F76" i="38"/>
  <c r="E76" i="38"/>
  <c r="D76" i="38"/>
  <c r="C76" i="38"/>
  <c r="B76" i="38"/>
  <c r="P75" i="38"/>
  <c r="N75" i="38"/>
  <c r="L75" i="38"/>
  <c r="K75" i="38"/>
  <c r="J75" i="38"/>
  <c r="I75" i="38"/>
  <c r="H75" i="38"/>
  <c r="G75" i="38"/>
  <c r="F75" i="38"/>
  <c r="E75" i="38"/>
  <c r="D75" i="38"/>
  <c r="C75" i="38"/>
  <c r="B75" i="38"/>
  <c r="P74" i="38"/>
  <c r="N74" i="38"/>
  <c r="L74" i="38"/>
  <c r="K74" i="38"/>
  <c r="J74" i="38"/>
  <c r="I74" i="38"/>
  <c r="H74" i="38"/>
  <c r="G74" i="38"/>
  <c r="F74" i="38"/>
  <c r="E74" i="38"/>
  <c r="D74" i="38"/>
  <c r="C74" i="38"/>
  <c r="B74" i="38"/>
  <c r="P73" i="38"/>
  <c r="N73" i="38"/>
  <c r="L73" i="38"/>
  <c r="K73" i="38"/>
  <c r="J73" i="38"/>
  <c r="I73" i="38"/>
  <c r="H73" i="38"/>
  <c r="G73" i="38"/>
  <c r="F73" i="38"/>
  <c r="E73" i="38"/>
  <c r="D73" i="38"/>
  <c r="C73" i="38"/>
  <c r="B73" i="38"/>
  <c r="P72" i="38"/>
  <c r="N72" i="38"/>
  <c r="L72" i="38"/>
  <c r="K72" i="38"/>
  <c r="J72" i="38"/>
  <c r="I72" i="38"/>
  <c r="H72" i="38"/>
  <c r="G72" i="38"/>
  <c r="F72" i="38"/>
  <c r="E72" i="38"/>
  <c r="D72" i="38"/>
  <c r="C72" i="38"/>
  <c r="B72" i="38"/>
  <c r="P71" i="38"/>
  <c r="N71" i="38"/>
  <c r="L71" i="38"/>
  <c r="K71" i="38"/>
  <c r="J71" i="38"/>
  <c r="I71" i="38"/>
  <c r="H71" i="38"/>
  <c r="G71" i="38"/>
  <c r="F71" i="38"/>
  <c r="E71" i="38"/>
  <c r="D71" i="38"/>
  <c r="C71" i="38"/>
  <c r="B71" i="38"/>
  <c r="P70" i="38"/>
  <c r="N70" i="38"/>
  <c r="L70" i="38"/>
  <c r="K70" i="38"/>
  <c r="J70" i="38"/>
  <c r="I70" i="38"/>
  <c r="H70" i="38"/>
  <c r="G70" i="38"/>
  <c r="F70" i="38"/>
  <c r="E70" i="38"/>
  <c r="D70" i="38"/>
  <c r="C70" i="38"/>
  <c r="B70" i="38"/>
  <c r="P69" i="38"/>
  <c r="N69" i="38"/>
  <c r="L69" i="38"/>
  <c r="K69" i="38"/>
  <c r="J69" i="38"/>
  <c r="I69" i="38"/>
  <c r="H69" i="38"/>
  <c r="G69" i="38"/>
  <c r="F69" i="38"/>
  <c r="E69" i="38"/>
  <c r="D69" i="38"/>
  <c r="C69" i="38"/>
  <c r="B69" i="38"/>
  <c r="P68" i="38"/>
  <c r="N68" i="38"/>
  <c r="L68" i="38"/>
  <c r="K68" i="38"/>
  <c r="J68" i="38"/>
  <c r="I68" i="38"/>
  <c r="H68" i="38"/>
  <c r="G68" i="38"/>
  <c r="F68" i="38"/>
  <c r="E68" i="38"/>
  <c r="D68" i="38"/>
  <c r="C68" i="38"/>
  <c r="B68" i="38"/>
  <c r="P67" i="38"/>
  <c r="N67" i="38"/>
  <c r="L67" i="38"/>
  <c r="K67" i="38"/>
  <c r="J67" i="38"/>
  <c r="I67" i="38"/>
  <c r="H67" i="38"/>
  <c r="G67" i="38"/>
  <c r="F67" i="38"/>
  <c r="E67" i="38"/>
  <c r="D67" i="38"/>
  <c r="C67" i="38"/>
  <c r="B67" i="38"/>
  <c r="P66" i="38"/>
  <c r="N66" i="38"/>
  <c r="L66" i="38"/>
  <c r="K66" i="38"/>
  <c r="J66" i="38"/>
  <c r="I66" i="38"/>
  <c r="H66" i="38"/>
  <c r="G66" i="38"/>
  <c r="F66" i="38"/>
  <c r="E66" i="38"/>
  <c r="D66" i="38"/>
  <c r="C66" i="38"/>
  <c r="B66" i="38"/>
  <c r="P65" i="38"/>
  <c r="N65" i="38"/>
  <c r="L65" i="38"/>
  <c r="K65" i="38"/>
  <c r="J65" i="38"/>
  <c r="I65" i="38"/>
  <c r="H65" i="38"/>
  <c r="G65" i="38"/>
  <c r="F65" i="38"/>
  <c r="E65" i="38"/>
  <c r="D65" i="38"/>
  <c r="C65" i="38"/>
  <c r="B65" i="38"/>
  <c r="P64" i="38"/>
  <c r="N64" i="38"/>
  <c r="L64" i="38"/>
  <c r="K64" i="38"/>
  <c r="J64" i="38"/>
  <c r="I64" i="38"/>
  <c r="H64" i="38"/>
  <c r="G64" i="38"/>
  <c r="F64" i="38"/>
  <c r="E64" i="38"/>
  <c r="D64" i="38"/>
  <c r="C64" i="38"/>
  <c r="B64" i="38"/>
  <c r="P63" i="38"/>
  <c r="N63" i="38"/>
  <c r="L63" i="38"/>
  <c r="K63" i="38"/>
  <c r="J63" i="38"/>
  <c r="I63" i="38"/>
  <c r="H63" i="38"/>
  <c r="G63" i="38"/>
  <c r="F63" i="38"/>
  <c r="E63" i="38"/>
  <c r="D63" i="38"/>
  <c r="C63" i="38"/>
  <c r="B63" i="38"/>
  <c r="A63" i="38"/>
  <c r="P62" i="38"/>
  <c r="N62" i="38"/>
  <c r="L62" i="38"/>
  <c r="K62" i="38"/>
  <c r="J62" i="38"/>
  <c r="I62" i="38"/>
  <c r="H62" i="38"/>
  <c r="G62" i="38"/>
  <c r="F62" i="38"/>
  <c r="E62" i="38"/>
  <c r="D62" i="38"/>
  <c r="C62" i="38"/>
  <c r="B62" i="38"/>
  <c r="A62" i="38"/>
  <c r="P61" i="38"/>
  <c r="N61" i="38"/>
  <c r="K61" i="38"/>
  <c r="J61" i="38"/>
  <c r="I61" i="38"/>
  <c r="H61" i="38"/>
  <c r="G61" i="38"/>
  <c r="F61" i="38"/>
  <c r="E61" i="38"/>
  <c r="D61" i="38"/>
  <c r="C61" i="38"/>
  <c r="B61" i="38"/>
  <c r="A61" i="38"/>
  <c r="P60" i="38"/>
  <c r="N60" i="38"/>
  <c r="L60" i="38"/>
  <c r="K60" i="38"/>
  <c r="J60" i="38"/>
  <c r="I60" i="38"/>
  <c r="H60" i="38"/>
  <c r="G60" i="38"/>
  <c r="F60" i="38"/>
  <c r="E60" i="38"/>
  <c r="D60" i="38"/>
  <c r="C60" i="38"/>
  <c r="B60" i="38"/>
  <c r="P59" i="38"/>
  <c r="N59" i="38"/>
  <c r="L59" i="38"/>
  <c r="K59" i="38"/>
  <c r="J59" i="38"/>
  <c r="I59" i="38"/>
  <c r="H59" i="38"/>
  <c r="G59" i="38"/>
  <c r="F59" i="38"/>
  <c r="E59" i="38"/>
  <c r="D59" i="38"/>
  <c r="C59" i="38"/>
  <c r="B59" i="38"/>
  <c r="P58" i="38"/>
  <c r="N58" i="38"/>
  <c r="L58" i="38"/>
  <c r="K58" i="38"/>
  <c r="J58" i="38"/>
  <c r="I58" i="38"/>
  <c r="H58" i="38"/>
  <c r="G58" i="38"/>
  <c r="F58" i="38"/>
  <c r="E58" i="38"/>
  <c r="D58" i="38"/>
  <c r="C58" i="38"/>
  <c r="B58" i="38"/>
  <c r="P57" i="38"/>
  <c r="N57" i="38"/>
  <c r="L57" i="38"/>
  <c r="K57" i="38"/>
  <c r="J57" i="38"/>
  <c r="I57" i="38"/>
  <c r="H57" i="38"/>
  <c r="G57" i="38"/>
  <c r="F57" i="38"/>
  <c r="E57" i="38"/>
  <c r="D57" i="38"/>
  <c r="C57" i="38"/>
  <c r="B57" i="38"/>
  <c r="A57" i="38"/>
  <c r="R56" i="38"/>
  <c r="C12" i="87" s="1"/>
  <c r="C56" i="38"/>
  <c r="A56" i="38"/>
  <c r="P55" i="38"/>
  <c r="N55" i="38"/>
  <c r="L55" i="38"/>
  <c r="K55" i="38"/>
  <c r="J55" i="38"/>
  <c r="I55" i="38"/>
  <c r="H55" i="38"/>
  <c r="G55" i="38"/>
  <c r="F55" i="38"/>
  <c r="E55" i="38"/>
  <c r="D55" i="38"/>
  <c r="C55" i="38"/>
  <c r="B55" i="38"/>
  <c r="A55" i="38"/>
  <c r="R54" i="38"/>
  <c r="C10" i="87" s="1"/>
  <c r="C54" i="38"/>
  <c r="A54" i="38"/>
  <c r="P53" i="38"/>
  <c r="N53" i="38"/>
  <c r="L53" i="38"/>
  <c r="K53" i="38"/>
  <c r="J53" i="38"/>
  <c r="I53" i="38"/>
  <c r="H53" i="38"/>
  <c r="G53" i="38"/>
  <c r="F53" i="38"/>
  <c r="E53" i="38"/>
  <c r="D53" i="38"/>
  <c r="C53" i="38"/>
  <c r="B53" i="38"/>
  <c r="P52" i="38"/>
  <c r="N52" i="38"/>
  <c r="L52" i="38"/>
  <c r="K52" i="38"/>
  <c r="J52" i="38"/>
  <c r="I52" i="38"/>
  <c r="H52" i="38"/>
  <c r="G52" i="38"/>
  <c r="F52" i="38"/>
  <c r="E52" i="38"/>
  <c r="D52" i="38"/>
  <c r="C52" i="38"/>
  <c r="B52" i="38"/>
  <c r="P51" i="38"/>
  <c r="N51" i="38"/>
  <c r="L51" i="38"/>
  <c r="K51" i="38"/>
  <c r="J51" i="38"/>
  <c r="I51" i="38"/>
  <c r="H51" i="38"/>
  <c r="G51" i="38"/>
  <c r="F51" i="38"/>
  <c r="E51" i="38"/>
  <c r="D51" i="38"/>
  <c r="C51" i="38"/>
  <c r="B51" i="38"/>
  <c r="P50" i="38"/>
  <c r="L50" i="38"/>
  <c r="K50" i="38"/>
  <c r="J50" i="38"/>
  <c r="I50" i="38"/>
  <c r="H50" i="38"/>
  <c r="G50" i="38"/>
  <c r="F50" i="38"/>
  <c r="E50" i="38"/>
  <c r="D50" i="38"/>
  <c r="C50" i="38"/>
  <c r="B50" i="38"/>
  <c r="P49" i="38"/>
  <c r="N49" i="38"/>
  <c r="L49" i="38"/>
  <c r="K49" i="38"/>
  <c r="J49" i="38"/>
  <c r="I49" i="38"/>
  <c r="H49" i="38"/>
  <c r="G49" i="38"/>
  <c r="F49" i="38"/>
  <c r="E49" i="38"/>
  <c r="D49" i="38"/>
  <c r="C49" i="38"/>
  <c r="B49" i="38"/>
  <c r="P48" i="38"/>
  <c r="N48" i="38"/>
  <c r="L48" i="38"/>
  <c r="K48" i="38"/>
  <c r="J48" i="38"/>
  <c r="I48" i="38"/>
  <c r="H48" i="38"/>
  <c r="G48" i="38"/>
  <c r="F48" i="38"/>
  <c r="E48" i="38"/>
  <c r="D48" i="38"/>
  <c r="C48" i="38"/>
  <c r="B48" i="38"/>
  <c r="P47" i="38"/>
  <c r="N47" i="38"/>
  <c r="L47" i="38"/>
  <c r="K47" i="38"/>
  <c r="J47" i="38"/>
  <c r="I47" i="38"/>
  <c r="H47" i="38"/>
  <c r="G47" i="38"/>
  <c r="F47" i="38"/>
  <c r="E47" i="38"/>
  <c r="D47" i="38"/>
  <c r="C47" i="38"/>
  <c r="B47" i="38"/>
  <c r="P46" i="38"/>
  <c r="N46" i="38"/>
  <c r="L46" i="38"/>
  <c r="K46" i="38"/>
  <c r="J46" i="38"/>
  <c r="I46" i="38"/>
  <c r="H46" i="38"/>
  <c r="G46" i="38"/>
  <c r="F46" i="38"/>
  <c r="E46" i="38"/>
  <c r="D46" i="38"/>
  <c r="C46" i="38"/>
  <c r="B46" i="38"/>
  <c r="P45" i="38"/>
  <c r="N45" i="38"/>
  <c r="L45" i="38"/>
  <c r="K45" i="38"/>
  <c r="J45" i="38"/>
  <c r="I45" i="38"/>
  <c r="H45" i="38"/>
  <c r="G45" i="38"/>
  <c r="F45" i="38"/>
  <c r="E45" i="38"/>
  <c r="D45" i="38"/>
  <c r="C45" i="38"/>
  <c r="B45" i="38"/>
  <c r="P44" i="38"/>
  <c r="N44" i="38"/>
  <c r="L44" i="38"/>
  <c r="K44" i="38"/>
  <c r="J44" i="38"/>
  <c r="I44" i="38"/>
  <c r="H44" i="38"/>
  <c r="G44" i="38"/>
  <c r="F44" i="38"/>
  <c r="E44" i="38"/>
  <c r="D44" i="38"/>
  <c r="C44" i="38"/>
  <c r="B44" i="38"/>
  <c r="P43" i="38"/>
  <c r="N43" i="38"/>
  <c r="L43" i="38"/>
  <c r="K43" i="38"/>
  <c r="J43" i="38"/>
  <c r="I43" i="38"/>
  <c r="H43" i="38"/>
  <c r="G43" i="38"/>
  <c r="F43" i="38"/>
  <c r="E43" i="38"/>
  <c r="D43" i="38"/>
  <c r="C43" i="38"/>
  <c r="B43" i="38"/>
  <c r="P42" i="38"/>
  <c r="N42" i="38"/>
  <c r="L42" i="38"/>
  <c r="K42" i="38"/>
  <c r="J42" i="38"/>
  <c r="I42" i="38"/>
  <c r="H42" i="38"/>
  <c r="G42" i="38"/>
  <c r="F42" i="38"/>
  <c r="E42" i="38"/>
  <c r="D42" i="38"/>
  <c r="C42" i="38"/>
  <c r="B42" i="38"/>
  <c r="A42" i="38"/>
  <c r="P41" i="38"/>
  <c r="N41" i="38"/>
  <c r="L41" i="38"/>
  <c r="K41" i="38"/>
  <c r="J41" i="38"/>
  <c r="I41" i="38"/>
  <c r="H41" i="38"/>
  <c r="G41" i="38"/>
  <c r="F41" i="38"/>
  <c r="E41" i="38"/>
  <c r="D41" i="38"/>
  <c r="C41" i="38"/>
  <c r="B41" i="38"/>
  <c r="A41" i="38"/>
  <c r="P40" i="38"/>
  <c r="N40" i="38"/>
  <c r="L40" i="38"/>
  <c r="K40" i="38"/>
  <c r="J40" i="38"/>
  <c r="I40" i="38"/>
  <c r="H40" i="38"/>
  <c r="G40" i="38"/>
  <c r="F40" i="38"/>
  <c r="E40" i="38"/>
  <c r="D40" i="38"/>
  <c r="C40" i="38"/>
  <c r="B40" i="38"/>
  <c r="P39" i="38"/>
  <c r="N39" i="38"/>
  <c r="L39" i="38"/>
  <c r="K39" i="38"/>
  <c r="J39" i="38"/>
  <c r="I39" i="38"/>
  <c r="H39" i="38"/>
  <c r="G39" i="38"/>
  <c r="F39" i="38"/>
  <c r="E39" i="38"/>
  <c r="D39" i="38"/>
  <c r="C39" i="38"/>
  <c r="B39" i="38"/>
  <c r="P38" i="38"/>
  <c r="N38" i="38"/>
  <c r="L38" i="38"/>
  <c r="K38" i="38"/>
  <c r="J38" i="38"/>
  <c r="I38" i="38"/>
  <c r="H38" i="38"/>
  <c r="G38" i="38"/>
  <c r="F38" i="38"/>
  <c r="E38" i="38"/>
  <c r="D38" i="38"/>
  <c r="B38" i="38"/>
  <c r="P37" i="38"/>
  <c r="N37" i="38"/>
  <c r="L37" i="38"/>
  <c r="K37" i="38"/>
  <c r="J37" i="38"/>
  <c r="I37" i="38"/>
  <c r="H37" i="38"/>
  <c r="G37" i="38"/>
  <c r="F37" i="38"/>
  <c r="E37" i="38"/>
  <c r="D37" i="38"/>
  <c r="B37" i="38"/>
  <c r="P36" i="38"/>
  <c r="N36" i="38"/>
  <c r="L36" i="38"/>
  <c r="K36" i="38"/>
  <c r="J36" i="38"/>
  <c r="I36" i="38"/>
  <c r="H36" i="38"/>
  <c r="G36" i="38"/>
  <c r="F36" i="38"/>
  <c r="E36" i="38"/>
  <c r="D36" i="38"/>
  <c r="C36" i="38"/>
  <c r="B36" i="38"/>
  <c r="R35" i="38"/>
  <c r="C9" i="87" s="1"/>
  <c r="C35" i="38"/>
  <c r="A35" i="38"/>
  <c r="P34" i="38"/>
  <c r="N34" i="38"/>
  <c r="K34" i="38"/>
  <c r="J34" i="38"/>
  <c r="I34" i="38"/>
  <c r="H34" i="38"/>
  <c r="G34" i="38"/>
  <c r="F34" i="38"/>
  <c r="E34" i="38"/>
  <c r="D34" i="38"/>
  <c r="C34" i="38"/>
  <c r="B34" i="38"/>
  <c r="A34" i="38"/>
  <c r="P33" i="38"/>
  <c r="N33" i="38"/>
  <c r="L33" i="38"/>
  <c r="K33" i="38"/>
  <c r="J33" i="38"/>
  <c r="I33" i="38"/>
  <c r="H33" i="38"/>
  <c r="G33" i="38"/>
  <c r="F33" i="38"/>
  <c r="E33" i="38"/>
  <c r="D33" i="38"/>
  <c r="C33" i="38"/>
  <c r="B33" i="38"/>
  <c r="A33" i="38"/>
  <c r="P32" i="38"/>
  <c r="N32" i="38"/>
  <c r="K32" i="38"/>
  <c r="J32" i="38"/>
  <c r="I32" i="38"/>
  <c r="H32" i="38"/>
  <c r="G32" i="38"/>
  <c r="F32" i="38"/>
  <c r="E32" i="38"/>
  <c r="D32" i="38"/>
  <c r="C32" i="38"/>
  <c r="B32" i="38"/>
  <c r="A32" i="38"/>
  <c r="R31" i="38"/>
  <c r="C8" i="87" s="1"/>
  <c r="K8" i="87" s="1"/>
  <c r="C31" i="38"/>
  <c r="A31" i="38"/>
  <c r="P30" i="38"/>
  <c r="N30" i="38"/>
  <c r="L30" i="38"/>
  <c r="K30" i="38"/>
  <c r="J30" i="38"/>
  <c r="I30" i="38"/>
  <c r="H30" i="38"/>
  <c r="G30" i="38"/>
  <c r="F30" i="38"/>
  <c r="E30" i="38"/>
  <c r="D30" i="38"/>
  <c r="C30" i="38"/>
  <c r="B30" i="38"/>
  <c r="P29" i="38"/>
  <c r="N29" i="38"/>
  <c r="K29" i="38"/>
  <c r="J29" i="38"/>
  <c r="I29" i="38"/>
  <c r="H29" i="38"/>
  <c r="G29" i="38"/>
  <c r="F29" i="38"/>
  <c r="E29" i="38"/>
  <c r="D29" i="38"/>
  <c r="C29" i="38"/>
  <c r="B29" i="38"/>
  <c r="P28" i="38"/>
  <c r="N28" i="38"/>
  <c r="K28" i="38"/>
  <c r="J28" i="38"/>
  <c r="I28" i="38"/>
  <c r="H28" i="38"/>
  <c r="G28" i="38"/>
  <c r="F28" i="38"/>
  <c r="E28" i="38"/>
  <c r="D28" i="38"/>
  <c r="C28" i="38"/>
  <c r="B28" i="38"/>
  <c r="P27" i="38"/>
  <c r="N27" i="38"/>
  <c r="K27" i="38"/>
  <c r="J27" i="38"/>
  <c r="I27" i="38"/>
  <c r="H27" i="38"/>
  <c r="G27" i="38"/>
  <c r="F27" i="38"/>
  <c r="E27" i="38"/>
  <c r="D27" i="38"/>
  <c r="C27" i="38"/>
  <c r="B27" i="38"/>
  <c r="A27" i="38"/>
  <c r="R26" i="38"/>
  <c r="C6" i="87" s="1"/>
  <c r="C26" i="38"/>
  <c r="A26" i="38"/>
  <c r="P25" i="38"/>
  <c r="N25" i="38"/>
  <c r="L25" i="38"/>
  <c r="K25" i="38"/>
  <c r="J25" i="38"/>
  <c r="I25" i="38"/>
  <c r="H25" i="38"/>
  <c r="G25" i="38"/>
  <c r="F25" i="38"/>
  <c r="E25" i="38"/>
  <c r="D25" i="38"/>
  <c r="C25" i="38"/>
  <c r="B25" i="38"/>
  <c r="A25" i="38"/>
  <c r="P24" i="38"/>
  <c r="N24" i="38"/>
  <c r="L24" i="38"/>
  <c r="K24" i="38"/>
  <c r="J24" i="38"/>
  <c r="I24" i="38"/>
  <c r="H24" i="38"/>
  <c r="G24" i="38"/>
  <c r="F24" i="38"/>
  <c r="E24" i="38"/>
  <c r="D24" i="38"/>
  <c r="C24" i="38"/>
  <c r="B24" i="38"/>
  <c r="A24" i="38"/>
  <c r="P23" i="38"/>
  <c r="N23" i="38"/>
  <c r="L23" i="38"/>
  <c r="K23" i="38"/>
  <c r="J23" i="38"/>
  <c r="I23" i="38"/>
  <c r="H23" i="38"/>
  <c r="G23" i="38"/>
  <c r="F23" i="38"/>
  <c r="E23" i="38"/>
  <c r="D23" i="38"/>
  <c r="C23" i="38"/>
  <c r="B23" i="38"/>
  <c r="A23" i="38"/>
  <c r="P22" i="38"/>
  <c r="N22" i="38"/>
  <c r="L22" i="38"/>
  <c r="K22" i="38"/>
  <c r="J22" i="38"/>
  <c r="I22" i="38"/>
  <c r="H22" i="38"/>
  <c r="G22" i="38"/>
  <c r="F22" i="38"/>
  <c r="E22" i="38"/>
  <c r="D22" i="38"/>
  <c r="C22" i="38"/>
  <c r="B22" i="38"/>
  <c r="A22" i="38"/>
  <c r="P21" i="38"/>
  <c r="N21" i="38"/>
  <c r="L21" i="38"/>
  <c r="K21" i="38"/>
  <c r="J21" i="38"/>
  <c r="I21" i="38"/>
  <c r="H21" i="38"/>
  <c r="G21" i="38"/>
  <c r="F21" i="38"/>
  <c r="E21" i="38"/>
  <c r="D21" i="38"/>
  <c r="C21" i="38"/>
  <c r="B21" i="38"/>
  <c r="A21" i="38"/>
  <c r="R20" i="38"/>
  <c r="C5" i="87" s="1"/>
  <c r="C20" i="38"/>
  <c r="B20" i="38"/>
  <c r="A20" i="38"/>
  <c r="P19" i="38"/>
  <c r="N19" i="38"/>
  <c r="L19" i="38"/>
  <c r="K19" i="38"/>
  <c r="J19" i="38"/>
  <c r="I19" i="38"/>
  <c r="H19" i="38"/>
  <c r="G19" i="38"/>
  <c r="F19" i="38"/>
  <c r="E19" i="38"/>
  <c r="D19" i="38"/>
  <c r="C19" i="38"/>
  <c r="B19" i="38"/>
  <c r="A19" i="38"/>
  <c r="P18" i="38"/>
  <c r="N18" i="38"/>
  <c r="L18" i="38"/>
  <c r="K18" i="38"/>
  <c r="J18" i="38"/>
  <c r="I18" i="38"/>
  <c r="H18" i="38"/>
  <c r="G18" i="38"/>
  <c r="F18" i="38"/>
  <c r="E18" i="38"/>
  <c r="D18" i="38"/>
  <c r="C18" i="38"/>
  <c r="B18" i="38"/>
  <c r="A18" i="38"/>
  <c r="P17" i="38"/>
  <c r="N17" i="38"/>
  <c r="L17" i="38"/>
  <c r="K17" i="38"/>
  <c r="J17" i="38"/>
  <c r="I17" i="38"/>
  <c r="H17" i="38"/>
  <c r="G17" i="38"/>
  <c r="F17" i="38"/>
  <c r="E17" i="38"/>
  <c r="D17" i="38"/>
  <c r="C17" i="38"/>
  <c r="B17" i="38"/>
  <c r="A17" i="38"/>
  <c r="P16" i="38"/>
  <c r="N16" i="38"/>
  <c r="M16" i="38"/>
  <c r="L16" i="38"/>
  <c r="K16" i="38"/>
  <c r="I16" i="38"/>
  <c r="G16" i="38"/>
  <c r="F16" i="38"/>
  <c r="E16" i="38"/>
  <c r="D16" i="38"/>
  <c r="C16" i="38"/>
  <c r="B16" i="38"/>
  <c r="A16" i="38"/>
  <c r="P15" i="38"/>
  <c r="N15" i="38"/>
  <c r="L15" i="38"/>
  <c r="K15" i="38"/>
  <c r="J15" i="38"/>
  <c r="I15" i="38"/>
  <c r="H15" i="38"/>
  <c r="G15" i="38"/>
  <c r="F15" i="38"/>
  <c r="E15" i="38"/>
  <c r="D15" i="38"/>
  <c r="C15" i="38"/>
  <c r="B15" i="38"/>
  <c r="A15" i="38"/>
  <c r="P14" i="38"/>
  <c r="N14" i="38"/>
  <c r="M14" i="38"/>
  <c r="L14" i="38"/>
  <c r="K14" i="38"/>
  <c r="I14" i="38"/>
  <c r="G14" i="38"/>
  <c r="F14" i="38"/>
  <c r="E14" i="38"/>
  <c r="D14" i="38"/>
  <c r="C14" i="38"/>
  <c r="B14" i="38"/>
  <c r="A14" i="38"/>
  <c r="P13" i="38"/>
  <c r="N13" i="38"/>
  <c r="L13" i="38"/>
  <c r="K13" i="38"/>
  <c r="J13" i="38"/>
  <c r="I13" i="38"/>
  <c r="H13" i="38"/>
  <c r="G13" i="38"/>
  <c r="F13" i="38"/>
  <c r="E13" i="38"/>
  <c r="D13" i="38"/>
  <c r="C13" i="38"/>
  <c r="B13" i="38"/>
  <c r="A13" i="38"/>
  <c r="P12" i="38"/>
  <c r="N12" i="38"/>
  <c r="L12" i="38"/>
  <c r="K12" i="38"/>
  <c r="J12" i="38"/>
  <c r="I12" i="38"/>
  <c r="H12" i="38"/>
  <c r="G12" i="38"/>
  <c r="F12" i="38"/>
  <c r="E12" i="38"/>
  <c r="D12" i="38"/>
  <c r="C12" i="38"/>
  <c r="B12" i="38"/>
  <c r="A12" i="38"/>
  <c r="N11" i="38"/>
  <c r="L11" i="38"/>
  <c r="K11" i="38"/>
  <c r="J11" i="38"/>
  <c r="I11" i="38"/>
  <c r="H11" i="38"/>
  <c r="G11" i="38"/>
  <c r="F11" i="38"/>
  <c r="E11" i="38"/>
  <c r="D11" i="38"/>
  <c r="C11" i="38"/>
  <c r="B11" i="38"/>
  <c r="A11" i="38"/>
  <c r="P10" i="38"/>
  <c r="N10" i="38"/>
  <c r="L10" i="38"/>
  <c r="K10" i="38"/>
  <c r="J10" i="38"/>
  <c r="I10" i="38"/>
  <c r="H10" i="38"/>
  <c r="G10" i="38"/>
  <c r="F10" i="38"/>
  <c r="E10" i="38"/>
  <c r="D10" i="38"/>
  <c r="C10" i="38"/>
  <c r="B10" i="38"/>
  <c r="A10" i="38"/>
  <c r="P9" i="38"/>
  <c r="N9" i="38"/>
  <c r="L9" i="38"/>
  <c r="K9" i="38"/>
  <c r="J9" i="38"/>
  <c r="I9" i="38"/>
  <c r="H9" i="38"/>
  <c r="G9" i="38"/>
  <c r="F9" i="38"/>
  <c r="E9" i="38"/>
  <c r="D9" i="38"/>
  <c r="C9" i="38"/>
  <c r="B9" i="38"/>
  <c r="A9" i="38"/>
  <c r="P8" i="38"/>
  <c r="N8" i="38"/>
  <c r="L8" i="38"/>
  <c r="K8" i="38"/>
  <c r="J8" i="38"/>
  <c r="I8" i="38"/>
  <c r="H8" i="38"/>
  <c r="G8" i="38"/>
  <c r="F8" i="38"/>
  <c r="E8" i="38"/>
  <c r="D8" i="38"/>
  <c r="C8" i="38"/>
  <c r="B8" i="38"/>
  <c r="A8" i="38"/>
  <c r="R7" i="38"/>
  <c r="C4" i="87" s="1"/>
  <c r="C7" i="38"/>
  <c r="B7" i="38"/>
  <c r="A7" i="38"/>
  <c r="C3" i="38"/>
  <c r="C2" i="38"/>
  <c r="A2" i="38"/>
  <c r="K10" i="87" l="1"/>
  <c r="AL10" i="87" s="1"/>
  <c r="K9" i="87"/>
  <c r="K6" i="87"/>
  <c r="AL14" i="87"/>
  <c r="G22" i="87"/>
  <c r="R33" i="27"/>
  <c r="K13" i="87"/>
  <c r="AL13" i="87" s="1"/>
  <c r="R12" i="27"/>
  <c r="Q22" i="87"/>
  <c r="Y22" i="87"/>
  <c r="F22" i="87"/>
  <c r="R377" i="38"/>
  <c r="H12" i="87"/>
  <c r="H22" i="87" s="1"/>
  <c r="I22" i="87"/>
  <c r="O22" i="87"/>
  <c r="R23" i="27"/>
  <c r="R46" i="27"/>
  <c r="C22" i="87"/>
  <c r="R22" i="87"/>
  <c r="N22" i="87"/>
  <c r="R7" i="27"/>
  <c r="L22" i="87"/>
  <c r="AP21" i="87"/>
  <c r="Z22" i="87"/>
  <c r="R446" i="38"/>
  <c r="J19" i="87" s="1"/>
  <c r="K19" i="87" s="1"/>
  <c r="AL19" i="87" s="1"/>
  <c r="F2" i="35"/>
  <c r="F2" i="40"/>
  <c r="R197" i="38"/>
  <c r="F2" i="37"/>
  <c r="R288" i="38"/>
  <c r="R394" i="38"/>
  <c r="F2" i="45"/>
  <c r="F2" i="54"/>
  <c r="R6" i="38"/>
  <c r="R432" i="38"/>
  <c r="F2" i="30"/>
  <c r="R341" i="38"/>
  <c r="F2" i="61"/>
  <c r="R111" i="38"/>
  <c r="D5" i="87" s="1"/>
  <c r="K5" i="87" s="1"/>
  <c r="AL5" i="87" s="1"/>
  <c r="F8" i="72"/>
  <c r="F7" i="72" s="1"/>
  <c r="G7" i="72"/>
  <c r="J22" i="87" l="1"/>
  <c r="D22" i="87"/>
  <c r="K12" i="87"/>
  <c r="R6" i="27"/>
  <c r="P6" i="87" s="1"/>
  <c r="R196" i="38"/>
  <c r="E4" i="87"/>
  <c r="R101" i="38"/>
  <c r="G6" i="72"/>
  <c r="P290" i="72"/>
  <c r="H290" i="72"/>
  <c r="F2" i="38" l="1"/>
  <c r="E22" i="87"/>
  <c r="K4" i="87"/>
  <c r="P22" i="87"/>
  <c r="AL6" i="87"/>
  <c r="M290" i="72"/>
  <c r="F290" i="72"/>
  <c r="G290" i="72"/>
  <c r="F6" i="72"/>
  <c r="M287" i="72"/>
  <c r="M286" i="72" s="1"/>
  <c r="H286" i="72" s="1"/>
  <c r="G286" i="72" s="1"/>
  <c r="F286" i="72" s="1"/>
  <c r="K287" i="72"/>
  <c r="K285" i="72"/>
  <c r="K284" i="72"/>
  <c r="P283" i="72"/>
  <c r="P281" i="72" s="1"/>
  <c r="H283" i="72"/>
  <c r="H281" i="72" s="1"/>
  <c r="G283" i="72"/>
  <c r="G281" i="72" s="1"/>
  <c r="F283" i="72"/>
  <c r="F281" i="72" s="1"/>
  <c r="K282" i="72"/>
  <c r="AL4" i="87" l="1"/>
  <c r="K22" i="87"/>
  <c r="H280" i="72"/>
  <c r="M282" i="72"/>
  <c r="G280" i="72"/>
  <c r="F280" i="72" s="1"/>
  <c r="P280" i="72"/>
  <c r="M285" i="72"/>
  <c r="M279" i="72"/>
  <c r="P279" i="72"/>
  <c r="P277" i="72" s="1"/>
  <c r="P265" i="72" s="1"/>
  <c r="H279" i="72"/>
  <c r="H277" i="72" s="1"/>
  <c r="H265" i="72" s="1"/>
  <c r="G279" i="72"/>
  <c r="G277" i="72" s="1"/>
  <c r="G265" i="72" s="1"/>
  <c r="K278" i="72"/>
  <c r="K276" i="72"/>
  <c r="F276" i="72"/>
  <c r="J275" i="72"/>
  <c r="K274" i="72"/>
  <c r="F274" i="72"/>
  <c r="N272" i="72"/>
  <c r="M271" i="72"/>
  <c r="K271" i="72"/>
  <c r="F271" i="72"/>
  <c r="M270" i="72"/>
  <c r="K270" i="72"/>
  <c r="F270" i="72"/>
  <c r="K269" i="72"/>
  <c r="F269" i="72"/>
  <c r="M268" i="72"/>
  <c r="K268" i="72"/>
  <c r="K267" i="72"/>
  <c r="F267" i="72"/>
  <c r="L37" i="66"/>
  <c r="N37" i="66" s="1"/>
  <c r="L36" i="66"/>
  <c r="N36" i="66" s="1"/>
  <c r="L35" i="66"/>
  <c r="N35" i="66" s="1"/>
  <c r="N34" i="66"/>
  <c r="Q33" i="66"/>
  <c r="L32" i="66"/>
  <c r="N32" i="66" s="1"/>
  <c r="L31" i="66"/>
  <c r="N31" i="66" s="1"/>
  <c r="Q30" i="66"/>
  <c r="I30" i="66"/>
  <c r="H30" i="66"/>
  <c r="G30" i="66"/>
  <c r="L29" i="66"/>
  <c r="N29" i="66" s="1"/>
  <c r="L28" i="66"/>
  <c r="N28" i="66" s="1"/>
  <c r="L27" i="66"/>
  <c r="N27" i="66" s="1"/>
  <c r="L26" i="66"/>
  <c r="N26" i="66" s="1"/>
  <c r="L25" i="66"/>
  <c r="N25" i="66" s="1"/>
  <c r="L24" i="66"/>
  <c r="N24" i="66" s="1"/>
  <c r="L23" i="66"/>
  <c r="N23" i="66" s="1"/>
  <c r="L22" i="66"/>
  <c r="N22" i="66" s="1"/>
  <c r="L21" i="66"/>
  <c r="N21" i="66" s="1"/>
  <c r="L20" i="66"/>
  <c r="N20" i="66" s="1"/>
  <c r="L19" i="66"/>
  <c r="N19" i="66" s="1"/>
  <c r="Q18" i="66"/>
  <c r="L18" i="66"/>
  <c r="Q17" i="66"/>
  <c r="P17" i="66"/>
  <c r="L17" i="66"/>
  <c r="M23" i="75" s="1"/>
  <c r="Q16" i="66"/>
  <c r="P16" i="66"/>
  <c r="L16" i="66"/>
  <c r="M22" i="70" s="1"/>
  <c r="Q15" i="66"/>
  <c r="P15" i="66"/>
  <c r="L15" i="66"/>
  <c r="M50" i="68" s="1"/>
  <c r="M69" i="41"/>
  <c r="M54" i="20"/>
  <c r="M139" i="30"/>
  <c r="M40" i="40"/>
  <c r="G11" i="66"/>
  <c r="H40" i="40" s="1"/>
  <c r="N4" i="66"/>
  <c r="M4" i="66"/>
  <c r="L4" i="66"/>
  <c r="K4" i="66"/>
  <c r="J4" i="66"/>
  <c r="I4" i="66" s="1"/>
  <c r="H4" i="66"/>
  <c r="G4" i="66"/>
  <c r="F4" i="66"/>
  <c r="B4" i="66"/>
  <c r="N3" i="66"/>
  <c r="M3" i="66"/>
  <c r="L3" i="66"/>
  <c r="K3" i="66"/>
  <c r="J3" i="66"/>
  <c r="I3" i="66"/>
  <c r="H3" i="66"/>
  <c r="G3" i="66"/>
  <c r="F3" i="66"/>
  <c r="E3" i="66"/>
  <c r="B3" i="66"/>
  <c r="C2" i="66"/>
  <c r="B2" i="66"/>
  <c r="A2" i="66"/>
  <c r="K263" i="72"/>
  <c r="N30" i="66" l="1"/>
  <c r="N33" i="66"/>
  <c r="H264" i="72"/>
  <c r="M274" i="72"/>
  <c r="F279" i="72"/>
  <c r="F277" i="72" s="1"/>
  <c r="F272" i="72"/>
  <c r="N18" i="66"/>
  <c r="N11" i="66"/>
  <c r="O69" i="41"/>
  <c r="N17" i="66"/>
  <c r="O23" i="75" s="1"/>
  <c r="P264" i="72"/>
  <c r="Q9" i="66"/>
  <c r="Q8" i="66" s="1"/>
  <c r="Q7" i="66" s="1"/>
  <c r="D3" i="66" s="1"/>
  <c r="G264" i="72"/>
  <c r="E4" i="66"/>
  <c r="N12" i="66"/>
  <c r="O139" i="30" s="1"/>
  <c r="N15" i="66"/>
  <c r="O50" i="68" s="1"/>
  <c r="M269" i="72"/>
  <c r="M276" i="72"/>
  <c r="M284" i="72"/>
  <c r="M283" i="72"/>
  <c r="N13" i="66"/>
  <c r="N16" i="66"/>
  <c r="O22" i="70" s="1"/>
  <c r="F273" i="72"/>
  <c r="M278" i="72"/>
  <c r="M277" i="72" s="1"/>
  <c r="F266" i="72"/>
  <c r="I259" i="72"/>
  <c r="N258" i="72"/>
  <c r="H258" i="72"/>
  <c r="G258" i="72"/>
  <c r="F258" i="72"/>
  <c r="F252" i="72" s="1"/>
  <c r="F237" i="72" s="1"/>
  <c r="M257" i="72"/>
  <c r="P257" i="72"/>
  <c r="K256" i="72"/>
  <c r="M255" i="72"/>
  <c r="K255" i="72"/>
  <c r="P254" i="72"/>
  <c r="K254" i="72"/>
  <c r="M251" i="72"/>
  <c r="K251" i="72"/>
  <c r="J250" i="72"/>
  <c r="K248" i="72"/>
  <c r="K247" i="72"/>
  <c r="K246" i="72"/>
  <c r="I244" i="72"/>
  <c r="K243" i="72"/>
  <c r="I243" i="72"/>
  <c r="H243" i="72"/>
  <c r="K242" i="72"/>
  <c r="I242" i="72"/>
  <c r="H241" i="72"/>
  <c r="I240" i="72"/>
  <c r="H240" i="72"/>
  <c r="F265" i="72" l="1"/>
  <c r="F264" i="72" s="1"/>
  <c r="O54" i="20"/>
  <c r="M281" i="72"/>
  <c r="M280" i="72" s="1"/>
  <c r="M247" i="72"/>
  <c r="M246" i="72"/>
  <c r="M248" i="72"/>
  <c r="P253" i="72"/>
  <c r="P252" i="72" s="1"/>
  <c r="K244" i="72"/>
  <c r="G272" i="72"/>
  <c r="H272" i="72"/>
  <c r="H239" i="72"/>
  <c r="O40" i="40"/>
  <c r="N9" i="66"/>
  <c r="N8" i="66" s="1"/>
  <c r="M263" i="72"/>
  <c r="M262" i="72" s="1"/>
  <c r="M261" i="72" s="1"/>
  <c r="M267" i="72"/>
  <c r="M266" i="72" s="1"/>
  <c r="K275" i="72"/>
  <c r="K253" i="72"/>
  <c r="O21" i="75"/>
  <c r="M21" i="75"/>
  <c r="M20" i="70"/>
  <c r="O48" i="68"/>
  <c r="M48" i="68"/>
  <c r="M67" i="41"/>
  <c r="M52" i="20"/>
  <c r="O137" i="30"/>
  <c r="M137" i="30"/>
  <c r="O38" i="40"/>
  <c r="M38" i="40"/>
  <c r="R26" i="56"/>
  <c r="R20" i="56"/>
  <c r="R14" i="56"/>
  <c r="R13" i="56"/>
  <c r="Q13" i="56"/>
  <c r="M481" i="38"/>
  <c r="R12" i="56"/>
  <c r="Q12" i="56"/>
  <c r="M480" i="38"/>
  <c r="R11" i="56"/>
  <c r="Q11" i="56"/>
  <c r="M479" i="38"/>
  <c r="R10" i="56"/>
  <c r="M478" i="38"/>
  <c r="R9" i="56"/>
  <c r="Q9" i="56"/>
  <c r="M477" i="38"/>
  <c r="H8" i="56"/>
  <c r="B4" i="56"/>
  <c r="B3" i="56"/>
  <c r="A2" i="56"/>
  <c r="BD3" i="56" l="1"/>
  <c r="BC3" i="56"/>
  <c r="H7" i="56"/>
  <c r="O17" i="56"/>
  <c r="O29" i="56"/>
  <c r="R8" i="56"/>
  <c r="R7" i="56" s="1"/>
  <c r="R35" i="56" s="1"/>
  <c r="J22" i="88" s="1"/>
  <c r="L22" i="88" s="1"/>
  <c r="M245" i="72"/>
  <c r="N253" i="72"/>
  <c r="O11" i="56"/>
  <c r="O479" i="38" s="1"/>
  <c r="O28" i="56"/>
  <c r="O20" i="70"/>
  <c r="K240" i="72"/>
  <c r="O30" i="56"/>
  <c r="M275" i="72"/>
  <c r="M273" i="72" s="1"/>
  <c r="M265" i="72" s="1"/>
  <c r="M264" i="72" s="1"/>
  <c r="N7" i="66"/>
  <c r="I241" i="72"/>
  <c r="K241" i="72"/>
  <c r="P237" i="72"/>
  <c r="H261" i="72"/>
  <c r="G261" i="72" s="1"/>
  <c r="M260" i="72"/>
  <c r="K259" i="72"/>
  <c r="M258" i="72"/>
  <c r="O15" i="56"/>
  <c r="O21" i="56"/>
  <c r="O13" i="56"/>
  <c r="O481" i="38" s="1"/>
  <c r="O22" i="56"/>
  <c r="O9" i="56"/>
  <c r="O477" i="38" s="1"/>
  <c r="K250" i="72"/>
  <c r="M256" i="72"/>
  <c r="O10" i="56"/>
  <c r="O478" i="38" s="1"/>
  <c r="O24" i="56"/>
  <c r="O12" i="56"/>
  <c r="O480" i="38" s="1"/>
  <c r="O23" i="56"/>
  <c r="O27" i="56"/>
  <c r="O19" i="56"/>
  <c r="O16" i="56"/>
  <c r="O18" i="56"/>
  <c r="R17" i="58"/>
  <c r="P236" i="72" s="1"/>
  <c r="Q17" i="58"/>
  <c r="O17" i="58"/>
  <c r="K235" i="72"/>
  <c r="P234" i="72"/>
  <c r="K234" i="72"/>
  <c r="K233" i="72"/>
  <c r="R13" i="58"/>
  <c r="P232" i="72" s="1"/>
  <c r="Q13" i="58"/>
  <c r="O13" i="58"/>
  <c r="R12" i="58"/>
  <c r="P231" i="72" s="1"/>
  <c r="Q12" i="58"/>
  <c r="O12" i="58"/>
  <c r="R11" i="58"/>
  <c r="P230" i="72" s="1"/>
  <c r="Q11" i="58"/>
  <c r="O11" i="58"/>
  <c r="R10" i="58"/>
  <c r="Q10" i="58"/>
  <c r="O10" i="58"/>
  <c r="J7" i="58"/>
  <c r="I7" i="58"/>
  <c r="R8" i="58"/>
  <c r="P227" i="72" s="1"/>
  <c r="Q8" i="58"/>
  <c r="B4" i="58"/>
  <c r="AA3" i="58"/>
  <c r="U3" i="58"/>
  <c r="B3" i="58"/>
  <c r="B2" i="58"/>
  <c r="A2" i="58"/>
  <c r="U177" i="49"/>
  <c r="S177" i="49"/>
  <c r="M73" i="24"/>
  <c r="U176" i="49"/>
  <c r="S176" i="49"/>
  <c r="M72" i="24"/>
  <c r="U174" i="49"/>
  <c r="S174" i="49"/>
  <c r="M71" i="24"/>
  <c r="U172" i="49"/>
  <c r="S172" i="49"/>
  <c r="M35" i="32"/>
  <c r="U171" i="49"/>
  <c r="S171" i="49"/>
  <c r="M41" i="31"/>
  <c r="U170" i="49"/>
  <c r="S170" i="49"/>
  <c r="M133" i="30"/>
  <c r="U169" i="49"/>
  <c r="S169" i="49"/>
  <c r="M132" i="30"/>
  <c r="U168" i="49"/>
  <c r="S168" i="49"/>
  <c r="U164" i="49"/>
  <c r="S164" i="49"/>
  <c r="M475" i="38"/>
  <c r="U162" i="49"/>
  <c r="S162" i="49"/>
  <c r="M130" i="30"/>
  <c r="U161" i="49"/>
  <c r="S161" i="49"/>
  <c r="M44" i="68"/>
  <c r="U160" i="49"/>
  <c r="S160" i="49"/>
  <c r="M70" i="24"/>
  <c r="U159" i="49"/>
  <c r="S159" i="49"/>
  <c r="M69" i="24"/>
  <c r="U157" i="49"/>
  <c r="S157" i="49"/>
  <c r="M63" i="41"/>
  <c r="U156" i="49"/>
  <c r="S156" i="49"/>
  <c r="M48" i="20"/>
  <c r="U155" i="49"/>
  <c r="S155" i="49"/>
  <c r="M129" i="30"/>
  <c r="U154" i="49"/>
  <c r="S154" i="49"/>
  <c r="M35" i="40"/>
  <c r="U152" i="49"/>
  <c r="S152" i="49"/>
  <c r="U150" i="49"/>
  <c r="S150" i="49"/>
  <c r="M30" i="45"/>
  <c r="U147" i="49"/>
  <c r="S147" i="49"/>
  <c r="M474" i="38"/>
  <c r="U145" i="49"/>
  <c r="S145" i="49"/>
  <c r="M68" i="24"/>
  <c r="U144" i="49"/>
  <c r="S144" i="49"/>
  <c r="M34" i="32"/>
  <c r="U143" i="49"/>
  <c r="S143" i="49"/>
  <c r="M33" i="23"/>
  <c r="U142" i="49"/>
  <c r="S142" i="49"/>
  <c r="M32" i="23"/>
  <c r="I32" i="23"/>
  <c r="U141" i="49"/>
  <c r="S141" i="49"/>
  <c r="M47" i="20"/>
  <c r="U140" i="49"/>
  <c r="S140" i="49"/>
  <c r="M46" i="20"/>
  <c r="U139" i="49"/>
  <c r="S139" i="49"/>
  <c r="M127" i="30"/>
  <c r="U138" i="49"/>
  <c r="S138" i="49"/>
  <c r="U135" i="49"/>
  <c r="S135" i="49"/>
  <c r="M126" i="30"/>
  <c r="U134" i="49"/>
  <c r="S134" i="49"/>
  <c r="M43" i="68"/>
  <c r="U133" i="49"/>
  <c r="S133" i="49"/>
  <c r="M67" i="24"/>
  <c r="U132" i="49"/>
  <c r="S132" i="49"/>
  <c r="M33" i="32"/>
  <c r="U131" i="49"/>
  <c r="S131" i="49"/>
  <c r="M32" i="32"/>
  <c r="U130" i="49"/>
  <c r="S130" i="49"/>
  <c r="M62" i="41"/>
  <c r="U129" i="49"/>
  <c r="S129" i="49"/>
  <c r="M45" i="20"/>
  <c r="U128" i="49"/>
  <c r="S128" i="49"/>
  <c r="M44" i="20"/>
  <c r="U127" i="49"/>
  <c r="S127" i="49"/>
  <c r="M125" i="30"/>
  <c r="U126" i="49"/>
  <c r="S126" i="49"/>
  <c r="M124" i="30"/>
  <c r="U125" i="49"/>
  <c r="S125" i="49"/>
  <c r="M34" i="40"/>
  <c r="I34" i="40"/>
  <c r="U124" i="49"/>
  <c r="S124" i="49"/>
  <c r="U122" i="49"/>
  <c r="S122" i="49"/>
  <c r="M33" i="40"/>
  <c r="U121" i="49"/>
  <c r="S121" i="49"/>
  <c r="M473" i="38"/>
  <c r="P229" i="72" l="1"/>
  <c r="R21" i="58"/>
  <c r="Q160" i="49"/>
  <c r="O70" i="24" s="1"/>
  <c r="Q164" i="49"/>
  <c r="O475" i="38" s="1"/>
  <c r="Q162" i="49"/>
  <c r="O130" i="30" s="1"/>
  <c r="U149" i="49"/>
  <c r="Q139" i="49"/>
  <c r="O127" i="30" s="1"/>
  <c r="Q152" i="49"/>
  <c r="O128" i="30" s="1"/>
  <c r="Q168" i="49"/>
  <c r="Q135" i="49"/>
  <c r="O126" i="30" s="1"/>
  <c r="Q170" i="49"/>
  <c r="O133" i="30" s="1"/>
  <c r="Q172" i="49"/>
  <c r="O35" i="32" s="1"/>
  <c r="Q176" i="49"/>
  <c r="O72" i="24" s="1"/>
  <c r="Q140" i="49"/>
  <c r="O46" i="20" s="1"/>
  <c r="Q145" i="49"/>
  <c r="O68" i="24" s="1"/>
  <c r="Q150" i="49"/>
  <c r="O30" i="45" s="1"/>
  <c r="O29" i="45" s="1"/>
  <c r="Q165" i="49"/>
  <c r="V165" i="49" s="1"/>
  <c r="Q169" i="49"/>
  <c r="O132" i="30" s="1"/>
  <c r="O14" i="58"/>
  <c r="U4" i="58" s="1"/>
  <c r="Q171" i="49"/>
  <c r="O232" i="72"/>
  <c r="BB3" i="56"/>
  <c r="AD3" i="56" s="1"/>
  <c r="U175" i="49"/>
  <c r="H260" i="72"/>
  <c r="G260" i="72" s="1"/>
  <c r="AE4" i="58"/>
  <c r="R9" i="58"/>
  <c r="R7" i="58" s="1"/>
  <c r="E3" i="58" s="1"/>
  <c r="O67" i="41"/>
  <c r="M232" i="72"/>
  <c r="O32" i="45"/>
  <c r="O31" i="45" s="1"/>
  <c r="AF4" i="58"/>
  <c r="Q177" i="49"/>
  <c r="Q143" i="49"/>
  <c r="Q147" i="49"/>
  <c r="V147" i="49" s="1"/>
  <c r="Q159" i="49"/>
  <c r="O236" i="72"/>
  <c r="M236" i="72"/>
  <c r="O28" i="61"/>
  <c r="Q128" i="49"/>
  <c r="O44" i="20" s="1"/>
  <c r="Q155" i="49"/>
  <c r="O129" i="30" s="1"/>
  <c r="U158" i="49"/>
  <c r="U153" i="49" s="1"/>
  <c r="Q121" i="49"/>
  <c r="V121" i="49" s="1"/>
  <c r="Q125" i="49"/>
  <c r="Q129" i="49"/>
  <c r="O45" i="20" s="1"/>
  <c r="Q133" i="49"/>
  <c r="Q151" i="49"/>
  <c r="V151" i="49" s="1"/>
  <c r="M128" i="30"/>
  <c r="Q156" i="49"/>
  <c r="O48" i="20" s="1"/>
  <c r="Q174" i="49"/>
  <c r="H7" i="58"/>
  <c r="K232" i="72"/>
  <c r="M32" i="45"/>
  <c r="Q132" i="49"/>
  <c r="O33" i="32" s="1"/>
  <c r="Q126" i="49"/>
  <c r="O124" i="30" s="1"/>
  <c r="Q130" i="49"/>
  <c r="Q137" i="49"/>
  <c r="V137" i="49" s="1"/>
  <c r="M23" i="26"/>
  <c r="Q157" i="49"/>
  <c r="O63" i="41" s="1"/>
  <c r="O8" i="58"/>
  <c r="O230" i="72"/>
  <c r="O15" i="58"/>
  <c r="M254" i="72"/>
  <c r="M253" i="72" s="1"/>
  <c r="M252" i="72" s="1"/>
  <c r="H252" i="72" s="1"/>
  <c r="G252" i="72" s="1"/>
  <c r="M272" i="72"/>
  <c r="Q122" i="49"/>
  <c r="O33" i="40" s="1"/>
  <c r="U136" i="49"/>
  <c r="Q134" i="49"/>
  <c r="Q138" i="49"/>
  <c r="O23" i="26" s="1"/>
  <c r="O22" i="26" s="1"/>
  <c r="Q161" i="49"/>
  <c r="V161" i="49" s="1"/>
  <c r="K231" i="72"/>
  <c r="M27" i="61"/>
  <c r="Q141" i="49"/>
  <c r="O47" i="20" s="1"/>
  <c r="K227" i="72"/>
  <c r="M43" i="31"/>
  <c r="M250" i="72"/>
  <c r="M249" i="72" s="1"/>
  <c r="M238" i="72" s="1"/>
  <c r="H238" i="72" s="1"/>
  <c r="M231" i="72"/>
  <c r="O27" i="61"/>
  <c r="Q127" i="49"/>
  <c r="O125" i="30" s="1"/>
  <c r="Q142" i="49"/>
  <c r="Q154" i="49"/>
  <c r="Q166" i="49"/>
  <c r="AF3" i="58"/>
  <c r="O52" i="20"/>
  <c r="Q144" i="49"/>
  <c r="O34" i="32" s="1"/>
  <c r="Q123" i="49"/>
  <c r="V123" i="49" s="1"/>
  <c r="M22" i="44"/>
  <c r="Q131" i="49"/>
  <c r="O32" i="32" s="1"/>
  <c r="Q124" i="49"/>
  <c r="O22" i="44" s="1"/>
  <c r="Q167" i="49"/>
  <c r="M131" i="30"/>
  <c r="O231" i="72"/>
  <c r="K236" i="72"/>
  <c r="M28" i="61"/>
  <c r="O476" i="38"/>
  <c r="D4" i="66"/>
  <c r="U120" i="49"/>
  <c r="U173" i="49"/>
  <c r="AP3" i="58"/>
  <c r="O234" i="72"/>
  <c r="E3" i="56"/>
  <c r="O8" i="56"/>
  <c r="BB4" i="56" s="1"/>
  <c r="O16" i="58"/>
  <c r="K229" i="72"/>
  <c r="M35" i="54"/>
  <c r="M229" i="72"/>
  <c r="O35" i="54"/>
  <c r="O14" i="56"/>
  <c r="AD4" i="56" s="1"/>
  <c r="O9" i="58"/>
  <c r="O4" i="58"/>
  <c r="K230" i="72"/>
  <c r="M36" i="54"/>
  <c r="M230" i="72"/>
  <c r="O36" i="54"/>
  <c r="O229" i="72"/>
  <c r="P228" i="72"/>
  <c r="P226" i="72" s="1"/>
  <c r="X20" i="87" s="1"/>
  <c r="AL20" i="87" s="1"/>
  <c r="O227" i="72"/>
  <c r="AH3" i="58"/>
  <c r="U146" i="49"/>
  <c r="O3" i="58"/>
  <c r="AE3" i="58"/>
  <c r="U118" i="49"/>
  <c r="S118" i="49"/>
  <c r="M43" i="20"/>
  <c r="U115" i="49"/>
  <c r="S115" i="49"/>
  <c r="U113" i="49"/>
  <c r="S113" i="49"/>
  <c r="M472" i="38"/>
  <c r="U112" i="49"/>
  <c r="S112" i="49"/>
  <c r="M471" i="38"/>
  <c r="U109" i="49"/>
  <c r="S109" i="49"/>
  <c r="M66" i="24"/>
  <c r="U108" i="49"/>
  <c r="S108" i="49"/>
  <c r="M31" i="32"/>
  <c r="U107" i="49"/>
  <c r="S107" i="49"/>
  <c r="M31" i="23"/>
  <c r="I31" i="23"/>
  <c r="U106" i="49"/>
  <c r="S106" i="49"/>
  <c r="M61" i="41"/>
  <c r="U105" i="49"/>
  <c r="S105" i="49"/>
  <c r="M42" i="20"/>
  <c r="U104" i="49"/>
  <c r="S104" i="49"/>
  <c r="M41" i="20"/>
  <c r="U103" i="49"/>
  <c r="S103" i="49"/>
  <c r="M123" i="30"/>
  <c r="U102" i="49"/>
  <c r="S102" i="49"/>
  <c r="M32" i="40"/>
  <c r="F32" i="40"/>
  <c r="U101" i="49"/>
  <c r="S101" i="49"/>
  <c r="M470" i="38"/>
  <c r="U100" i="49"/>
  <c r="S100" i="49"/>
  <c r="M21" i="44"/>
  <c r="U99" i="49"/>
  <c r="S99" i="49"/>
  <c r="Q99" i="49"/>
  <c r="O106" i="27" s="1"/>
  <c r="U96" i="49"/>
  <c r="S96" i="49"/>
  <c r="M469" i="38"/>
  <c r="U95" i="49"/>
  <c r="S95" i="49"/>
  <c r="M468" i="38"/>
  <c r="U92" i="49"/>
  <c r="S92" i="49"/>
  <c r="M122" i="30"/>
  <c r="U89" i="49"/>
  <c r="S89" i="49"/>
  <c r="M17" i="75"/>
  <c r="U88" i="49"/>
  <c r="S88" i="49"/>
  <c r="M65" i="24"/>
  <c r="U87" i="49"/>
  <c r="S87" i="49"/>
  <c r="M30" i="32"/>
  <c r="U85" i="49"/>
  <c r="S85" i="49"/>
  <c r="M42" i="68"/>
  <c r="U84" i="49"/>
  <c r="S84" i="49"/>
  <c r="M121" i="30"/>
  <c r="U83" i="49"/>
  <c r="S83" i="49"/>
  <c r="M60" i="41"/>
  <c r="U82" i="49"/>
  <c r="S82" i="49"/>
  <c r="M59" i="41"/>
  <c r="I59" i="41"/>
  <c r="U81" i="49"/>
  <c r="S81" i="49"/>
  <c r="M40" i="20"/>
  <c r="U80" i="49"/>
  <c r="S80" i="49"/>
  <c r="M39" i="20"/>
  <c r="U79" i="49"/>
  <c r="S79" i="49"/>
  <c r="M120" i="30"/>
  <c r="U78" i="49"/>
  <c r="S78" i="49"/>
  <c r="M119" i="30"/>
  <c r="U77" i="49"/>
  <c r="S77" i="49"/>
  <c r="M118" i="30"/>
  <c r="U76" i="49"/>
  <c r="S76" i="49"/>
  <c r="M31" i="40"/>
  <c r="U75" i="49"/>
  <c r="J20" i="88" s="1"/>
  <c r="L20" i="88" s="1"/>
  <c r="S75" i="49"/>
  <c r="M467" i="38"/>
  <c r="U74" i="49"/>
  <c r="S74" i="49"/>
  <c r="M466" i="38"/>
  <c r="U73" i="49"/>
  <c r="S73" i="49"/>
  <c r="U71" i="49"/>
  <c r="S71" i="49"/>
  <c r="M465" i="38"/>
  <c r="U65" i="49"/>
  <c r="S65" i="49"/>
  <c r="M16" i="70"/>
  <c r="U64" i="49"/>
  <c r="S64" i="49"/>
  <c r="M64" i="24"/>
  <c r="U63" i="49"/>
  <c r="S63" i="49"/>
  <c r="M58" i="41"/>
  <c r="U62" i="49"/>
  <c r="S62" i="49"/>
  <c r="M63" i="24"/>
  <c r="I63" i="24"/>
  <c r="U61" i="49"/>
  <c r="S61" i="49"/>
  <c r="M62" i="24"/>
  <c r="U60" i="49"/>
  <c r="S60" i="49"/>
  <c r="M117" i="30"/>
  <c r="U59" i="49"/>
  <c r="S59" i="49"/>
  <c r="M116" i="30"/>
  <c r="U58" i="49"/>
  <c r="S58" i="49"/>
  <c r="M115" i="30"/>
  <c r="U57" i="49"/>
  <c r="S57" i="49"/>
  <c r="M114" i="30"/>
  <c r="U56" i="49"/>
  <c r="S56" i="49"/>
  <c r="M113" i="30"/>
  <c r="U55" i="49"/>
  <c r="S55" i="49"/>
  <c r="U51" i="49"/>
  <c r="S51" i="49"/>
  <c r="M464" i="38"/>
  <c r="U48" i="49"/>
  <c r="S48" i="49"/>
  <c r="M16" i="75"/>
  <c r="U47" i="49"/>
  <c r="S47" i="49"/>
  <c r="M33" i="42"/>
  <c r="U46" i="49"/>
  <c r="S46" i="49"/>
  <c r="M41" i="68"/>
  <c r="U45" i="49"/>
  <c r="S45" i="49"/>
  <c r="M21" i="71"/>
  <c r="U44" i="49"/>
  <c r="S44" i="49"/>
  <c r="M20" i="71"/>
  <c r="U43" i="49"/>
  <c r="S43" i="49"/>
  <c r="M29" i="32"/>
  <c r="U42" i="49"/>
  <c r="S42" i="49"/>
  <c r="M57" i="41"/>
  <c r="U41" i="49"/>
  <c r="S41" i="49"/>
  <c r="M38" i="20"/>
  <c r="U40" i="49"/>
  <c r="S40" i="49"/>
  <c r="M111" i="30"/>
  <c r="U39" i="49"/>
  <c r="S39" i="49"/>
  <c r="M110" i="30"/>
  <c r="U38" i="49"/>
  <c r="S38" i="49"/>
  <c r="M109" i="30"/>
  <c r="U37" i="49"/>
  <c r="S37" i="49"/>
  <c r="M30" i="40"/>
  <c r="U36" i="49"/>
  <c r="S36" i="49"/>
  <c r="M463" i="38"/>
  <c r="U35" i="49"/>
  <c r="S35" i="49"/>
  <c r="L462" i="38"/>
  <c r="U34" i="49"/>
  <c r="S34" i="49"/>
  <c r="M461" i="38"/>
  <c r="U33" i="49"/>
  <c r="S33" i="49"/>
  <c r="Q33" i="49"/>
  <c r="U30" i="49"/>
  <c r="S30" i="49"/>
  <c r="M104" i="27"/>
  <c r="U28" i="49"/>
  <c r="S28" i="49"/>
  <c r="M460" i="38"/>
  <c r="U27" i="49"/>
  <c r="S27" i="49"/>
  <c r="M459" i="38"/>
  <c r="U26" i="49"/>
  <c r="S26" i="49"/>
  <c r="M458" i="38"/>
  <c r="U25" i="49"/>
  <c r="S25" i="49"/>
  <c r="M457" i="38"/>
  <c r="U24" i="49"/>
  <c r="S24" i="49"/>
  <c r="M456" i="38"/>
  <c r="U23" i="49"/>
  <c r="S23" i="49"/>
  <c r="M455" i="38"/>
  <c r="U22" i="49"/>
  <c r="S22" i="49"/>
  <c r="M454" i="38"/>
  <c r="U18" i="49"/>
  <c r="S18" i="49"/>
  <c r="M30" i="23"/>
  <c r="U17" i="49"/>
  <c r="S17" i="49"/>
  <c r="M453" i="38"/>
  <c r="U16" i="49"/>
  <c r="S16" i="49"/>
  <c r="M452" i="38"/>
  <c r="U15" i="49"/>
  <c r="S15" i="49"/>
  <c r="M451" i="38"/>
  <c r="U14" i="49"/>
  <c r="S14" i="49"/>
  <c r="M450" i="38"/>
  <c r="U13" i="49"/>
  <c r="S13" i="49"/>
  <c r="M449" i="38"/>
  <c r="U12" i="49"/>
  <c r="S12" i="49"/>
  <c r="U8" i="49"/>
  <c r="D2" i="49"/>
  <c r="C2" i="49"/>
  <c r="B2" i="49"/>
  <c r="A2" i="49"/>
  <c r="Q128" i="47"/>
  <c r="Q116" i="47"/>
  <c r="T116" i="47" s="1"/>
  <c r="Q104" i="47"/>
  <c r="T104" i="47" s="1"/>
  <c r="Q91" i="47"/>
  <c r="T91" i="47" s="1"/>
  <c r="Q79" i="47"/>
  <c r="T79" i="47" s="1"/>
  <c r="Q67" i="47"/>
  <c r="T67" i="47" s="1"/>
  <c r="Q54" i="47"/>
  <c r="T54" i="47" s="1"/>
  <c r="Q42" i="47"/>
  <c r="T42" i="47" s="1"/>
  <c r="Q29" i="47"/>
  <c r="T29" i="47" s="1"/>
  <c r="Q22" i="47"/>
  <c r="M25" i="61"/>
  <c r="Q21" i="47"/>
  <c r="P225" i="72" s="1"/>
  <c r="Q20" i="47"/>
  <c r="M23" i="61"/>
  <c r="Q19" i="47"/>
  <c r="M22" i="61"/>
  <c r="Q18" i="47"/>
  <c r="M21" i="61"/>
  <c r="Q16" i="47"/>
  <c r="M393" i="38"/>
  <c r="Q15" i="47"/>
  <c r="M392" i="38"/>
  <c r="Q14" i="47"/>
  <c r="M391" i="38"/>
  <c r="H3" i="49" l="1"/>
  <c r="AC3" i="47" s="1"/>
  <c r="R20" i="58"/>
  <c r="J21" i="88"/>
  <c r="L21" i="88" s="1"/>
  <c r="R26" i="47"/>
  <c r="T26" i="47"/>
  <c r="J3" i="49"/>
  <c r="Q12" i="47" s="1"/>
  <c r="BD3" i="47" s="1"/>
  <c r="G3" i="49"/>
  <c r="Q9" i="47" s="1"/>
  <c r="BB3" i="47" s="1"/>
  <c r="AH3" i="47" s="1"/>
  <c r="O32" i="23"/>
  <c r="V142" i="49"/>
  <c r="O43" i="68"/>
  <c r="V134" i="49"/>
  <c r="O34" i="40"/>
  <c r="V125" i="49"/>
  <c r="V156" i="49"/>
  <c r="O20" i="44"/>
  <c r="V33" i="49"/>
  <c r="V141" i="49"/>
  <c r="O67" i="24"/>
  <c r="V133" i="49"/>
  <c r="O33" i="23"/>
  <c r="V143" i="49"/>
  <c r="V128" i="49"/>
  <c r="Q96" i="49"/>
  <c r="O35" i="40"/>
  <c r="V154" i="49"/>
  <c r="O62" i="41"/>
  <c r="V130" i="49"/>
  <c r="O41" i="31"/>
  <c r="O40" i="31" s="1"/>
  <c r="V171" i="49"/>
  <c r="O131" i="30"/>
  <c r="V168" i="49"/>
  <c r="V140" i="49"/>
  <c r="V129" i="49"/>
  <c r="I3" i="49"/>
  <c r="Q83" i="49"/>
  <c r="Q14" i="49"/>
  <c r="O450" i="38" s="1"/>
  <c r="Q76" i="49"/>
  <c r="Q89" i="49"/>
  <c r="O17" i="75" s="1"/>
  <c r="M462" i="38"/>
  <c r="Q103" i="49"/>
  <c r="O123" i="30" s="1"/>
  <c r="Q149" i="49"/>
  <c r="V149" i="49" s="1"/>
  <c r="Q60" i="49"/>
  <c r="O117" i="30" s="1"/>
  <c r="Q80" i="49"/>
  <c r="O39" i="20" s="1"/>
  <c r="Q85" i="49"/>
  <c r="Q18" i="49"/>
  <c r="O30" i="23" s="1"/>
  <c r="Q23" i="49"/>
  <c r="O455" i="38" s="1"/>
  <c r="Q25" i="49"/>
  <c r="Q27" i="49"/>
  <c r="O459" i="38" s="1"/>
  <c r="N14" i="47"/>
  <c r="O391" i="38" s="1"/>
  <c r="N19" i="47"/>
  <c r="N20" i="47"/>
  <c r="Q38" i="49"/>
  <c r="O109" i="30" s="1"/>
  <c r="Q42" i="49"/>
  <c r="Q46" i="49"/>
  <c r="O41" i="68" s="1"/>
  <c r="Q47" i="49"/>
  <c r="O33" i="42" s="1"/>
  <c r="O32" i="42" s="1"/>
  <c r="Q63" i="49"/>
  <c r="U163" i="49"/>
  <c r="U148" i="49" s="1"/>
  <c r="Q13" i="47"/>
  <c r="M233" i="72"/>
  <c r="O21" i="58"/>
  <c r="N22" i="47"/>
  <c r="O25" i="61" s="1"/>
  <c r="Q24" i="47"/>
  <c r="T24" i="47" s="1"/>
  <c r="Q66" i="47"/>
  <c r="T66" i="47" s="1"/>
  <c r="Q9" i="49"/>
  <c r="Q15" i="49"/>
  <c r="O451" i="38" s="1"/>
  <c r="Q22" i="49"/>
  <c r="O454" i="38" s="1"/>
  <c r="Q26" i="49"/>
  <c r="Q31" i="49"/>
  <c r="V31" i="49" s="1"/>
  <c r="Q34" i="49"/>
  <c r="Q19" i="49"/>
  <c r="Q51" i="49"/>
  <c r="O464" i="38" s="1"/>
  <c r="Q55" i="49"/>
  <c r="Q57" i="49"/>
  <c r="Q59" i="49"/>
  <c r="O116" i="30" s="1"/>
  <c r="Q61" i="49"/>
  <c r="Q71" i="49"/>
  <c r="Q75" i="49"/>
  <c r="Q79" i="49"/>
  <c r="O120" i="30" s="1"/>
  <c r="Q95" i="49"/>
  <c r="Q102" i="49"/>
  <c r="Q104" i="49"/>
  <c r="O41" i="20" s="1"/>
  <c r="Q106" i="49"/>
  <c r="Q112" i="49"/>
  <c r="Q17" i="47"/>
  <c r="Q56" i="49"/>
  <c r="Q101" i="49"/>
  <c r="O26" i="61"/>
  <c r="Q82" i="49"/>
  <c r="N141" i="47"/>
  <c r="T141" i="47" s="1"/>
  <c r="U50" i="49"/>
  <c r="Q13" i="49"/>
  <c r="O449" i="38" s="1"/>
  <c r="Q17" i="49"/>
  <c r="Q30" i="49"/>
  <c r="O104" i="27" s="1"/>
  <c r="Q74" i="49"/>
  <c r="Q78" i="49"/>
  <c r="O119" i="30" s="1"/>
  <c r="Q118" i="49"/>
  <c r="V118" i="49" s="1"/>
  <c r="K225" i="72"/>
  <c r="M24" i="61"/>
  <c r="Q110" i="49"/>
  <c r="V110" i="49" s="1"/>
  <c r="Q114" i="49"/>
  <c r="V114" i="49" s="1"/>
  <c r="M107" i="27"/>
  <c r="N15" i="47"/>
  <c r="N18" i="47"/>
  <c r="N21" i="47"/>
  <c r="Q39" i="49"/>
  <c r="Q43" i="49"/>
  <c r="Q64" i="49"/>
  <c r="O64" i="24" s="1"/>
  <c r="Q70" i="49"/>
  <c r="V70" i="49" s="1"/>
  <c r="L465" i="38"/>
  <c r="U94" i="49"/>
  <c r="Q100" i="49"/>
  <c r="Q107" i="49"/>
  <c r="Q115" i="49"/>
  <c r="O107" i="27" s="1"/>
  <c r="O473" i="38"/>
  <c r="Q120" i="49"/>
  <c r="V120" i="49" s="1"/>
  <c r="O69" i="24"/>
  <c r="Q158" i="49"/>
  <c r="Q153" i="49" s="1"/>
  <c r="V153" i="49" s="1"/>
  <c r="O474" i="38"/>
  <c r="Q146" i="49"/>
  <c r="V146" i="49" s="1"/>
  <c r="Q32" i="49"/>
  <c r="V32" i="49" s="1"/>
  <c r="M20" i="44"/>
  <c r="Q36" i="49"/>
  <c r="Q40" i="49"/>
  <c r="O111" i="30" s="1"/>
  <c r="Q44" i="49"/>
  <c r="Q65" i="49"/>
  <c r="Q87" i="49"/>
  <c r="V87" i="49" s="1"/>
  <c r="Q92" i="49"/>
  <c r="Q108" i="49"/>
  <c r="O73" i="24"/>
  <c r="Q175" i="49"/>
  <c r="M234" i="72"/>
  <c r="AH4" i="58"/>
  <c r="U119" i="49"/>
  <c r="M227" i="72"/>
  <c r="O43" i="31"/>
  <c r="O42" i="31" s="1"/>
  <c r="AP4" i="58"/>
  <c r="M237" i="72"/>
  <c r="H237" i="72" s="1"/>
  <c r="G237" i="72" s="1"/>
  <c r="Q10" i="49"/>
  <c r="U7" i="49"/>
  <c r="Q24" i="49"/>
  <c r="O456" i="38" s="1"/>
  <c r="Q28" i="49"/>
  <c r="O460" i="38" s="1"/>
  <c r="Q48" i="49"/>
  <c r="O16" i="75" s="1"/>
  <c r="Q52" i="49"/>
  <c r="Q58" i="49"/>
  <c r="O115" i="30" s="1"/>
  <c r="Q72" i="49"/>
  <c r="M105" i="27"/>
  <c r="Q105" i="49"/>
  <c r="O42" i="20" s="1"/>
  <c r="Q116" i="49"/>
  <c r="V116" i="49" s="1"/>
  <c r="O44" i="68"/>
  <c r="O71" i="24"/>
  <c r="Q173" i="49"/>
  <c r="Q103" i="47"/>
  <c r="T103" i="47" s="1"/>
  <c r="Q11" i="49"/>
  <c r="M448" i="38"/>
  <c r="Q37" i="49"/>
  <c r="Q41" i="49"/>
  <c r="O38" i="20" s="1"/>
  <c r="Q45" i="49"/>
  <c r="Q53" i="49"/>
  <c r="Q62" i="49"/>
  <c r="Q73" i="49"/>
  <c r="O105" i="27" s="1"/>
  <c r="Q88" i="49"/>
  <c r="Q93" i="49"/>
  <c r="V93" i="49" s="1"/>
  <c r="Q97" i="49"/>
  <c r="V97" i="49" s="1"/>
  <c r="Q109" i="49"/>
  <c r="Q12" i="49"/>
  <c r="Q16" i="49"/>
  <c r="Q54" i="49"/>
  <c r="V54" i="49" s="1"/>
  <c r="M112" i="30"/>
  <c r="Q66" i="49"/>
  <c r="Q77" i="49"/>
  <c r="Q81" i="49"/>
  <c r="O40" i="20" s="1"/>
  <c r="Q98" i="49"/>
  <c r="M106" i="27"/>
  <c r="Q113" i="49"/>
  <c r="V113" i="49" s="1"/>
  <c r="Q136" i="49"/>
  <c r="V136" i="49" s="1"/>
  <c r="U86" i="49"/>
  <c r="U69" i="49" s="1"/>
  <c r="U91" i="49"/>
  <c r="U21" i="49"/>
  <c r="U111" i="49"/>
  <c r="M228" i="72"/>
  <c r="M235" i="72"/>
  <c r="AA4" i="58"/>
  <c r="O7" i="58"/>
  <c r="E4" i="58" s="1"/>
  <c r="O34" i="54"/>
  <c r="Q29" i="49"/>
  <c r="V29" i="49" s="1"/>
  <c r="Q84" i="49"/>
  <c r="Q49" i="49"/>
  <c r="N16" i="47"/>
  <c r="T16" i="47" s="1"/>
  <c r="O225" i="72"/>
  <c r="P224" i="72"/>
  <c r="U117" i="49"/>
  <c r="B4" i="47"/>
  <c r="B3" i="47"/>
  <c r="B2" i="47"/>
  <c r="A2" i="47"/>
  <c r="R52" i="11"/>
  <c r="Q52" i="11"/>
  <c r="M23" i="53"/>
  <c r="R51" i="11"/>
  <c r="Q51" i="11"/>
  <c r="M60" i="24"/>
  <c r="R50" i="11"/>
  <c r="Q50" i="11"/>
  <c r="M59" i="24"/>
  <c r="R49" i="11"/>
  <c r="Q49" i="11"/>
  <c r="M58" i="24"/>
  <c r="R48" i="11"/>
  <c r="Q48" i="11"/>
  <c r="M57" i="24"/>
  <c r="R46" i="11"/>
  <c r="AQ3" i="11" s="1"/>
  <c r="Q46" i="11"/>
  <c r="M28" i="23"/>
  <c r="R45" i="11"/>
  <c r="Q45" i="11"/>
  <c r="M39" i="31"/>
  <c r="R42" i="11"/>
  <c r="Q42" i="11"/>
  <c r="M38" i="31"/>
  <c r="R41" i="11"/>
  <c r="Q41" i="11"/>
  <c r="M37" i="31"/>
  <c r="R40" i="11"/>
  <c r="Q40" i="11"/>
  <c r="M36" i="31"/>
  <c r="R39" i="11"/>
  <c r="Q39" i="11"/>
  <c r="M35" i="31"/>
  <c r="R38" i="11"/>
  <c r="Q38" i="11"/>
  <c r="M34" i="31"/>
  <c r="R36" i="11"/>
  <c r="Q36" i="11"/>
  <c r="M33" i="31"/>
  <c r="R35" i="11"/>
  <c r="Q35" i="11"/>
  <c r="M21" i="43"/>
  <c r="R32" i="11"/>
  <c r="AM3" i="11" s="1"/>
  <c r="Q32" i="11"/>
  <c r="M39" i="68"/>
  <c r="R30" i="11"/>
  <c r="Q30" i="11"/>
  <c r="M55" i="41"/>
  <c r="R29" i="11"/>
  <c r="Q29" i="11"/>
  <c r="M54" i="41"/>
  <c r="R28" i="11"/>
  <c r="R57" i="11" s="1"/>
  <c r="J19" i="88" s="1"/>
  <c r="L19" i="88" s="1"/>
  <c r="Q28" i="11"/>
  <c r="M53" i="41"/>
  <c r="R27" i="11"/>
  <c r="Q27" i="11"/>
  <c r="M52" i="41"/>
  <c r="R25" i="11"/>
  <c r="Q25" i="11"/>
  <c r="M36" i="20"/>
  <c r="R24" i="11"/>
  <c r="Q24" i="11"/>
  <c r="M35" i="20"/>
  <c r="R22" i="11"/>
  <c r="Q22" i="11"/>
  <c r="M107" i="30"/>
  <c r="R21" i="11"/>
  <c r="Q21" i="11"/>
  <c r="M106" i="30"/>
  <c r="R17" i="11"/>
  <c r="O3" i="11" s="1"/>
  <c r="Q17" i="11"/>
  <c r="R11" i="11"/>
  <c r="Q11" i="11"/>
  <c r="M445" i="38"/>
  <c r="R10" i="11"/>
  <c r="Q10" i="11"/>
  <c r="M287" i="38"/>
  <c r="R9" i="11"/>
  <c r="Q9" i="11"/>
  <c r="M286" i="38"/>
  <c r="B4" i="11"/>
  <c r="BD3" i="11"/>
  <c r="BC3" i="11"/>
  <c r="AH3" i="11"/>
  <c r="B3" i="11"/>
  <c r="B2" i="11"/>
  <c r="A2" i="11"/>
  <c r="R31" i="10"/>
  <c r="Q31" i="10"/>
  <c r="M37" i="68"/>
  <c r="R30" i="10"/>
  <c r="Q30" i="10"/>
  <c r="M50" i="41"/>
  <c r="R29" i="10"/>
  <c r="Q29" i="10"/>
  <c r="M49" i="41"/>
  <c r="R27" i="10"/>
  <c r="Q27" i="10"/>
  <c r="M104" i="30"/>
  <c r="R26" i="10"/>
  <c r="Q26" i="10"/>
  <c r="M431" i="38"/>
  <c r="R25" i="10"/>
  <c r="Q25" i="10"/>
  <c r="M430" i="38"/>
  <c r="R24" i="10"/>
  <c r="Q24" i="10"/>
  <c r="M429" i="38"/>
  <c r="R23" i="10"/>
  <c r="Q23" i="10"/>
  <c r="R36" i="10" l="1"/>
  <c r="J18" i="88"/>
  <c r="L18" i="88" s="1"/>
  <c r="O23" i="61"/>
  <c r="T20" i="47"/>
  <c r="O392" i="38"/>
  <c r="T15" i="47"/>
  <c r="O22" i="61"/>
  <c r="T19" i="47"/>
  <c r="R13" i="47"/>
  <c r="K3" i="47"/>
  <c r="K3" i="49"/>
  <c r="D62" i="1" s="1"/>
  <c r="Q11" i="47"/>
  <c r="BC3" i="47" s="1"/>
  <c r="O15" i="75"/>
  <c r="V105" i="49"/>
  <c r="O118" i="30"/>
  <c r="V77" i="49"/>
  <c r="O66" i="24"/>
  <c r="V109" i="49"/>
  <c r="O16" i="70"/>
  <c r="O15" i="70" s="1"/>
  <c r="V65" i="49"/>
  <c r="O31" i="23"/>
  <c r="V107" i="49"/>
  <c r="O466" i="38"/>
  <c r="V74" i="49"/>
  <c r="O32" i="40"/>
  <c r="V102" i="49"/>
  <c r="O465" i="38"/>
  <c r="V71" i="49"/>
  <c r="O112" i="30"/>
  <c r="V55" i="49"/>
  <c r="O57" i="41"/>
  <c r="V42" i="49"/>
  <c r="O60" i="41"/>
  <c r="V83" i="49"/>
  <c r="O63" i="24"/>
  <c r="V62" i="49"/>
  <c r="O30" i="40"/>
  <c r="V37" i="49"/>
  <c r="O31" i="32"/>
  <c r="V108" i="49"/>
  <c r="O20" i="71"/>
  <c r="V44" i="49"/>
  <c r="O21" i="44"/>
  <c r="O19" i="44" s="1"/>
  <c r="V100" i="49"/>
  <c r="O470" i="38"/>
  <c r="V101" i="49"/>
  <c r="O471" i="38"/>
  <c r="V112" i="49"/>
  <c r="O468" i="38"/>
  <c r="V95" i="49"/>
  <c r="O62" i="24"/>
  <c r="V61" i="49"/>
  <c r="O458" i="38"/>
  <c r="V26" i="49"/>
  <c r="O58" i="41"/>
  <c r="V63" i="49"/>
  <c r="O42" i="68"/>
  <c r="O40" i="68" s="1"/>
  <c r="V85" i="49"/>
  <c r="O452" i="38"/>
  <c r="V16" i="49"/>
  <c r="O453" i="38"/>
  <c r="V17" i="49"/>
  <c r="O113" i="30"/>
  <c r="V56" i="49"/>
  <c r="O61" i="41"/>
  <c r="V106" i="49"/>
  <c r="O457" i="38"/>
  <c r="V25" i="49"/>
  <c r="O31" i="40"/>
  <c r="V76" i="49"/>
  <c r="O469" i="38"/>
  <c r="V96" i="49"/>
  <c r="O65" i="24"/>
  <c r="V88" i="49"/>
  <c r="O21" i="71"/>
  <c r="V45" i="49"/>
  <c r="O463" i="38"/>
  <c r="V36" i="49"/>
  <c r="O110" i="30"/>
  <c r="V39" i="49"/>
  <c r="O59" i="41"/>
  <c r="V82" i="49"/>
  <c r="O467" i="38"/>
  <c r="V75" i="49"/>
  <c r="O114" i="30"/>
  <c r="V57" i="49"/>
  <c r="O461" i="38"/>
  <c r="V34" i="49"/>
  <c r="V41" i="49"/>
  <c r="V80" i="49"/>
  <c r="V81" i="49"/>
  <c r="O18" i="11"/>
  <c r="O29" i="23"/>
  <c r="Q35" i="49"/>
  <c r="G2" i="49" s="1"/>
  <c r="AE3" i="47"/>
  <c r="R17" i="47"/>
  <c r="Q23" i="47"/>
  <c r="R23" i="47" s="1"/>
  <c r="O49" i="11"/>
  <c r="O58" i="24" s="1"/>
  <c r="O25" i="11"/>
  <c r="O36" i="20" s="1"/>
  <c r="O40" i="11"/>
  <c r="O36" i="31" s="1"/>
  <c r="O42" i="11"/>
  <c r="O38" i="31" s="1"/>
  <c r="O45" i="11"/>
  <c r="O39" i="31" s="1"/>
  <c r="O53" i="11"/>
  <c r="BD4" i="11" s="1"/>
  <c r="O24" i="11"/>
  <c r="O33" i="11"/>
  <c r="BB3" i="11"/>
  <c r="AZ3" i="11" s="1"/>
  <c r="O9" i="11"/>
  <c r="O286" i="38" s="1"/>
  <c r="O21" i="11"/>
  <c r="O22" i="11"/>
  <c r="O107" i="30" s="1"/>
  <c r="O35" i="11"/>
  <c r="O38" i="11"/>
  <c r="O34" i="31" s="1"/>
  <c r="Q8" i="49"/>
  <c r="Q7" i="49" s="1"/>
  <c r="V7" i="49" s="1"/>
  <c r="O20" i="58"/>
  <c r="AU3" i="11"/>
  <c r="U20" i="49"/>
  <c r="R37" i="11"/>
  <c r="R12" i="11"/>
  <c r="O31" i="10"/>
  <c r="O37" i="68" s="1"/>
  <c r="O36" i="68" s="1"/>
  <c r="AJ3" i="11"/>
  <c r="H3" i="11"/>
  <c r="AL3" i="11"/>
  <c r="AK3" i="11"/>
  <c r="R26" i="11"/>
  <c r="AP3" i="11"/>
  <c r="Q119" i="49"/>
  <c r="O32" i="11"/>
  <c r="Q94" i="49"/>
  <c r="V94" i="49" s="1"/>
  <c r="O50" i="11"/>
  <c r="O59" i="24" s="1"/>
  <c r="O41" i="11"/>
  <c r="O37" i="31" s="1"/>
  <c r="O46" i="11"/>
  <c r="AT3" i="11"/>
  <c r="O29" i="32"/>
  <c r="J2" i="49"/>
  <c r="N12" i="47" s="1"/>
  <c r="O29" i="11"/>
  <c r="O54" i="41" s="1"/>
  <c r="O14" i="11"/>
  <c r="R20" i="11"/>
  <c r="R23" i="11"/>
  <c r="O51" i="11"/>
  <c r="O60" i="24" s="1"/>
  <c r="O448" i="38"/>
  <c r="O21" i="61"/>
  <c r="N17" i="47"/>
  <c r="O13" i="11"/>
  <c r="O15" i="11"/>
  <c r="O27" i="11"/>
  <c r="O30" i="11"/>
  <c r="O55" i="41" s="1"/>
  <c r="O25" i="10"/>
  <c r="O430" i="38" s="1"/>
  <c r="O16" i="11"/>
  <c r="M33" i="54"/>
  <c r="O122" i="30"/>
  <c r="Q91" i="49"/>
  <c r="Q90" i="49" s="1"/>
  <c r="V90" i="49" s="1"/>
  <c r="O27" i="10"/>
  <c r="O104" i="30" s="1"/>
  <c r="O103" i="30" s="1"/>
  <c r="O29" i="10"/>
  <c r="O49" i="41" s="1"/>
  <c r="O30" i="10"/>
  <c r="O50" i="41" s="1"/>
  <c r="O11" i="11"/>
  <c r="O17" i="11"/>
  <c r="O39" i="11"/>
  <c r="O48" i="11"/>
  <c r="M226" i="72"/>
  <c r="H226" i="72" s="1"/>
  <c r="G226" i="72" s="1"/>
  <c r="O472" i="38"/>
  <c r="Q111" i="49"/>
  <c r="V111" i="49" s="1"/>
  <c r="O30" i="32"/>
  <c r="Q86" i="49"/>
  <c r="V86" i="49" s="1"/>
  <c r="O52" i="11"/>
  <c r="O24" i="10"/>
  <c r="O429" i="38" s="1"/>
  <c r="O10" i="11"/>
  <c r="O287" i="38" s="1"/>
  <c r="O26" i="10"/>
  <c r="R8" i="11"/>
  <c r="O28" i="11"/>
  <c r="O36" i="11"/>
  <c r="O43" i="20"/>
  <c r="O37" i="20" s="1"/>
  <c r="Q117" i="49"/>
  <c r="V117" i="49" s="1"/>
  <c r="U68" i="49"/>
  <c r="M225" i="72"/>
  <c r="M224" i="72" s="1"/>
  <c r="H224" i="72" s="1"/>
  <c r="G224" i="72" s="1"/>
  <c r="F224" i="72" s="1"/>
  <c r="O24" i="61"/>
  <c r="R47" i="11"/>
  <c r="R31" i="11"/>
  <c r="O121" i="30"/>
  <c r="I2" i="49"/>
  <c r="N11" i="47" s="1"/>
  <c r="O393" i="38"/>
  <c r="N13" i="47"/>
  <c r="T13" i="47" s="1"/>
  <c r="P223" i="72"/>
  <c r="R22" i="10"/>
  <c r="Q22" i="10"/>
  <c r="M427" i="38"/>
  <c r="R21" i="10"/>
  <c r="Q21" i="10"/>
  <c r="L426" i="38"/>
  <c r="R19" i="10"/>
  <c r="H3" i="10" s="1"/>
  <c r="Q19" i="10"/>
  <c r="M284" i="38"/>
  <c r="R18" i="10"/>
  <c r="Q18" i="10"/>
  <c r="O18" i="10"/>
  <c r="R11" i="10"/>
  <c r="R9" i="10" s="1"/>
  <c r="Q11" i="10"/>
  <c r="O11" i="10"/>
  <c r="O48" i="41" s="1"/>
  <c r="B4" i="10"/>
  <c r="AM3" i="10" s="1"/>
  <c r="AL3" i="10"/>
  <c r="AJ3" i="10" s="1"/>
  <c r="AH3" i="10"/>
  <c r="B3" i="10"/>
  <c r="B2" i="10"/>
  <c r="A2" i="10"/>
  <c r="R34" i="9"/>
  <c r="R24" i="9"/>
  <c r="Q69" i="49" l="1"/>
  <c r="V69" i="49" s="1"/>
  <c r="BD4" i="47"/>
  <c r="T12" i="47"/>
  <c r="BC4" i="47"/>
  <c r="T11" i="47"/>
  <c r="AE4" i="47"/>
  <c r="T17" i="47"/>
  <c r="Q7" i="47"/>
  <c r="AL4" i="10"/>
  <c r="AM4" i="10"/>
  <c r="O390" i="38"/>
  <c r="R7" i="47"/>
  <c r="D61" i="1" s="1"/>
  <c r="D67" i="1" s="1"/>
  <c r="D68" i="1" s="1"/>
  <c r="T7" i="49" s="1"/>
  <c r="T6" i="49" s="1"/>
  <c r="Q8" i="47" s="1"/>
  <c r="Q21" i="49"/>
  <c r="V21" i="49" s="1"/>
  <c r="O56" i="41"/>
  <c r="O61" i="24"/>
  <c r="O19" i="71"/>
  <c r="O29" i="40"/>
  <c r="V119" i="49"/>
  <c r="V91" i="49"/>
  <c r="O462" i="38"/>
  <c r="V35" i="49"/>
  <c r="N9" i="47"/>
  <c r="AJ4" i="11"/>
  <c r="O14" i="10"/>
  <c r="AK4" i="11"/>
  <c r="BC4" i="11"/>
  <c r="AJ4" i="10"/>
  <c r="O35" i="20"/>
  <c r="O34" i="20" s="1"/>
  <c r="O23" i="11"/>
  <c r="AE3" i="10"/>
  <c r="O285" i="38"/>
  <c r="O53" i="41"/>
  <c r="O57" i="11"/>
  <c r="O23" i="9"/>
  <c r="O27" i="9"/>
  <c r="O15" i="10"/>
  <c r="O21" i="43"/>
  <c r="O20" i="43" s="1"/>
  <c r="AZ4" i="11"/>
  <c r="O106" i="30"/>
  <c r="O105" i="30" s="1"/>
  <c r="O20" i="11"/>
  <c r="O431" i="38"/>
  <c r="O36" i="10"/>
  <c r="U6" i="49"/>
  <c r="O47" i="41"/>
  <c r="O108" i="30"/>
  <c r="R32" i="9"/>
  <c r="AA3" i="10"/>
  <c r="L3" i="10"/>
  <c r="R34" i="11"/>
  <c r="O20" i="61"/>
  <c r="R19" i="11"/>
  <c r="O19" i="61"/>
  <c r="O18" i="61" s="1"/>
  <c r="AE4" i="10"/>
  <c r="O33" i="9"/>
  <c r="M424" i="38"/>
  <c r="O28" i="23"/>
  <c r="O27" i="23" s="1"/>
  <c r="AQ4" i="11"/>
  <c r="O57" i="24"/>
  <c r="O56" i="24" s="1"/>
  <c r="AT4" i="11"/>
  <c r="O47" i="11"/>
  <c r="M426" i="38"/>
  <c r="O35" i="31"/>
  <c r="O37" i="11"/>
  <c r="O26" i="9"/>
  <c r="O33" i="54"/>
  <c r="O32" i="54" s="1"/>
  <c r="O4" i="11"/>
  <c r="O445" i="38"/>
  <c r="O444" i="38" s="1"/>
  <c r="BB4" i="11"/>
  <c r="O23" i="53"/>
  <c r="O22" i="53" s="1"/>
  <c r="AU4" i="11"/>
  <c r="O39" i="68"/>
  <c r="O38" i="68" s="1"/>
  <c r="O31" i="11"/>
  <c r="O28" i="9"/>
  <c r="O29" i="9"/>
  <c r="O8" i="11"/>
  <c r="O52" i="41"/>
  <c r="AL4" i="11"/>
  <c r="O26" i="11"/>
  <c r="O34" i="9"/>
  <c r="O424" i="38" s="1"/>
  <c r="O423" i="38" s="1"/>
  <c r="O12" i="10"/>
  <c r="O19" i="10"/>
  <c r="O25" i="9"/>
  <c r="O17" i="10"/>
  <c r="M19" i="61"/>
  <c r="O22" i="10"/>
  <c r="O427" i="38" s="1"/>
  <c r="O30" i="9"/>
  <c r="O31" i="9"/>
  <c r="O13" i="10"/>
  <c r="L428" i="38"/>
  <c r="H4" i="11"/>
  <c r="O28" i="32"/>
  <c r="O10" i="10"/>
  <c r="M48" i="41"/>
  <c r="O33" i="31"/>
  <c r="AP4" i="11"/>
  <c r="AM4" i="11" s="1"/>
  <c r="AH4" i="11"/>
  <c r="O12" i="11"/>
  <c r="Q68" i="49"/>
  <c r="V68" i="49" s="1"/>
  <c r="K4" i="47"/>
  <c r="R20" i="10"/>
  <c r="R16" i="10" s="1"/>
  <c r="M223" i="72"/>
  <c r="H223" i="72" s="1"/>
  <c r="G223" i="72" s="1"/>
  <c r="F223" i="72" s="1"/>
  <c r="R8" i="10"/>
  <c r="R21" i="9"/>
  <c r="R9" i="9"/>
  <c r="B4" i="9"/>
  <c r="AH3" i="9"/>
  <c r="U3" i="9"/>
  <c r="L3" i="9"/>
  <c r="B3" i="9"/>
  <c r="B2" i="9"/>
  <c r="A2" i="9"/>
  <c r="S109" i="13"/>
  <c r="R109" i="13"/>
  <c r="M12" i="34"/>
  <c r="S108" i="13"/>
  <c r="R108" i="13"/>
  <c r="M21" i="26"/>
  <c r="S107" i="13"/>
  <c r="R107" i="13"/>
  <c r="M15" i="33"/>
  <c r="S106" i="13"/>
  <c r="R106" i="13"/>
  <c r="M18" i="44"/>
  <c r="S105" i="13"/>
  <c r="R105" i="13"/>
  <c r="M18" i="43"/>
  <c r="S104" i="13"/>
  <c r="R104" i="13"/>
  <c r="M18" i="71"/>
  <c r="S103" i="13"/>
  <c r="R103" i="13"/>
  <c r="M21" i="53"/>
  <c r="S102" i="13"/>
  <c r="R102" i="13"/>
  <c r="M55" i="24"/>
  <c r="S101" i="13"/>
  <c r="R101" i="13"/>
  <c r="N54" i="24"/>
  <c r="M54" i="24"/>
  <c r="S100" i="13"/>
  <c r="R100" i="13"/>
  <c r="M53" i="24"/>
  <c r="S99" i="13"/>
  <c r="R99" i="13"/>
  <c r="M52" i="24"/>
  <c r="S97" i="13"/>
  <c r="R97" i="13"/>
  <c r="M27" i="32"/>
  <c r="S96" i="13"/>
  <c r="R96" i="13"/>
  <c r="M26" i="32"/>
  <c r="S94" i="13"/>
  <c r="R94" i="13"/>
  <c r="M31" i="42"/>
  <c r="S93" i="13"/>
  <c r="R93" i="13"/>
  <c r="M26" i="23"/>
  <c r="S92" i="13"/>
  <c r="R92" i="13"/>
  <c r="M31" i="31"/>
  <c r="S90" i="13"/>
  <c r="R90" i="13"/>
  <c r="S89" i="13"/>
  <c r="R89" i="13"/>
  <c r="M14" i="70"/>
  <c r="S88" i="13"/>
  <c r="R88" i="13"/>
  <c r="M28" i="40"/>
  <c r="S87" i="13"/>
  <c r="R87" i="13"/>
  <c r="M35" i="68"/>
  <c r="S86" i="13"/>
  <c r="R86" i="13"/>
  <c r="M46" i="41"/>
  <c r="S85" i="13"/>
  <c r="R85" i="13"/>
  <c r="M45" i="41"/>
  <c r="S83" i="13"/>
  <c r="R83" i="13"/>
  <c r="S81" i="13"/>
  <c r="R81" i="13"/>
  <c r="M102" i="30"/>
  <c r="S80" i="13"/>
  <c r="R80" i="13"/>
  <c r="M101" i="30"/>
  <c r="S79" i="13"/>
  <c r="R79" i="13"/>
  <c r="M100" i="30"/>
  <c r="S78" i="13"/>
  <c r="R78" i="13"/>
  <c r="M99" i="30"/>
  <c r="S72" i="13"/>
  <c r="R72" i="13"/>
  <c r="M31" i="54"/>
  <c r="S71" i="13"/>
  <c r="R71" i="13"/>
  <c r="E3" i="47" l="1"/>
  <c r="O51" i="41"/>
  <c r="J16" i="88"/>
  <c r="L16" i="88" s="1"/>
  <c r="BB4" i="47"/>
  <c r="AH4" i="47" s="1"/>
  <c r="T9" i="47"/>
  <c r="O32" i="31"/>
  <c r="O21" i="10"/>
  <c r="O20" i="10" s="1"/>
  <c r="O34" i="11"/>
  <c r="O447" i="38"/>
  <c r="O446" i="38" s="1"/>
  <c r="O22" i="9"/>
  <c r="R8" i="9"/>
  <c r="R7" i="9" s="1"/>
  <c r="O19" i="11"/>
  <c r="L4" i="9"/>
  <c r="P90" i="13"/>
  <c r="P105" i="13"/>
  <c r="O18" i="43" s="1"/>
  <c r="O17" i="43" s="1"/>
  <c r="O24" i="9"/>
  <c r="P87" i="13"/>
  <c r="O35" i="68" s="1"/>
  <c r="O34" i="68" s="1"/>
  <c r="P80" i="13"/>
  <c r="O101" i="30" s="1"/>
  <c r="P97" i="13"/>
  <c r="O27" i="32" s="1"/>
  <c r="P100" i="13"/>
  <c r="O53" i="24" s="1"/>
  <c r="P106" i="13"/>
  <c r="O18" i="44" s="1"/>
  <c r="O17" i="44" s="1"/>
  <c r="O13" i="9"/>
  <c r="AA4" i="10"/>
  <c r="O12" i="9"/>
  <c r="R7" i="11"/>
  <c r="O15" i="9"/>
  <c r="P75" i="13"/>
  <c r="O20" i="9"/>
  <c r="P104" i="13"/>
  <c r="O18" i="71" s="1"/>
  <c r="O17" i="71" s="1"/>
  <c r="S77" i="13"/>
  <c r="P103" i="13"/>
  <c r="O21" i="53" s="1"/>
  <c r="O20" i="53" s="1"/>
  <c r="P99" i="13"/>
  <c r="P102" i="13"/>
  <c r="O55" i="24" s="1"/>
  <c r="P109" i="13"/>
  <c r="O12" i="34" s="1"/>
  <c r="O11" i="34" s="1"/>
  <c r="O14" i="9"/>
  <c r="P81" i="13"/>
  <c r="O102" i="30" s="1"/>
  <c r="O16" i="9"/>
  <c r="R7" i="10"/>
  <c r="P92" i="13"/>
  <c r="O31" i="31" s="1"/>
  <c r="O30" i="31" s="1"/>
  <c r="M428" i="38"/>
  <c r="O23" i="10"/>
  <c r="O428" i="38" s="1"/>
  <c r="P78" i="13"/>
  <c r="P107" i="13"/>
  <c r="O15" i="33" s="1"/>
  <c r="O14" i="33" s="1"/>
  <c r="O18" i="9"/>
  <c r="O426" i="38"/>
  <c r="P93" i="13"/>
  <c r="O26" i="23" s="1"/>
  <c r="O25" i="23" s="1"/>
  <c r="O19" i="9"/>
  <c r="P79" i="13"/>
  <c r="O100" i="30" s="1"/>
  <c r="P85" i="13"/>
  <c r="P88" i="13"/>
  <c r="O28" i="40" s="1"/>
  <c r="O27" i="40" s="1"/>
  <c r="P96" i="13"/>
  <c r="P86" i="13"/>
  <c r="O46" i="41" s="1"/>
  <c r="O10" i="9"/>
  <c r="O9" i="10"/>
  <c r="O8" i="10" s="1"/>
  <c r="S82" i="13"/>
  <c r="M33" i="20"/>
  <c r="P89" i="13"/>
  <c r="O14" i="70" s="1"/>
  <c r="O13" i="70" s="1"/>
  <c r="P73" i="13"/>
  <c r="P83" i="13"/>
  <c r="P94" i="13"/>
  <c r="O31" i="42" s="1"/>
  <c r="O30" i="42" s="1"/>
  <c r="P101" i="13"/>
  <c r="O54" i="24" s="1"/>
  <c r="P108" i="13"/>
  <c r="O21" i="26" s="1"/>
  <c r="O20" i="26" s="1"/>
  <c r="O11" i="9"/>
  <c r="O284" i="38"/>
  <c r="O283" i="38" s="1"/>
  <c r="H4" i="10"/>
  <c r="P74" i="13"/>
  <c r="S84" i="13"/>
  <c r="S98" i="13"/>
  <c r="O32" i="10"/>
  <c r="AH4" i="10" s="1"/>
  <c r="P72" i="13"/>
  <c r="O17" i="9"/>
  <c r="S95" i="13"/>
  <c r="N17" i="61"/>
  <c r="S70" i="13"/>
  <c r="R70" i="13"/>
  <c r="M16" i="61"/>
  <c r="S69" i="13"/>
  <c r="R69" i="13"/>
  <c r="M15" i="61"/>
  <c r="S68" i="13"/>
  <c r="R68" i="13"/>
  <c r="M14" i="61"/>
  <c r="S66" i="13"/>
  <c r="R66" i="13"/>
  <c r="M28" i="45"/>
  <c r="S65" i="13"/>
  <c r="R65" i="13"/>
  <c r="M27" i="45"/>
  <c r="S63" i="13"/>
  <c r="R63" i="13"/>
  <c r="M102" i="27"/>
  <c r="S62" i="13"/>
  <c r="R62" i="13"/>
  <c r="M101" i="27"/>
  <c r="S61" i="13"/>
  <c r="R61" i="13"/>
  <c r="M100" i="27"/>
  <c r="S60" i="13"/>
  <c r="R60" i="13"/>
  <c r="M99" i="27"/>
  <c r="S59" i="13"/>
  <c r="R59" i="13"/>
  <c r="M98" i="27"/>
  <c r="S55" i="13"/>
  <c r="S53" i="13"/>
  <c r="R53" i="13"/>
  <c r="M389" i="38"/>
  <c r="S52" i="13"/>
  <c r="R52" i="13"/>
  <c r="M388" i="38"/>
  <c r="S51" i="13"/>
  <c r="R51" i="13"/>
  <c r="M387" i="38"/>
  <c r="S49" i="13"/>
  <c r="R49" i="13"/>
  <c r="M422" i="38"/>
  <c r="S48" i="13"/>
  <c r="R48" i="13"/>
  <c r="M421" i="38"/>
  <c r="S46" i="13"/>
  <c r="R46" i="13"/>
  <c r="M376" i="38"/>
  <c r="S45" i="13"/>
  <c r="R45" i="13"/>
  <c r="M375" i="38"/>
  <c r="S44" i="13"/>
  <c r="R44" i="13"/>
  <c r="M374" i="38"/>
  <c r="S43" i="13"/>
  <c r="R43" i="13"/>
  <c r="M373" i="38"/>
  <c r="S42" i="13"/>
  <c r="R42" i="13"/>
  <c r="M372" i="38"/>
  <c r="S41" i="13"/>
  <c r="R41" i="13"/>
  <c r="M371" i="38"/>
  <c r="S39" i="13"/>
  <c r="R39" i="13"/>
  <c r="M340" i="38"/>
  <c r="S38" i="13"/>
  <c r="R38" i="13"/>
  <c r="M339" i="38"/>
  <c r="S37" i="13"/>
  <c r="R37" i="13"/>
  <c r="M338" i="38"/>
  <c r="S36" i="13"/>
  <c r="R36" i="13"/>
  <c r="M337" i="38"/>
  <c r="S35" i="13"/>
  <c r="R35" i="13"/>
  <c r="M336" i="38"/>
  <c r="S34" i="13"/>
  <c r="R34" i="13"/>
  <c r="M335" i="38"/>
  <c r="S32" i="13"/>
  <c r="R32" i="13"/>
  <c r="M282" i="38"/>
  <c r="S31" i="13"/>
  <c r="R31" i="13"/>
  <c r="M281" i="38"/>
  <c r="S30" i="13"/>
  <c r="R30" i="13"/>
  <c r="M280" i="38"/>
  <c r="S29" i="13"/>
  <c r="R29" i="13"/>
  <c r="M279" i="38"/>
  <c r="S28" i="13"/>
  <c r="R28" i="13"/>
  <c r="M278" i="38"/>
  <c r="S26" i="13"/>
  <c r="R26" i="13"/>
  <c r="M195" i="38"/>
  <c r="S25" i="13"/>
  <c r="R25" i="13"/>
  <c r="M194" i="38"/>
  <c r="S24" i="13"/>
  <c r="R24" i="13"/>
  <c r="O7" i="11" l="1"/>
  <c r="E4" i="11" s="1"/>
  <c r="E3" i="10"/>
  <c r="R35" i="10"/>
  <c r="E3" i="9"/>
  <c r="R38" i="9"/>
  <c r="E3" i="11"/>
  <c r="R56" i="11"/>
  <c r="O21" i="9"/>
  <c r="P56" i="13"/>
  <c r="O425" i="38"/>
  <c r="P61" i="13"/>
  <c r="O100" i="27" s="1"/>
  <c r="L4" i="10"/>
  <c r="O16" i="10"/>
  <c r="O7" i="10" s="1"/>
  <c r="O31" i="54"/>
  <c r="O30" i="54" s="1"/>
  <c r="O9" i="9"/>
  <c r="O8" i="9" s="1"/>
  <c r="S47" i="13"/>
  <c r="R14" i="84" s="1"/>
  <c r="S64" i="13"/>
  <c r="P32" i="13"/>
  <c r="O282" i="38" s="1"/>
  <c r="P57" i="13"/>
  <c r="P69" i="13"/>
  <c r="O15" i="61" s="1"/>
  <c r="O26" i="32"/>
  <c r="O25" i="32" s="1"/>
  <c r="P95" i="13"/>
  <c r="P25" i="13"/>
  <c r="O194" i="38" s="1"/>
  <c r="P49" i="13"/>
  <c r="O422" i="38" s="1"/>
  <c r="P59" i="13"/>
  <c r="P48" i="13"/>
  <c r="P70" i="13"/>
  <c r="O16" i="61" s="1"/>
  <c r="O33" i="20"/>
  <c r="O32" i="20" s="1"/>
  <c r="P82" i="13"/>
  <c r="O45" i="41"/>
  <c r="O44" i="41" s="1"/>
  <c r="P84" i="13"/>
  <c r="P36" i="13"/>
  <c r="O337" i="38" s="1"/>
  <c r="P53" i="13"/>
  <c r="O389" i="38" s="1"/>
  <c r="P42" i="13"/>
  <c r="O372" i="38" s="1"/>
  <c r="P63" i="13"/>
  <c r="O102" i="27" s="1"/>
  <c r="O99" i="30"/>
  <c r="O98" i="30" s="1"/>
  <c r="P77" i="13"/>
  <c r="P28" i="13"/>
  <c r="P41" i="13"/>
  <c r="P26" i="13"/>
  <c r="O195" i="38" s="1"/>
  <c r="P30" i="13"/>
  <c r="O280" i="38" s="1"/>
  <c r="P34" i="13"/>
  <c r="P46" i="13"/>
  <c r="O376" i="38" s="1"/>
  <c r="P60" i="13"/>
  <c r="O99" i="27" s="1"/>
  <c r="M17" i="61"/>
  <c r="P71" i="13"/>
  <c r="O17" i="61" s="1"/>
  <c r="P62" i="13"/>
  <c r="O101" i="27" s="1"/>
  <c r="P45" i="13"/>
  <c r="O375" i="38" s="1"/>
  <c r="P66" i="13"/>
  <c r="O28" i="45" s="1"/>
  <c r="S40" i="13"/>
  <c r="O52" i="24"/>
  <c r="O51" i="24" s="1"/>
  <c r="P98" i="13"/>
  <c r="P44" i="13"/>
  <c r="O374" i="38" s="1"/>
  <c r="P37" i="13"/>
  <c r="O338" i="38" s="1"/>
  <c r="P31" i="13"/>
  <c r="O281" i="38" s="1"/>
  <c r="P35" i="13"/>
  <c r="O336" i="38" s="1"/>
  <c r="P39" i="13"/>
  <c r="O340" i="38" s="1"/>
  <c r="P43" i="13"/>
  <c r="O373" i="38" s="1"/>
  <c r="Q67" i="49"/>
  <c r="P52" i="13"/>
  <c r="O388" i="38" s="1"/>
  <c r="P29" i="13"/>
  <c r="O279" i="38" s="1"/>
  <c r="P38" i="13"/>
  <c r="O339" i="38" s="1"/>
  <c r="S58" i="13"/>
  <c r="P51" i="13"/>
  <c r="P68" i="13"/>
  <c r="S67" i="13"/>
  <c r="S33" i="13"/>
  <c r="S50" i="13"/>
  <c r="S27" i="13"/>
  <c r="P65" i="13"/>
  <c r="N142" i="47"/>
  <c r="T142" i="47" s="1"/>
  <c r="U4" i="9"/>
  <c r="N193" i="38"/>
  <c r="M193" i="38"/>
  <c r="S23" i="13"/>
  <c r="R23" i="13"/>
  <c r="M192" i="38"/>
  <c r="S22" i="13"/>
  <c r="R22" i="13"/>
  <c r="M191" i="38"/>
  <c r="S21" i="13"/>
  <c r="R21" i="13"/>
  <c r="M190" i="38"/>
  <c r="S20" i="13"/>
  <c r="R20" i="13"/>
  <c r="M189" i="38"/>
  <c r="S19" i="13"/>
  <c r="R19" i="13"/>
  <c r="M188" i="38"/>
  <c r="S18" i="13"/>
  <c r="R18" i="13"/>
  <c r="M187" i="38"/>
  <c r="S17" i="13"/>
  <c r="R17" i="13"/>
  <c r="M186" i="38"/>
  <c r="S16" i="13"/>
  <c r="R16" i="13"/>
  <c r="M185" i="38"/>
  <c r="S15" i="13"/>
  <c r="R15" i="13"/>
  <c r="M184" i="38"/>
  <c r="S14" i="13"/>
  <c r="R14" i="13"/>
  <c r="M183" i="38"/>
  <c r="S13" i="13"/>
  <c r="R13" i="13"/>
  <c r="M182" i="38"/>
  <c r="S11" i="13"/>
  <c r="R11" i="13"/>
  <c r="M100" i="38"/>
  <c r="S10" i="13"/>
  <c r="R10" i="13"/>
  <c r="M181" i="38"/>
  <c r="S9" i="13"/>
  <c r="R9" i="13"/>
  <c r="M99" i="38"/>
  <c r="S8" i="13"/>
  <c r="R8" i="13"/>
  <c r="M98" i="38"/>
  <c r="S7" i="13"/>
  <c r="R7" i="13"/>
  <c r="M97" i="38"/>
  <c r="D2" i="13"/>
  <c r="C2" i="13"/>
  <c r="B2" i="13"/>
  <c r="A2" i="13"/>
  <c r="R45" i="84" s="1"/>
  <c r="O45" i="84" s="1"/>
  <c r="J45" i="84"/>
  <c r="I45" i="84"/>
  <c r="H45" i="84"/>
  <c r="R44" i="84"/>
  <c r="O44" i="84"/>
  <c r="J44" i="84"/>
  <c r="I44" i="84"/>
  <c r="H44" i="84"/>
  <c r="R43" i="84" s="1"/>
  <c r="O43" i="84"/>
  <c r="J43" i="84"/>
  <c r="I43" i="84"/>
  <c r="H43" i="84"/>
  <c r="R42" i="84"/>
  <c r="O42" i="84"/>
  <c r="J42" i="84"/>
  <c r="I42" i="84"/>
  <c r="H42" i="84"/>
  <c r="R41" i="84" s="1"/>
  <c r="O41" i="84" s="1"/>
  <c r="J41" i="84"/>
  <c r="I41" i="84"/>
  <c r="H41" i="84"/>
  <c r="R40" i="84"/>
  <c r="O40" i="84" s="1"/>
  <c r="J40" i="84"/>
  <c r="I40" i="84"/>
  <c r="H40" i="84"/>
  <c r="R39" i="84" s="1"/>
  <c r="O39" i="84"/>
  <c r="J39" i="84"/>
  <c r="I39" i="84"/>
  <c r="H39" i="84"/>
  <c r="R38" i="84" s="1"/>
  <c r="O36" i="84"/>
  <c r="J36" i="84"/>
  <c r="I36" i="84"/>
  <c r="H36" i="84"/>
  <c r="R35" i="84" s="1"/>
  <c r="O35" i="84"/>
  <c r="J35" i="84"/>
  <c r="I35" i="84"/>
  <c r="H35" i="84"/>
  <c r="R34" i="84"/>
  <c r="O34" i="84"/>
  <c r="J34" i="84"/>
  <c r="I34" i="84"/>
  <c r="H34" i="84"/>
  <c r="R32" i="84"/>
  <c r="O32" i="84" s="1"/>
  <c r="O14" i="75" s="1"/>
  <c r="O13" i="75" s="1"/>
  <c r="J32" i="84"/>
  <c r="J14" i="75" s="1"/>
  <c r="I32" i="84"/>
  <c r="I14" i="75" s="1"/>
  <c r="H32" i="84"/>
  <c r="O31" i="84"/>
  <c r="J31" i="84"/>
  <c r="I31" i="84"/>
  <c r="H31" i="84"/>
  <c r="R30" i="84"/>
  <c r="O30" i="84"/>
  <c r="J30" i="84"/>
  <c r="I30" i="84"/>
  <c r="H30" i="84"/>
  <c r="R29" i="84" s="1"/>
  <c r="O29" i="84"/>
  <c r="J29" i="84"/>
  <c r="I29" i="84"/>
  <c r="H29" i="84"/>
  <c r="R28" i="84" s="1"/>
  <c r="R24" i="84"/>
  <c r="O24" i="84" s="1"/>
  <c r="J24" i="84"/>
  <c r="I24" i="84"/>
  <c r="H24" i="84"/>
  <c r="R23" i="84"/>
  <c r="O23" i="84" s="1"/>
  <c r="J23" i="84"/>
  <c r="I23" i="84"/>
  <c r="H23" i="84"/>
  <c r="R22" i="84"/>
  <c r="O22" i="84" s="1"/>
  <c r="J22" i="84"/>
  <c r="I22" i="84"/>
  <c r="H22" i="84"/>
  <c r="R21" i="84" s="1"/>
  <c r="O21" i="84"/>
  <c r="J21" i="84"/>
  <c r="I21" i="84"/>
  <c r="H21" i="84"/>
  <c r="B4" i="84"/>
  <c r="B3" i="84"/>
  <c r="B2" i="84"/>
  <c r="A2" i="84"/>
  <c r="S106" i="12"/>
  <c r="R106" i="12"/>
  <c r="M16" i="44"/>
  <c r="S105" i="12"/>
  <c r="R105" i="12"/>
  <c r="M15" i="44"/>
  <c r="S103" i="12"/>
  <c r="R103" i="12"/>
  <c r="M19" i="26"/>
  <c r="S102" i="12"/>
  <c r="R102" i="12"/>
  <c r="M18" i="26"/>
  <c r="S101" i="12"/>
  <c r="R101" i="12"/>
  <c r="M17" i="26"/>
  <c r="S99" i="12"/>
  <c r="R99" i="12"/>
  <c r="M16" i="43"/>
  <c r="S98" i="12"/>
  <c r="R98" i="12"/>
  <c r="M15" i="43"/>
  <c r="S96" i="12"/>
  <c r="R96" i="12"/>
  <c r="M19" i="53"/>
  <c r="S95" i="12"/>
  <c r="R95" i="12"/>
  <c r="M16" i="71"/>
  <c r="S94" i="12"/>
  <c r="R94" i="12"/>
  <c r="M13" i="33"/>
  <c r="S93" i="12"/>
  <c r="R93" i="12"/>
  <c r="M50" i="24"/>
  <c r="S92" i="12"/>
  <c r="R92" i="12"/>
  <c r="M49" i="24"/>
  <c r="S91" i="12"/>
  <c r="R91" i="12"/>
  <c r="M48" i="24"/>
  <c r="S90" i="12"/>
  <c r="R90" i="12"/>
  <c r="M47" i="24"/>
  <c r="S88" i="12"/>
  <c r="R88" i="12"/>
  <c r="M24" i="32"/>
  <c r="S86" i="12"/>
  <c r="R86" i="12"/>
  <c r="M29" i="42"/>
  <c r="S85" i="12"/>
  <c r="R85" i="12"/>
  <c r="M28" i="42"/>
  <c r="S83" i="12"/>
  <c r="R83" i="12"/>
  <c r="M24" i="23"/>
  <c r="S82" i="12"/>
  <c r="R82" i="12"/>
  <c r="M23" i="23"/>
  <c r="S81" i="12"/>
  <c r="R81" i="12"/>
  <c r="M22" i="23"/>
  <c r="S79" i="12"/>
  <c r="R79" i="12"/>
  <c r="M29" i="31"/>
  <c r="S78" i="12"/>
  <c r="R78" i="12"/>
  <c r="S75" i="12"/>
  <c r="R75" i="12"/>
  <c r="M33" i="68"/>
  <c r="S74" i="12"/>
  <c r="R74" i="12"/>
  <c r="M12" i="75"/>
  <c r="S73" i="12"/>
  <c r="R73" i="12"/>
  <c r="M12" i="70"/>
  <c r="S72" i="12"/>
  <c r="R72" i="12"/>
  <c r="M43" i="41"/>
  <c r="S71" i="12"/>
  <c r="R71" i="12"/>
  <c r="M42" i="41"/>
  <c r="S70" i="12"/>
  <c r="R70" i="12"/>
  <c r="M41" i="41"/>
  <c r="S68" i="12"/>
  <c r="R68" i="12"/>
  <c r="M31" i="20"/>
  <c r="S67" i="12"/>
  <c r="R67" i="12"/>
  <c r="M30" i="20"/>
  <c r="S65" i="12"/>
  <c r="R65" i="12"/>
  <c r="M97" i="30"/>
  <c r="S64" i="12"/>
  <c r="R64" i="12"/>
  <c r="M96" i="30"/>
  <c r="S63" i="12"/>
  <c r="R63" i="12"/>
  <c r="M95" i="30"/>
  <c r="S62" i="12"/>
  <c r="R62" i="12"/>
  <c r="M94" i="30"/>
  <c r="S61" i="12"/>
  <c r="R61" i="12"/>
  <c r="M93" i="30"/>
  <c r="S60" i="12"/>
  <c r="R60" i="12"/>
  <c r="M92" i="30"/>
  <c r="S59" i="12"/>
  <c r="R59" i="12"/>
  <c r="M91" i="30"/>
  <c r="S58" i="12"/>
  <c r="R58" i="12"/>
  <c r="M90" i="30"/>
  <c r="O56" i="11" l="1"/>
  <c r="O28" i="84"/>
  <c r="J28" i="84" s="1"/>
  <c r="I28" i="84" s="1"/>
  <c r="H28" i="84" s="1"/>
  <c r="R27" i="84" s="1"/>
  <c r="P16" i="13"/>
  <c r="O185" i="38" s="1"/>
  <c r="P20" i="13"/>
  <c r="O189" i="38" s="1"/>
  <c r="O27" i="84"/>
  <c r="J27" i="84" s="1"/>
  <c r="I27" i="84" s="1"/>
  <c r="H27" i="84" s="1"/>
  <c r="R26" i="84" s="1"/>
  <c r="P55" i="13"/>
  <c r="R20" i="84"/>
  <c r="P92" i="12"/>
  <c r="O49" i="24" s="1"/>
  <c r="P53" i="12"/>
  <c r="P82" i="12"/>
  <c r="O23" i="23" s="1"/>
  <c r="P83" i="12"/>
  <c r="O24" i="23" s="1"/>
  <c r="P85" i="12"/>
  <c r="O28" i="42" s="1"/>
  <c r="P86" i="12"/>
  <c r="O29" i="42" s="1"/>
  <c r="P102" i="12"/>
  <c r="O18" i="26" s="1"/>
  <c r="P7" i="13"/>
  <c r="O97" i="38" s="1"/>
  <c r="P10" i="13"/>
  <c r="O181" i="38" s="1"/>
  <c r="P15" i="13"/>
  <c r="O184" i="38" s="1"/>
  <c r="P19" i="13"/>
  <c r="O188" i="38" s="1"/>
  <c r="P23" i="13"/>
  <c r="O192" i="38" s="1"/>
  <c r="S84" i="12"/>
  <c r="P8" i="13"/>
  <c r="O98" i="38" s="1"/>
  <c r="E4" i="10"/>
  <c r="O35" i="10"/>
  <c r="S66" i="12"/>
  <c r="S69" i="12"/>
  <c r="P98" i="12"/>
  <c r="O15" i="43" s="1"/>
  <c r="S57" i="12"/>
  <c r="S80" i="12"/>
  <c r="S100" i="12"/>
  <c r="O38" i="84"/>
  <c r="J38" i="84" s="1"/>
  <c r="I38" i="84" s="1"/>
  <c r="H38" i="84" s="1"/>
  <c r="R37" i="84" s="1"/>
  <c r="O37" i="84" s="1"/>
  <c r="J37" i="84" s="1"/>
  <c r="I37" i="84" s="1"/>
  <c r="H37" i="84" s="1"/>
  <c r="R36" i="84" s="1"/>
  <c r="R33" i="84" s="1"/>
  <c r="P79" i="12"/>
  <c r="O29" i="31" s="1"/>
  <c r="P95" i="12"/>
  <c r="O16" i="71" s="1"/>
  <c r="O15" i="71" s="1"/>
  <c r="P105" i="12"/>
  <c r="P14" i="13"/>
  <c r="O183" i="38" s="1"/>
  <c r="P18" i="13"/>
  <c r="O187" i="38" s="1"/>
  <c r="P22" i="13"/>
  <c r="O191" i="38" s="1"/>
  <c r="P60" i="12"/>
  <c r="O92" i="30" s="1"/>
  <c r="P63" i="12"/>
  <c r="O95" i="30" s="1"/>
  <c r="P72" i="12"/>
  <c r="O43" i="41" s="1"/>
  <c r="P75" i="12"/>
  <c r="O33" i="68" s="1"/>
  <c r="O32" i="68" s="1"/>
  <c r="P99" i="12"/>
  <c r="O16" i="43" s="1"/>
  <c r="P11" i="13"/>
  <c r="O100" i="38" s="1"/>
  <c r="P96" i="12"/>
  <c r="O19" i="53" s="1"/>
  <c r="O18" i="53" s="1"/>
  <c r="P106" i="12"/>
  <c r="O16" i="44" s="1"/>
  <c r="O14" i="61"/>
  <c r="O13" i="61" s="1"/>
  <c r="P67" i="13"/>
  <c r="O20" i="84" s="1"/>
  <c r="J20" i="84" s="1"/>
  <c r="I20" i="84" s="1"/>
  <c r="H20" i="84" s="1"/>
  <c r="R19" i="84" s="1"/>
  <c r="Q50" i="49"/>
  <c r="P90" i="12"/>
  <c r="P93" i="12"/>
  <c r="O50" i="24" s="1"/>
  <c r="P103" i="12"/>
  <c r="O19" i="26" s="1"/>
  <c r="O26" i="84"/>
  <c r="O387" i="38"/>
  <c r="O386" i="38" s="1"/>
  <c r="P50" i="13"/>
  <c r="P58" i="12"/>
  <c r="O335" i="38"/>
  <c r="O334" i="38" s="1"/>
  <c r="P33" i="13"/>
  <c r="P24" i="13"/>
  <c r="O193" i="38" s="1"/>
  <c r="P70" i="12"/>
  <c r="S77" i="12"/>
  <c r="M28" i="31"/>
  <c r="P9" i="13"/>
  <c r="O99" i="38" s="1"/>
  <c r="O98" i="27"/>
  <c r="P58" i="13"/>
  <c r="P67" i="12"/>
  <c r="P78" i="12"/>
  <c r="O28" i="31" s="1"/>
  <c r="P81" i="12"/>
  <c r="P94" i="12"/>
  <c r="O13" i="33" s="1"/>
  <c r="O12" i="33" s="1"/>
  <c r="P54" i="12"/>
  <c r="P61" i="12"/>
  <c r="O93" i="30" s="1"/>
  <c r="P91" i="12"/>
  <c r="O48" i="24" s="1"/>
  <c r="P101" i="12"/>
  <c r="BA3" i="84"/>
  <c r="AZ3" i="84" s="1"/>
  <c r="AY3" i="84" s="1"/>
  <c r="AX3" i="84" s="1"/>
  <c r="AW3" i="84" s="1"/>
  <c r="AV3" i="84" s="1"/>
  <c r="AU3" i="84" s="1"/>
  <c r="AT3" i="84" s="1"/>
  <c r="P13" i="13"/>
  <c r="P17" i="13"/>
  <c r="O186" i="38" s="1"/>
  <c r="P21" i="13"/>
  <c r="O190" i="38" s="1"/>
  <c r="O371" i="38"/>
  <c r="O370" i="38" s="1"/>
  <c r="P40" i="13"/>
  <c r="P55" i="12"/>
  <c r="P64" i="12"/>
  <c r="O96" i="30" s="1"/>
  <c r="P73" i="12"/>
  <c r="O12" i="70" s="1"/>
  <c r="O11" i="70" s="1"/>
  <c r="P51" i="12"/>
  <c r="P52" i="12"/>
  <c r="P59" i="12"/>
  <c r="O91" i="30" s="1"/>
  <c r="P62" i="12"/>
  <c r="O94" i="30" s="1"/>
  <c r="P65" i="12"/>
  <c r="O97" i="30" s="1"/>
  <c r="P68" i="12"/>
  <c r="O31" i="20" s="1"/>
  <c r="P71" i="12"/>
  <c r="O42" i="41" s="1"/>
  <c r="P74" i="12"/>
  <c r="O12" i="75" s="1"/>
  <c r="O11" i="75" s="1"/>
  <c r="P88" i="12"/>
  <c r="O278" i="38"/>
  <c r="O277" i="38" s="1"/>
  <c r="P27" i="13"/>
  <c r="O421" i="38"/>
  <c r="O420" i="38" s="1"/>
  <c r="P47" i="13"/>
  <c r="O14" i="84" s="1"/>
  <c r="J14" i="84" s="1"/>
  <c r="I14" i="84" s="1"/>
  <c r="H14" i="84" s="1"/>
  <c r="R13" i="84" s="1"/>
  <c r="O13" i="84" s="1"/>
  <c r="J13" i="84" s="1"/>
  <c r="I13" i="84" s="1"/>
  <c r="H13" i="84" s="1"/>
  <c r="R12" i="84" s="1"/>
  <c r="S89" i="12"/>
  <c r="S6" i="13"/>
  <c r="S104" i="12"/>
  <c r="AP4" i="84"/>
  <c r="S97" i="12"/>
  <c r="AO4" i="84"/>
  <c r="AN4" i="84" s="1"/>
  <c r="S12" i="13"/>
  <c r="R10" i="84" s="1"/>
  <c r="O27" i="45"/>
  <c r="O26" i="45" s="1"/>
  <c r="P64" i="13"/>
  <c r="O19" i="84" s="1"/>
  <c r="O35" i="9"/>
  <c r="R31" i="84"/>
  <c r="R25" i="84" s="1"/>
  <c r="H14" i="75"/>
  <c r="AM4" i="84"/>
  <c r="AL4" i="84" s="1"/>
  <c r="S87" i="12"/>
  <c r="S43" i="12"/>
  <c r="R20" i="85" s="1"/>
  <c r="R43" i="12"/>
  <c r="N29" i="54"/>
  <c r="M29" i="54"/>
  <c r="S42" i="12"/>
  <c r="R42" i="12"/>
  <c r="M96" i="27"/>
  <c r="S41" i="12"/>
  <c r="R41" i="12"/>
  <c r="M95" i="27"/>
  <c r="S39" i="12"/>
  <c r="R39" i="12"/>
  <c r="M25" i="45"/>
  <c r="S38" i="12"/>
  <c r="R38" i="12"/>
  <c r="M24" i="45"/>
  <c r="S34" i="12"/>
  <c r="R34" i="12"/>
  <c r="M20" i="37"/>
  <c r="S33" i="12"/>
  <c r="R33" i="12"/>
  <c r="M19" i="37"/>
  <c r="S31" i="12"/>
  <c r="R31" i="12"/>
  <c r="M385" i="38"/>
  <c r="S30" i="12"/>
  <c r="R30" i="12"/>
  <c r="M384" i="38"/>
  <c r="S28" i="12"/>
  <c r="R28" i="12"/>
  <c r="M419" i="38"/>
  <c r="S27" i="12"/>
  <c r="R27" i="12"/>
  <c r="M418" i="38"/>
  <c r="S25" i="12"/>
  <c r="R25" i="12"/>
  <c r="M333" i="38"/>
  <c r="S24" i="12"/>
  <c r="R24" i="12"/>
  <c r="M332" i="38"/>
  <c r="S23" i="12"/>
  <c r="R23" i="12"/>
  <c r="M331" i="38"/>
  <c r="S21" i="12"/>
  <c r="R46" i="85" s="1"/>
  <c r="R21" i="12"/>
  <c r="M276" i="38"/>
  <c r="S20" i="12"/>
  <c r="R20" i="12"/>
  <c r="M275" i="38"/>
  <c r="S19" i="12"/>
  <c r="R19" i="12"/>
  <c r="M274" i="38"/>
  <c r="S18" i="12"/>
  <c r="R18" i="12"/>
  <c r="M273" i="38"/>
  <c r="S17" i="12"/>
  <c r="R17" i="12"/>
  <c r="M272" i="38"/>
  <c r="S16" i="12"/>
  <c r="R16" i="12"/>
  <c r="M271" i="38"/>
  <c r="S14" i="12"/>
  <c r="R14" i="12"/>
  <c r="M179" i="38"/>
  <c r="S13" i="12"/>
  <c r="R13" i="12"/>
  <c r="M178" i="38"/>
  <c r="S12" i="12"/>
  <c r="R12" i="12"/>
  <c r="M177" i="38"/>
  <c r="S11" i="12"/>
  <c r="R11" i="12"/>
  <c r="M176" i="38"/>
  <c r="S9" i="12"/>
  <c r="R9" i="12"/>
  <c r="M95" i="38"/>
  <c r="S8" i="12"/>
  <c r="R8" i="12"/>
  <c r="M94" i="38"/>
  <c r="S7" i="12"/>
  <c r="R7" i="12"/>
  <c r="M93" i="38"/>
  <c r="D2" i="12"/>
  <c r="C2" i="12"/>
  <c r="B2" i="12"/>
  <c r="A2" i="12"/>
  <c r="J39" i="85"/>
  <c r="I39" i="85"/>
  <c r="H39" i="85"/>
  <c r="R38" i="85" s="1"/>
  <c r="J38" i="85"/>
  <c r="I38" i="85"/>
  <c r="H38" i="85"/>
  <c r="R37" i="85" s="1"/>
  <c r="O37" i="85"/>
  <c r="J37" i="85"/>
  <c r="I37" i="85"/>
  <c r="H37" i="85"/>
  <c r="J30" i="85"/>
  <c r="I30" i="85"/>
  <c r="H30" i="85"/>
  <c r="R29" i="85" s="1"/>
  <c r="J29" i="85"/>
  <c r="I29" i="85"/>
  <c r="H29" i="85"/>
  <c r="R28" i="85" s="1"/>
  <c r="J28" i="85"/>
  <c r="I28" i="85"/>
  <c r="H28" i="85"/>
  <c r="R22" i="85"/>
  <c r="J22" i="85"/>
  <c r="I22" i="85"/>
  <c r="H22" i="85"/>
  <c r="R21" i="85"/>
  <c r="J21" i="85"/>
  <c r="I21" i="85"/>
  <c r="H21" i="85"/>
  <c r="J20" i="85"/>
  <c r="I20" i="85"/>
  <c r="H20" i="85"/>
  <c r="R17" i="85"/>
  <c r="J17" i="85"/>
  <c r="I17" i="85"/>
  <c r="H17" i="85"/>
  <c r="O30" i="85" l="1"/>
  <c r="O38" i="85"/>
  <c r="J15" i="88"/>
  <c r="L15" i="88" s="1"/>
  <c r="O28" i="85"/>
  <c r="O29" i="85"/>
  <c r="AK4" i="84"/>
  <c r="O25" i="84"/>
  <c r="Q20" i="49"/>
  <c r="V20" i="49" s="1"/>
  <c r="V50" i="49"/>
  <c r="O14" i="43"/>
  <c r="P8" i="12"/>
  <c r="O94" i="38" s="1"/>
  <c r="P19" i="12"/>
  <c r="O274" i="38" s="1"/>
  <c r="P97" i="12"/>
  <c r="O96" i="38"/>
  <c r="P84" i="12"/>
  <c r="P12" i="12"/>
  <c r="O177" i="38" s="1"/>
  <c r="S37" i="12"/>
  <c r="S46" i="12"/>
  <c r="R23" i="85" s="1"/>
  <c r="V3" i="85" s="1"/>
  <c r="U3" i="85" s="1"/>
  <c r="P48" i="12"/>
  <c r="R27" i="85"/>
  <c r="O27" i="42"/>
  <c r="P16" i="12"/>
  <c r="O271" i="38" s="1"/>
  <c r="P20" i="12"/>
  <c r="O275" i="38" s="1"/>
  <c r="P23" i="12"/>
  <c r="O331" i="38" s="1"/>
  <c r="P39" i="12"/>
  <c r="O25" i="45" s="1"/>
  <c r="P50" i="12"/>
  <c r="P6" i="13"/>
  <c r="O9" i="84" s="1"/>
  <c r="S32" i="12"/>
  <c r="H33" i="84"/>
  <c r="I33" i="84"/>
  <c r="AS3" i="84"/>
  <c r="AR3" i="84" s="1"/>
  <c r="AQ3" i="84" s="1"/>
  <c r="AP3" i="84" s="1"/>
  <c r="AO3" i="84" s="1"/>
  <c r="J33" i="84"/>
  <c r="O33" i="84"/>
  <c r="S22" i="12"/>
  <c r="S40" i="12"/>
  <c r="R19" i="85" s="1"/>
  <c r="O27" i="31"/>
  <c r="S6" i="12"/>
  <c r="P27" i="12"/>
  <c r="O418" i="38" s="1"/>
  <c r="P31" i="12"/>
  <c r="O385" i="38" s="1"/>
  <c r="P34" i="12"/>
  <c r="O20" i="37" s="1"/>
  <c r="P47" i="12"/>
  <c r="AH4" i="9"/>
  <c r="O32" i="9"/>
  <c r="O7" i="9" s="1"/>
  <c r="S15" i="12"/>
  <c r="P24" i="12"/>
  <c r="O332" i="38" s="1"/>
  <c r="P49" i="12"/>
  <c r="O182" i="38"/>
  <c r="O180" i="38" s="1"/>
  <c r="P12" i="13"/>
  <c r="O10" i="84" s="1"/>
  <c r="O22" i="23"/>
  <c r="O21" i="23" s="1"/>
  <c r="P80" i="12"/>
  <c r="O90" i="30"/>
  <c r="O89" i="30" s="1"/>
  <c r="P57" i="12"/>
  <c r="P21" i="12"/>
  <c r="P28" i="12"/>
  <c r="O419" i="38" s="1"/>
  <c r="P36" i="12"/>
  <c r="O17" i="85" s="1"/>
  <c r="O12" i="84"/>
  <c r="J12" i="84" s="1"/>
  <c r="I12" i="84" s="1"/>
  <c r="H12" i="84" s="1"/>
  <c r="R11" i="84" s="1"/>
  <c r="O11" i="84" s="1"/>
  <c r="J11" i="84" s="1"/>
  <c r="I11" i="84" s="1"/>
  <c r="H11" i="84" s="1"/>
  <c r="O41" i="41"/>
  <c r="O40" i="41" s="1"/>
  <c r="P69" i="12"/>
  <c r="O27" i="85" s="1"/>
  <c r="J27" i="85" s="1"/>
  <c r="I27" i="85" s="1"/>
  <c r="H27" i="85" s="1"/>
  <c r="R26" i="85" s="1"/>
  <c r="O30" i="20"/>
  <c r="O29" i="20" s="1"/>
  <c r="P66" i="12"/>
  <c r="P9" i="12"/>
  <c r="O95" i="38" s="1"/>
  <c r="P17" i="12"/>
  <c r="O272" i="38" s="1"/>
  <c r="P7" i="12"/>
  <c r="P25" i="12"/>
  <c r="O333" i="38" s="1"/>
  <c r="AN3" i="84"/>
  <c r="AM3" i="84" s="1"/>
  <c r="AL3" i="84" s="1"/>
  <c r="AK3" i="84" s="1"/>
  <c r="AJ3" i="84" s="1"/>
  <c r="AI3" i="84" s="1"/>
  <c r="O17" i="26"/>
  <c r="O16" i="26" s="1"/>
  <c r="P100" i="12"/>
  <c r="J26" i="84"/>
  <c r="AJ4" i="84"/>
  <c r="AI4" i="84" s="1"/>
  <c r="P18" i="12"/>
  <c r="O273" i="38" s="1"/>
  <c r="P44" i="12"/>
  <c r="O21" i="85" s="1"/>
  <c r="O15" i="44"/>
  <c r="O14" i="44" s="1"/>
  <c r="P104" i="12"/>
  <c r="O39" i="85"/>
  <c r="P14" i="12"/>
  <c r="O179" i="38" s="1"/>
  <c r="P33" i="12"/>
  <c r="P41" i="12"/>
  <c r="O95" i="27" s="1"/>
  <c r="P45" i="12"/>
  <c r="O22" i="85" s="1"/>
  <c r="R42" i="85"/>
  <c r="P11" i="12"/>
  <c r="P38" i="12"/>
  <c r="O24" i="32"/>
  <c r="O23" i="32" s="1"/>
  <c r="P87" i="12"/>
  <c r="O47" i="24"/>
  <c r="O46" i="24" s="1"/>
  <c r="P89" i="12"/>
  <c r="S10" i="12"/>
  <c r="P13" i="12"/>
  <c r="O178" i="38" s="1"/>
  <c r="S29" i="12"/>
  <c r="R14" i="85" s="1"/>
  <c r="P77" i="12"/>
  <c r="R36" i="85"/>
  <c r="R40" i="85"/>
  <c r="S26" i="12"/>
  <c r="P26" i="12" s="1"/>
  <c r="P42" i="12"/>
  <c r="P43" i="12"/>
  <c r="O29" i="54" s="1"/>
  <c r="O28" i="54" s="1"/>
  <c r="J19" i="84"/>
  <c r="I19" i="84" s="1"/>
  <c r="H19" i="84" s="1"/>
  <c r="R18" i="84" s="1"/>
  <c r="O18" i="84" s="1"/>
  <c r="AF4" i="84"/>
  <c r="AE4" i="84" s="1"/>
  <c r="U4" i="84" s="1"/>
  <c r="P30" i="12"/>
  <c r="B4" i="85"/>
  <c r="B3" i="85"/>
  <c r="B2" i="85"/>
  <c r="A2" i="85"/>
  <c r="R61" i="8"/>
  <c r="Q61" i="8"/>
  <c r="M26" i="31"/>
  <c r="R60" i="8"/>
  <c r="Q60" i="8"/>
  <c r="M88" i="30"/>
  <c r="R59" i="8"/>
  <c r="Q59" i="8"/>
  <c r="M87" i="30"/>
  <c r="R58" i="8"/>
  <c r="Q58" i="8"/>
  <c r="M86" i="30"/>
  <c r="R57" i="8"/>
  <c r="Q57" i="8"/>
  <c r="M28" i="20"/>
  <c r="R56" i="8"/>
  <c r="Q56" i="8"/>
  <c r="M39" i="41"/>
  <c r="R53" i="8"/>
  <c r="Q53" i="8"/>
  <c r="M85" i="30"/>
  <c r="R52" i="8"/>
  <c r="Q52" i="8"/>
  <c r="M26" i="40"/>
  <c r="R51" i="8"/>
  <c r="Q51" i="8"/>
  <c r="M25" i="40"/>
  <c r="R50" i="8"/>
  <c r="Q50" i="8"/>
  <c r="M24" i="40"/>
  <c r="R49" i="8"/>
  <c r="Q49" i="8"/>
  <c r="M23" i="40"/>
  <c r="R48" i="8"/>
  <c r="Q48" i="8"/>
  <c r="M17" i="37"/>
  <c r="R45" i="8"/>
  <c r="Q45" i="8"/>
  <c r="M45" i="24"/>
  <c r="R44" i="8"/>
  <c r="Q44" i="8"/>
  <c r="M44" i="24"/>
  <c r="R43" i="8"/>
  <c r="Q43" i="8"/>
  <c r="M43" i="24"/>
  <c r="R41" i="8"/>
  <c r="Q41" i="8"/>
  <c r="M84" i="30"/>
  <c r="R40" i="8"/>
  <c r="Q40" i="8"/>
  <c r="M83" i="30"/>
  <c r="R39" i="8"/>
  <c r="Q39" i="8"/>
  <c r="M82" i="30"/>
  <c r="R38" i="8"/>
  <c r="Q38" i="8"/>
  <c r="M81" i="30"/>
  <c r="R37" i="8"/>
  <c r="Q37" i="8"/>
  <c r="M80" i="30"/>
  <c r="R36" i="8"/>
  <c r="Q36" i="8"/>
  <c r="M79" i="30"/>
  <c r="R32" i="8"/>
  <c r="Q32" i="8"/>
  <c r="M26" i="42"/>
  <c r="R31" i="8"/>
  <c r="R65" i="8" s="1"/>
  <c r="Q31" i="8"/>
  <c r="M14" i="71"/>
  <c r="R30" i="8"/>
  <c r="Q30" i="8"/>
  <c r="M42" i="24"/>
  <c r="R29" i="8"/>
  <c r="Q29" i="8"/>
  <c r="M41" i="24"/>
  <c r="R28" i="8"/>
  <c r="Q28" i="8"/>
  <c r="M22" i="32"/>
  <c r="R27" i="8"/>
  <c r="Q27" i="8"/>
  <c r="M21" i="32"/>
  <c r="R26" i="8"/>
  <c r="Q26" i="8"/>
  <c r="M38" i="41"/>
  <c r="R25" i="8"/>
  <c r="Q25" i="8"/>
  <c r="M37" i="41"/>
  <c r="R24" i="8"/>
  <c r="Q24" i="8"/>
  <c r="M78" i="30"/>
  <c r="R23" i="8"/>
  <c r="Q23" i="8"/>
  <c r="M77" i="30"/>
  <c r="R22" i="8"/>
  <c r="Q22" i="8"/>
  <c r="M76" i="30"/>
  <c r="R20" i="8"/>
  <c r="Q20" i="8"/>
  <c r="M75" i="30"/>
  <c r="R19" i="8"/>
  <c r="Q19" i="8"/>
  <c r="M74" i="30"/>
  <c r="R17" i="8"/>
  <c r="Q17" i="8"/>
  <c r="M73" i="30"/>
  <c r="R16" i="8"/>
  <c r="Q16" i="8"/>
  <c r="M72" i="30"/>
  <c r="R15" i="8"/>
  <c r="Q15" i="8"/>
  <c r="M71" i="30"/>
  <c r="R14" i="8"/>
  <c r="Q14" i="8"/>
  <c r="O14" i="8"/>
  <c r="R10" i="8"/>
  <c r="Q10" i="8"/>
  <c r="M174" i="38"/>
  <c r="R9" i="8"/>
  <c r="Q9" i="8"/>
  <c r="M91" i="38"/>
  <c r="B4" i="8"/>
  <c r="AH3" i="8"/>
  <c r="B3" i="8"/>
  <c r="B2" i="8"/>
  <c r="A2" i="8"/>
  <c r="S283" i="7"/>
  <c r="R283" i="7"/>
  <c r="M17" i="53"/>
  <c r="S282" i="7"/>
  <c r="R282" i="7"/>
  <c r="M16" i="53"/>
  <c r="S280" i="7"/>
  <c r="R280" i="7"/>
  <c r="M12" i="71"/>
  <c r="S279" i="7"/>
  <c r="R279" i="7"/>
  <c r="M11" i="71"/>
  <c r="S277" i="7"/>
  <c r="R277" i="7"/>
  <c r="M13" i="44"/>
  <c r="S276" i="7"/>
  <c r="R276" i="7"/>
  <c r="M12" i="44"/>
  <c r="S274" i="7"/>
  <c r="R274" i="7"/>
  <c r="M15" i="26"/>
  <c r="S273" i="7"/>
  <c r="R273" i="7"/>
  <c r="M14" i="26"/>
  <c r="S271" i="7"/>
  <c r="R271" i="7"/>
  <c r="M13" i="43"/>
  <c r="S270" i="7"/>
  <c r="R270" i="7"/>
  <c r="M12" i="43"/>
  <c r="S269" i="7"/>
  <c r="R269" i="7"/>
  <c r="M11" i="43"/>
  <c r="S268" i="7"/>
  <c r="R268" i="7"/>
  <c r="M10" i="43"/>
  <c r="S266" i="7"/>
  <c r="R266" i="7"/>
  <c r="M39" i="24"/>
  <c r="S265" i="7"/>
  <c r="R265" i="7"/>
  <c r="J14" i="88" l="1"/>
  <c r="L14" i="88" s="1"/>
  <c r="O40" i="85"/>
  <c r="J40" i="85" s="1"/>
  <c r="I40" i="85" s="1"/>
  <c r="H40" i="85" s="1"/>
  <c r="R39" i="85" s="1"/>
  <c r="O11" i="8"/>
  <c r="AS3" i="8"/>
  <c r="AR3" i="8"/>
  <c r="O9" i="8"/>
  <c r="P271" i="7"/>
  <c r="O13" i="43" s="1"/>
  <c r="P274" i="7"/>
  <c r="O15" i="26" s="1"/>
  <c r="O16" i="8"/>
  <c r="O72" i="30" s="1"/>
  <c r="O40" i="8"/>
  <c r="O83" i="30" s="1"/>
  <c r="O44" i="8"/>
  <c r="O44" i="24" s="1"/>
  <c r="O57" i="8"/>
  <c r="O28" i="20" s="1"/>
  <c r="O27" i="20" s="1"/>
  <c r="O60" i="8"/>
  <c r="O88" i="30" s="1"/>
  <c r="O22" i="8"/>
  <c r="O76" i="30" s="1"/>
  <c r="O25" i="8"/>
  <c r="O37" i="41" s="1"/>
  <c r="O28" i="8"/>
  <c r="O22" i="32" s="1"/>
  <c r="O36" i="8"/>
  <c r="O79" i="30" s="1"/>
  <c r="N3" i="8"/>
  <c r="O19" i="8"/>
  <c r="O74" i="30" s="1"/>
  <c r="O32" i="8"/>
  <c r="O26" i="42" s="1"/>
  <c r="O25" i="42" s="1"/>
  <c r="O38" i="8"/>
  <c r="O81" i="30" s="1"/>
  <c r="O46" i="8"/>
  <c r="AV3" i="8"/>
  <c r="O33" i="8"/>
  <c r="R18" i="8"/>
  <c r="R47" i="8"/>
  <c r="E4" i="9"/>
  <c r="O38" i="9"/>
  <c r="AI3" i="8"/>
  <c r="AP3" i="8"/>
  <c r="R21" i="8"/>
  <c r="O276" i="38"/>
  <c r="O270" i="38" s="1"/>
  <c r="R55" i="8"/>
  <c r="AZ3" i="85"/>
  <c r="AY3" i="85" s="1"/>
  <c r="P276" i="7"/>
  <c r="O12" i="44" s="1"/>
  <c r="R35" i="8"/>
  <c r="R42" i="8"/>
  <c r="O330" i="38"/>
  <c r="J10" i="84"/>
  <c r="I10" i="84" s="1"/>
  <c r="H10" i="84" s="1"/>
  <c r="R9" i="84" s="1"/>
  <c r="F3" i="84" s="1"/>
  <c r="G4" i="84"/>
  <c r="O16" i="37"/>
  <c r="O31" i="8"/>
  <c r="O43" i="8"/>
  <c r="O50" i="8"/>
  <c r="O24" i="40" s="1"/>
  <c r="O53" i="8"/>
  <c r="O85" i="30" s="1"/>
  <c r="P282" i="7"/>
  <c r="O37" i="8"/>
  <c r="O80" i="30" s="1"/>
  <c r="O93" i="38"/>
  <c r="O92" i="38" s="1"/>
  <c r="P6" i="12"/>
  <c r="O9" i="85" s="1"/>
  <c r="O48" i="8"/>
  <c r="O51" i="8"/>
  <c r="O25" i="40" s="1"/>
  <c r="O54" i="8"/>
  <c r="O19" i="37"/>
  <c r="O18" i="37" s="1"/>
  <c r="P32" i="12"/>
  <c r="O15" i="85" s="1"/>
  <c r="AL3" i="8"/>
  <c r="AK3" i="8" s="1"/>
  <c r="P268" i="7"/>
  <c r="S267" i="7"/>
  <c r="S278" i="7"/>
  <c r="P283" i="7"/>
  <c r="O17" i="53" s="1"/>
  <c r="O17" i="8"/>
  <c r="O73" i="30" s="1"/>
  <c r="O20" i="8"/>
  <c r="O75" i="30" s="1"/>
  <c r="O23" i="8"/>
  <c r="O77" i="30" s="1"/>
  <c r="O26" i="8"/>
  <c r="O38" i="41" s="1"/>
  <c r="O29" i="8"/>
  <c r="O41" i="8"/>
  <c r="O84" i="30" s="1"/>
  <c r="O58" i="8"/>
  <c r="O86" i="30" s="1"/>
  <c r="O61" i="8"/>
  <c r="O24" i="45"/>
  <c r="O23" i="45" s="1"/>
  <c r="P37" i="12"/>
  <c r="P46" i="12"/>
  <c r="O36" i="85"/>
  <c r="J36" i="85" s="1"/>
  <c r="I36" i="85" s="1"/>
  <c r="H36" i="85" s="1"/>
  <c r="R35" i="85" s="1"/>
  <c r="O35" i="85" s="1"/>
  <c r="J35" i="85" s="1"/>
  <c r="I35" i="85" s="1"/>
  <c r="H35" i="85" s="1"/>
  <c r="R34" i="85" s="1"/>
  <c r="O34" i="85" s="1"/>
  <c r="J34" i="85" s="1"/>
  <c r="I34" i="85" s="1"/>
  <c r="H34" i="85" s="1"/>
  <c r="R33" i="85" s="1"/>
  <c r="O33" i="85" s="1"/>
  <c r="J33" i="85" s="1"/>
  <c r="I33" i="85" s="1"/>
  <c r="H33" i="85" s="1"/>
  <c r="R32" i="85" s="1"/>
  <c r="O32" i="85" s="1"/>
  <c r="J32" i="85" s="1"/>
  <c r="I32" i="85" s="1"/>
  <c r="H32" i="85" s="1"/>
  <c r="O176" i="38"/>
  <c r="O175" i="38" s="1"/>
  <c r="P10" i="12"/>
  <c r="P269" i="7"/>
  <c r="P273" i="7"/>
  <c r="P280" i="7"/>
  <c r="O12" i="71" s="1"/>
  <c r="R8" i="8"/>
  <c r="G3" i="8"/>
  <c r="F3" i="8" s="1"/>
  <c r="AT3" i="8"/>
  <c r="O45" i="8"/>
  <c r="O45" i="24" s="1"/>
  <c r="O42" i="85"/>
  <c r="J42" i="85" s="1"/>
  <c r="I42" i="85" s="1"/>
  <c r="H42" i="85" s="1"/>
  <c r="R41" i="85" s="1"/>
  <c r="O41" i="85" s="1"/>
  <c r="J41" i="85" s="1"/>
  <c r="I41" i="85" s="1"/>
  <c r="H41" i="85" s="1"/>
  <c r="O49" i="8"/>
  <c r="O52" i="8"/>
  <c r="O26" i="85"/>
  <c r="J26" i="85" s="1"/>
  <c r="I26" i="85" s="1"/>
  <c r="H26" i="85" s="1"/>
  <c r="R25" i="85" s="1"/>
  <c r="O25" i="85" s="1"/>
  <c r="O417" i="38"/>
  <c r="O10" i="8"/>
  <c r="O15" i="8"/>
  <c r="O71" i="30" s="1"/>
  <c r="O24" i="8"/>
  <c r="O78" i="30" s="1"/>
  <c r="O27" i="8"/>
  <c r="O21" i="32" s="1"/>
  <c r="O30" i="8"/>
  <c r="O42" i="24" s="1"/>
  <c r="O56" i="8"/>
  <c r="O59" i="8"/>
  <c r="O87" i="30" s="1"/>
  <c r="P15" i="12"/>
  <c r="O13" i="8"/>
  <c r="M16" i="37"/>
  <c r="P266" i="7"/>
  <c r="O39" i="24" s="1"/>
  <c r="P270" i="7"/>
  <c r="O12" i="43" s="1"/>
  <c r="P277" i="7"/>
  <c r="I26" i="84"/>
  <c r="J25" i="84"/>
  <c r="P22" i="12"/>
  <c r="J18" i="84"/>
  <c r="I18" i="84" s="1"/>
  <c r="H18" i="84" s="1"/>
  <c r="R17" i="84" s="1"/>
  <c r="P4" i="84"/>
  <c r="O4" i="84" s="1"/>
  <c r="L4" i="84" s="1"/>
  <c r="AJ3" i="8"/>
  <c r="P3" i="85"/>
  <c r="O3" i="85" s="1"/>
  <c r="AT3" i="85"/>
  <c r="O96" i="27"/>
  <c r="P40" i="12"/>
  <c r="O19" i="85" s="1"/>
  <c r="J19" i="85" s="1"/>
  <c r="I19" i="85" s="1"/>
  <c r="H19" i="85" s="1"/>
  <c r="R18" i="85" s="1"/>
  <c r="O20" i="85"/>
  <c r="O39" i="8"/>
  <c r="O82" i="30" s="1"/>
  <c r="P279" i="7"/>
  <c r="O11" i="71" s="1"/>
  <c r="H17" i="84"/>
  <c r="O384" i="38"/>
  <c r="O383" i="38" s="1"/>
  <c r="P29" i="12"/>
  <c r="O14" i="85" s="1"/>
  <c r="J14" i="85" s="1"/>
  <c r="I14" i="85" s="1"/>
  <c r="H14" i="85" s="1"/>
  <c r="R13" i="85" s="1"/>
  <c r="O13" i="85" s="1"/>
  <c r="J13" i="85" s="1"/>
  <c r="I13" i="85" s="1"/>
  <c r="H13" i="85" s="1"/>
  <c r="R12" i="85" s="1"/>
  <c r="S272" i="7"/>
  <c r="S275" i="7"/>
  <c r="J9" i="84"/>
  <c r="F4" i="84"/>
  <c r="S281" i="7"/>
  <c r="N38" i="24"/>
  <c r="F38" i="24"/>
  <c r="S264" i="7"/>
  <c r="R264" i="7"/>
  <c r="M37" i="24"/>
  <c r="S263" i="7"/>
  <c r="R263" i="7"/>
  <c r="M36" i="24"/>
  <c r="S261" i="7"/>
  <c r="R261" i="7"/>
  <c r="M19" i="32"/>
  <c r="S260" i="7"/>
  <c r="R260" i="7"/>
  <c r="M18" i="32"/>
  <c r="S258" i="7"/>
  <c r="R258" i="7"/>
  <c r="M24" i="42"/>
  <c r="S257" i="7"/>
  <c r="R257" i="7"/>
  <c r="M23" i="42"/>
  <c r="S256" i="7"/>
  <c r="R256" i="7"/>
  <c r="M22" i="42"/>
  <c r="S255" i="7"/>
  <c r="R255" i="7"/>
  <c r="M21" i="42"/>
  <c r="S253" i="7"/>
  <c r="R253" i="7"/>
  <c r="M20" i="23"/>
  <c r="S252" i="7"/>
  <c r="R252" i="7"/>
  <c r="M19" i="23"/>
  <c r="S250" i="7"/>
  <c r="R250" i="7"/>
  <c r="M24" i="31"/>
  <c r="S249" i="7"/>
  <c r="R249" i="7"/>
  <c r="M23" i="31"/>
  <c r="S246" i="7"/>
  <c r="R246" i="7"/>
  <c r="S244" i="7"/>
  <c r="R244" i="7"/>
  <c r="M10" i="70"/>
  <c r="S242" i="7"/>
  <c r="R242" i="7"/>
  <c r="M31" i="68"/>
  <c r="S241" i="7"/>
  <c r="R241" i="7"/>
  <c r="M30" i="68"/>
  <c r="S240" i="7"/>
  <c r="R240" i="7"/>
  <c r="M29" i="68"/>
  <c r="S239" i="7"/>
  <c r="R239" i="7"/>
  <c r="M28" i="68"/>
  <c r="S238" i="7"/>
  <c r="R238" i="7"/>
  <c r="M27" i="68"/>
  <c r="S237" i="7"/>
  <c r="R237" i="7"/>
  <c r="M26" i="68"/>
  <c r="S236" i="7"/>
  <c r="R236" i="7"/>
  <c r="M25" i="68"/>
  <c r="S234" i="7"/>
  <c r="R234" i="7"/>
  <c r="M35" i="41"/>
  <c r="S233" i="7"/>
  <c r="R233" i="7"/>
  <c r="M34" i="41"/>
  <c r="S232" i="7"/>
  <c r="R232" i="7"/>
  <c r="M33" i="41"/>
  <c r="S230" i="7"/>
  <c r="R230" i="7"/>
  <c r="M26" i="20"/>
  <c r="S229" i="7"/>
  <c r="R229" i="7"/>
  <c r="M25" i="20"/>
  <c r="S227" i="7"/>
  <c r="R227" i="7"/>
  <c r="M69" i="30"/>
  <c r="S226" i="7"/>
  <c r="R226" i="7"/>
  <c r="M68" i="30"/>
  <c r="S225" i="7"/>
  <c r="R225" i="7"/>
  <c r="M67" i="30"/>
  <c r="S224" i="7"/>
  <c r="R224" i="7"/>
  <c r="M66" i="30"/>
  <c r="S223" i="7"/>
  <c r="R223" i="7"/>
  <c r="M65" i="30"/>
  <c r="S222" i="7"/>
  <c r="R222" i="7"/>
  <c r="M64" i="30"/>
  <c r="S221" i="7"/>
  <c r="R221" i="7"/>
  <c r="M63" i="30"/>
  <c r="S220" i="7"/>
  <c r="R220" i="7"/>
  <c r="M62" i="30"/>
  <c r="S218" i="7"/>
  <c r="R218" i="7"/>
  <c r="M21" i="40"/>
  <c r="S217" i="7"/>
  <c r="R217" i="7"/>
  <c r="M20" i="40"/>
  <c r="S216" i="7"/>
  <c r="R216" i="7"/>
  <c r="M19" i="40"/>
  <c r="S215" i="7"/>
  <c r="R215" i="7"/>
  <c r="M18" i="40"/>
  <c r="S214" i="7"/>
  <c r="R214" i="7"/>
  <c r="M17" i="40"/>
  <c r="S213" i="7"/>
  <c r="R213" i="7"/>
  <c r="M16" i="40"/>
  <c r="S212" i="7"/>
  <c r="R212" i="7"/>
  <c r="M15" i="40"/>
  <c r="S211" i="7"/>
  <c r="R211" i="7"/>
  <c r="M14" i="40"/>
  <c r="S210" i="7"/>
  <c r="R210" i="7"/>
  <c r="M13" i="40"/>
  <c r="S195" i="7"/>
  <c r="S194" i="7"/>
  <c r="R194" i="7"/>
  <c r="M27" i="54"/>
  <c r="S193" i="7"/>
  <c r="R193" i="7"/>
  <c r="M26" i="54"/>
  <c r="S192" i="7"/>
  <c r="R192" i="7"/>
  <c r="M25" i="54"/>
  <c r="S191" i="7"/>
  <c r="R191" i="7"/>
  <c r="N24" i="54"/>
  <c r="M24" i="54"/>
  <c r="S190" i="7"/>
  <c r="R190" i="7"/>
  <c r="N23" i="54"/>
  <c r="M23" i="54"/>
  <c r="S188" i="7"/>
  <c r="R188" i="7"/>
  <c r="M12" i="61"/>
  <c r="S187" i="7"/>
  <c r="M11" i="61"/>
  <c r="S186" i="7"/>
  <c r="M10" i="61"/>
  <c r="S185" i="7"/>
  <c r="M9" i="61"/>
  <c r="S177" i="7"/>
  <c r="S176" i="7"/>
  <c r="R176" i="7"/>
  <c r="M13" i="35"/>
  <c r="S175" i="7"/>
  <c r="R175" i="7"/>
  <c r="M12" i="35"/>
  <c r="S169" i="7"/>
  <c r="S168" i="7"/>
  <c r="R168" i="7"/>
  <c r="M93" i="27"/>
  <c r="S167" i="7"/>
  <c r="R167" i="7"/>
  <c r="M92" i="27"/>
  <c r="S166" i="7"/>
  <c r="R166" i="7"/>
  <c r="M91" i="27"/>
  <c r="S165" i="7"/>
  <c r="R165" i="7"/>
  <c r="M90" i="27"/>
  <c r="S164" i="7"/>
  <c r="R164" i="7"/>
  <c r="M89" i="27"/>
  <c r="S159" i="7"/>
  <c r="S155" i="7"/>
  <c r="S151" i="7"/>
  <c r="O20" i="32" l="1"/>
  <c r="O10" i="71"/>
  <c r="O21" i="8"/>
  <c r="O18" i="8"/>
  <c r="O12" i="8" s="1"/>
  <c r="O12" i="85"/>
  <c r="J12" i="85" s="1"/>
  <c r="I12" i="85" s="1"/>
  <c r="H12" i="85" s="1"/>
  <c r="R11" i="85" s="1"/>
  <c r="AK4" i="8"/>
  <c r="AR4" i="8"/>
  <c r="O91" i="38"/>
  <c r="O90" i="38" s="1"/>
  <c r="F4" i="8"/>
  <c r="P212" i="7"/>
  <c r="O15" i="40" s="1"/>
  <c r="P213" i="7"/>
  <c r="O16" i="40" s="1"/>
  <c r="P230" i="7"/>
  <c r="O26" i="20" s="1"/>
  <c r="P233" i="7"/>
  <c r="O34" i="41" s="1"/>
  <c r="P258" i="7"/>
  <c r="O24" i="42" s="1"/>
  <c r="M38" i="24"/>
  <c r="R12" i="8"/>
  <c r="L3" i="85"/>
  <c r="K3" i="85" s="1"/>
  <c r="I3" i="85" s="1"/>
  <c r="AS3" i="85"/>
  <c r="AR3" i="85" s="1"/>
  <c r="AQ3" i="85" s="1"/>
  <c r="R34" i="8"/>
  <c r="P201" i="7"/>
  <c r="P205" i="7"/>
  <c r="P241" i="7"/>
  <c r="O30" i="68" s="1"/>
  <c r="P242" i="7"/>
  <c r="O31" i="68" s="1"/>
  <c r="S251" i="7"/>
  <c r="AP3" i="85"/>
  <c r="AO3" i="85" s="1"/>
  <c r="AN3" i="85" s="1"/>
  <c r="O11" i="43"/>
  <c r="S163" i="7"/>
  <c r="S235" i="7"/>
  <c r="O26" i="40"/>
  <c r="O65" i="8"/>
  <c r="O70" i="30"/>
  <c r="S228" i="7"/>
  <c r="S248" i="7"/>
  <c r="S219" i="7"/>
  <c r="S231" i="7"/>
  <c r="P215" i="7"/>
  <c r="O18" i="40" s="1"/>
  <c r="P216" i="7"/>
  <c r="O19" i="40" s="1"/>
  <c r="P154" i="7"/>
  <c r="P175" i="7"/>
  <c r="O12" i="35" s="1"/>
  <c r="P186" i="7"/>
  <c r="O10" i="61" s="1"/>
  <c r="P221" i="7"/>
  <c r="O63" i="30" s="1"/>
  <c r="P222" i="7"/>
  <c r="O64" i="30" s="1"/>
  <c r="P227" i="7"/>
  <c r="O69" i="30" s="1"/>
  <c r="P236" i="7"/>
  <c r="O25" i="68" s="1"/>
  <c r="P244" i="7"/>
  <c r="O10" i="70" s="1"/>
  <c r="O9" i="70" s="1"/>
  <c r="P153" i="7"/>
  <c r="P161" i="7"/>
  <c r="P168" i="7"/>
  <c r="O93" i="27" s="1"/>
  <c r="P180" i="7"/>
  <c r="P199" i="7"/>
  <c r="P210" i="7"/>
  <c r="O13" i="40" s="1"/>
  <c r="P238" i="7"/>
  <c r="O27" i="68" s="1"/>
  <c r="P239" i="7"/>
  <c r="O28" i="68" s="1"/>
  <c r="P249" i="7"/>
  <c r="O23" i="31" s="1"/>
  <c r="P192" i="7"/>
  <c r="O25" i="54" s="1"/>
  <c r="P278" i="7"/>
  <c r="S150" i="7"/>
  <c r="P165" i="7"/>
  <c r="O90" i="27" s="1"/>
  <c r="P173" i="7"/>
  <c r="P178" i="7"/>
  <c r="P182" i="7"/>
  <c r="P191" i="7"/>
  <c r="O24" i="54" s="1"/>
  <c r="P196" i="7"/>
  <c r="P203" i="7"/>
  <c r="P218" i="7"/>
  <c r="O21" i="40" s="1"/>
  <c r="P224" i="7"/>
  <c r="O66" i="30" s="1"/>
  <c r="P225" i="7"/>
  <c r="O67" i="30" s="1"/>
  <c r="P252" i="7"/>
  <c r="O19" i="23" s="1"/>
  <c r="S184" i="7"/>
  <c r="S209" i="7"/>
  <c r="O11" i="85"/>
  <c r="J11" i="85" s="1"/>
  <c r="I11" i="85" s="1"/>
  <c r="H11" i="85" s="1"/>
  <c r="R10" i="85" s="1"/>
  <c r="O10" i="85" s="1"/>
  <c r="G4" i="85" s="1"/>
  <c r="P160" i="7"/>
  <c r="P179" i="7"/>
  <c r="P202" i="7"/>
  <c r="O40" i="83" s="1"/>
  <c r="P232" i="7"/>
  <c r="P255" i="7"/>
  <c r="S254" i="7"/>
  <c r="P265" i="7"/>
  <c r="O38" i="24" s="1"/>
  <c r="AX3" i="85"/>
  <c r="AW3" i="85" s="1"/>
  <c r="AV3" i="85" s="1"/>
  <c r="AU3" i="85" s="1"/>
  <c r="O23" i="85"/>
  <c r="R31" i="85"/>
  <c r="O13" i="44"/>
  <c r="O11" i="44" s="1"/>
  <c r="P275" i="7"/>
  <c r="O10" i="43"/>
  <c r="P267" i="7"/>
  <c r="O16" i="53"/>
  <c r="O15" i="53" s="1"/>
  <c r="P281" i="7"/>
  <c r="P181" i="7"/>
  <c r="P204" i="7"/>
  <c r="O42" i="83" s="1"/>
  <c r="P211" i="7"/>
  <c r="O14" i="40" s="1"/>
  <c r="P214" i="7"/>
  <c r="O17" i="40" s="1"/>
  <c r="P217" i="7"/>
  <c r="O20" i="40" s="1"/>
  <c r="P220" i="7"/>
  <c r="P223" i="7"/>
  <c r="O65" i="30" s="1"/>
  <c r="P226" i="7"/>
  <c r="O68" i="30" s="1"/>
  <c r="P229" i="7"/>
  <c r="O31" i="85"/>
  <c r="O26" i="31"/>
  <c r="O25" i="31" s="1"/>
  <c r="AP4" i="8"/>
  <c r="AL4" i="8" s="1"/>
  <c r="O35" i="8"/>
  <c r="J31" i="85"/>
  <c r="O174" i="38"/>
  <c r="O173" i="38" s="1"/>
  <c r="O8" i="8"/>
  <c r="G4" i="8"/>
  <c r="P156" i="7"/>
  <c r="P197" i="7"/>
  <c r="P206" i="7"/>
  <c r="O44" i="83" s="1"/>
  <c r="S245" i="7"/>
  <c r="M10" i="75"/>
  <c r="P256" i="7"/>
  <c r="O22" i="42" s="1"/>
  <c r="P263" i="7"/>
  <c r="AJ4" i="8"/>
  <c r="P157" i="7"/>
  <c r="P187" i="7"/>
  <c r="O11" i="61" s="1"/>
  <c r="P190" i="7"/>
  <c r="P193" i="7"/>
  <c r="O26" i="54" s="1"/>
  <c r="P198" i="7"/>
  <c r="P207" i="7"/>
  <c r="O45" i="83" s="1"/>
  <c r="P246" i="7"/>
  <c r="P250" i="7"/>
  <c r="O24" i="31" s="1"/>
  <c r="P253" i="7"/>
  <c r="O20" i="23" s="1"/>
  <c r="P260" i="7"/>
  <c r="O41" i="24"/>
  <c r="AT4" i="8"/>
  <c r="AS4" i="8" s="1"/>
  <c r="O43" i="24"/>
  <c r="O42" i="8"/>
  <c r="P166" i="7"/>
  <c r="O91" i="27" s="1"/>
  <c r="P158" i="7"/>
  <c r="J25" i="85"/>
  <c r="O24" i="85"/>
  <c r="O14" i="26"/>
  <c r="O13" i="26" s="1"/>
  <c r="P272" i="7"/>
  <c r="O14" i="71"/>
  <c r="O13" i="71" s="1"/>
  <c r="AV4" i="8"/>
  <c r="P167" i="7"/>
  <c r="O92" i="27" s="1"/>
  <c r="P234" i="7"/>
  <c r="O35" i="41" s="1"/>
  <c r="P237" i="7"/>
  <c r="O26" i="68" s="1"/>
  <c r="P240" i="7"/>
  <c r="O29" i="68" s="1"/>
  <c r="P257" i="7"/>
  <c r="O23" i="42" s="1"/>
  <c r="S259" i="7"/>
  <c r="P162" i="7"/>
  <c r="P170" i="7"/>
  <c r="P171" i="7"/>
  <c r="P194" i="7"/>
  <c r="O27" i="54" s="1"/>
  <c r="P264" i="7"/>
  <c r="O37" i="24" s="1"/>
  <c r="O23" i="40"/>
  <c r="AI4" i="8"/>
  <c r="O17" i="37"/>
  <c r="O15" i="37" s="1"/>
  <c r="O47" i="8"/>
  <c r="N4" i="8"/>
  <c r="P183" i="7"/>
  <c r="P164" i="7"/>
  <c r="P152" i="7"/>
  <c r="P172" i="7"/>
  <c r="P185" i="7"/>
  <c r="P188" i="7"/>
  <c r="O12" i="61" s="1"/>
  <c r="P261" i="7"/>
  <c r="O19" i="32" s="1"/>
  <c r="I31" i="85"/>
  <c r="H26" i="84"/>
  <c r="H25" i="84" s="1"/>
  <c r="I25" i="84"/>
  <c r="O39" i="41"/>
  <c r="O36" i="41" s="1"/>
  <c r="H31" i="85"/>
  <c r="R30" i="85" s="1"/>
  <c r="R24" i="85" s="1"/>
  <c r="S174" i="7"/>
  <c r="S262" i="7"/>
  <c r="O17" i="84"/>
  <c r="AH3" i="84"/>
  <c r="AF3" i="84" s="1"/>
  <c r="AE3" i="84" s="1"/>
  <c r="U3" i="84" s="1"/>
  <c r="P3" i="84" s="1"/>
  <c r="O3" i="84" s="1"/>
  <c r="L3" i="84" s="1"/>
  <c r="R16" i="84"/>
  <c r="J10" i="85"/>
  <c r="I10" i="85" s="1"/>
  <c r="H10" i="85" s="1"/>
  <c r="R9" i="85" s="1"/>
  <c r="F3" i="85" s="1"/>
  <c r="O18" i="85"/>
  <c r="J18" i="85" s="1"/>
  <c r="R16" i="85"/>
  <c r="AF3" i="85"/>
  <c r="Z3" i="85" s="1"/>
  <c r="S189" i="7"/>
  <c r="H16" i="84"/>
  <c r="R15" i="84" s="1"/>
  <c r="P176" i="7"/>
  <c r="J9" i="85"/>
  <c r="I9" i="84"/>
  <c r="S243" i="7"/>
  <c r="F4" i="85"/>
  <c r="S149" i="7"/>
  <c r="R149" i="7"/>
  <c r="M22" i="45"/>
  <c r="S148" i="7"/>
  <c r="R148" i="7"/>
  <c r="M21" i="45"/>
  <c r="S147" i="7"/>
  <c r="R147" i="7"/>
  <c r="M20" i="45"/>
  <c r="M442" i="38"/>
  <c r="S143" i="7"/>
  <c r="R143" i="7"/>
  <c r="M441" i="38"/>
  <c r="S141" i="7"/>
  <c r="R141" i="7"/>
  <c r="M416" i="38"/>
  <c r="S140" i="7"/>
  <c r="R140" i="7"/>
  <c r="M415" i="38"/>
  <c r="S138" i="7"/>
  <c r="R138" i="7"/>
  <c r="M382" i="38"/>
  <c r="S137" i="7"/>
  <c r="R137" i="7"/>
  <c r="M381" i="38"/>
  <c r="S136" i="7"/>
  <c r="R136" i="7"/>
  <c r="M380" i="38"/>
  <c r="S135" i="7"/>
  <c r="R135" i="7"/>
  <c r="M379" i="38"/>
  <c r="S133" i="7"/>
  <c r="R133" i="7"/>
  <c r="M369" i="38"/>
  <c r="S132" i="7"/>
  <c r="R132" i="7"/>
  <c r="M368" i="38"/>
  <c r="R131" i="7"/>
  <c r="M367" i="38"/>
  <c r="S130" i="7"/>
  <c r="R130" i="7"/>
  <c r="M366" i="38"/>
  <c r="S129" i="7"/>
  <c r="R129" i="7"/>
  <c r="M365" i="38"/>
  <c r="S127" i="7"/>
  <c r="R127" i="7"/>
  <c r="M329" i="38"/>
  <c r="S126" i="7"/>
  <c r="J13" i="88" s="1"/>
  <c r="L13" i="88" s="1"/>
  <c r="R126" i="7"/>
  <c r="M328" i="38"/>
  <c r="S125" i="7"/>
  <c r="R125" i="7"/>
  <c r="M327" i="38"/>
  <c r="S124" i="7"/>
  <c r="R124" i="7"/>
  <c r="M326" i="38"/>
  <c r="S122" i="7"/>
  <c r="R122" i="7"/>
  <c r="M325" i="38"/>
  <c r="S121" i="7"/>
  <c r="R121" i="7"/>
  <c r="M324" i="38"/>
  <c r="S120" i="7"/>
  <c r="R120" i="7"/>
  <c r="M323" i="38"/>
  <c r="S119" i="7"/>
  <c r="R119" i="7"/>
  <c r="M322" i="38"/>
  <c r="S118" i="7"/>
  <c r="R118" i="7"/>
  <c r="M321" i="38"/>
  <c r="S117" i="7"/>
  <c r="R117" i="7"/>
  <c r="M320" i="38"/>
  <c r="S116" i="7"/>
  <c r="R116" i="7"/>
  <c r="M319" i="38"/>
  <c r="S115" i="7"/>
  <c r="R115" i="7"/>
  <c r="M318" i="38"/>
  <c r="S114" i="7"/>
  <c r="R114" i="7"/>
  <c r="M317" i="38"/>
  <c r="S113" i="7"/>
  <c r="R113" i="7"/>
  <c r="M316" i="38"/>
  <c r="S112" i="7"/>
  <c r="R112" i="7"/>
  <c r="M315" i="38"/>
  <c r="S111" i="7"/>
  <c r="R111" i="7"/>
  <c r="M314" i="38"/>
  <c r="S109" i="7"/>
  <c r="R109" i="7"/>
  <c r="M269" i="38"/>
  <c r="S108" i="7"/>
  <c r="R108" i="7"/>
  <c r="M268" i="38"/>
  <c r="S107" i="7"/>
  <c r="R107" i="7"/>
  <c r="M267" i="38"/>
  <c r="S106" i="7"/>
  <c r="R106" i="7"/>
  <c r="M266" i="38"/>
  <c r="S105" i="7"/>
  <c r="R105" i="7"/>
  <c r="M265" i="38"/>
  <c r="S104" i="7"/>
  <c r="R104" i="7"/>
  <c r="M264" i="38"/>
  <c r="S103" i="7"/>
  <c r="R103" i="7"/>
  <c r="M263" i="38"/>
  <c r="S102" i="7"/>
  <c r="R102" i="7"/>
  <c r="M262" i="38"/>
  <c r="S101" i="7"/>
  <c r="R101" i="7"/>
  <c r="M261" i="38"/>
  <c r="S100" i="7"/>
  <c r="R100" i="7"/>
  <c r="M260" i="38"/>
  <c r="S99" i="7"/>
  <c r="R99" i="7"/>
  <c r="M259" i="38"/>
  <c r="S98" i="7"/>
  <c r="R98" i="7"/>
  <c r="M258" i="38"/>
  <c r="S97" i="7"/>
  <c r="R97" i="7"/>
  <c r="M257" i="38"/>
  <c r="S96" i="7"/>
  <c r="R96" i="7"/>
  <c r="M256" i="38"/>
  <c r="S95" i="7"/>
  <c r="R95" i="7"/>
  <c r="M255" i="38"/>
  <c r="S94" i="7"/>
  <c r="R94" i="7"/>
  <c r="M254" i="38"/>
  <c r="S93" i="7"/>
  <c r="R93" i="7"/>
  <c r="M253" i="38"/>
  <c r="S92" i="7"/>
  <c r="R92" i="7"/>
  <c r="M252" i="38"/>
  <c r="S91" i="7"/>
  <c r="R91" i="7"/>
  <c r="M251" i="38"/>
  <c r="S90" i="7"/>
  <c r="R90" i="7"/>
  <c r="M250" i="38"/>
  <c r="S89" i="7"/>
  <c r="R89" i="7"/>
  <c r="M249" i="38"/>
  <c r="S88" i="7"/>
  <c r="R88" i="7"/>
  <c r="M248" i="38"/>
  <c r="S87" i="7"/>
  <c r="R87" i="7"/>
  <c r="M247" i="38"/>
  <c r="S86" i="7"/>
  <c r="R86" i="7"/>
  <c r="M246" i="38"/>
  <c r="S85" i="7"/>
  <c r="R85" i="7"/>
  <c r="M245" i="38"/>
  <c r="S84" i="7"/>
  <c r="R84" i="7"/>
  <c r="M244" i="38"/>
  <c r="S83" i="7"/>
  <c r="R83" i="7"/>
  <c r="M243" i="38"/>
  <c r="S82" i="7"/>
  <c r="R82" i="7"/>
  <c r="M242" i="38"/>
  <c r="S80" i="7"/>
  <c r="R80" i="7"/>
  <c r="M172" i="38"/>
  <c r="S79" i="7"/>
  <c r="R79" i="7"/>
  <c r="M171" i="38"/>
  <c r="S78" i="7"/>
  <c r="R78" i="7"/>
  <c r="M170" i="38"/>
  <c r="S77" i="7"/>
  <c r="R77" i="7"/>
  <c r="M169" i="38"/>
  <c r="S76" i="7"/>
  <c r="R76" i="7"/>
  <c r="M168" i="38"/>
  <c r="S75" i="7"/>
  <c r="R75" i="7"/>
  <c r="M167" i="38"/>
  <c r="S74" i="7"/>
  <c r="R74" i="7"/>
  <c r="M166" i="38"/>
  <c r="S73" i="7"/>
  <c r="R73" i="7"/>
  <c r="M165" i="38"/>
  <c r="S72" i="7"/>
  <c r="R72" i="7"/>
  <c r="M164" i="38"/>
  <c r="S71" i="7"/>
  <c r="R71" i="7"/>
  <c r="M163" i="38"/>
  <c r="S70" i="7"/>
  <c r="R70" i="7"/>
  <c r="M162" i="38"/>
  <c r="S69" i="7"/>
  <c r="R69" i="7"/>
  <c r="M161" i="38"/>
  <c r="S68" i="7"/>
  <c r="R68" i="7"/>
  <c r="M160" i="38"/>
  <c r="S67" i="7"/>
  <c r="R67" i="7"/>
  <c r="M159" i="38"/>
  <c r="S66" i="7"/>
  <c r="R66" i="7"/>
  <c r="M158" i="38"/>
  <c r="S65" i="7"/>
  <c r="R65" i="7"/>
  <c r="M157" i="38"/>
  <c r="S64" i="7"/>
  <c r="R64" i="7"/>
  <c r="M156" i="38"/>
  <c r="S63" i="7"/>
  <c r="R63" i="7"/>
  <c r="M155" i="38"/>
  <c r="S62" i="7"/>
  <c r="R62" i="7"/>
  <c r="M154" i="38"/>
  <c r="S61" i="7"/>
  <c r="R61" i="7"/>
  <c r="M153" i="38"/>
  <c r="S60" i="7"/>
  <c r="R60" i="7"/>
  <c r="M152" i="38"/>
  <c r="S59" i="7"/>
  <c r="R59" i="7"/>
  <c r="M151" i="38"/>
  <c r="S58" i="7"/>
  <c r="R58" i="7"/>
  <c r="M150" i="38"/>
  <c r="S57" i="7"/>
  <c r="R57" i="7"/>
  <c r="M149" i="38"/>
  <c r="S56" i="7"/>
  <c r="R56" i="7"/>
  <c r="M148" i="38"/>
  <c r="S55" i="7"/>
  <c r="R55" i="7"/>
  <c r="M147" i="38"/>
  <c r="S53" i="7"/>
  <c r="R53" i="7"/>
  <c r="M89" i="38"/>
  <c r="S52" i="7"/>
  <c r="R52" i="7"/>
  <c r="M88" i="38"/>
  <c r="S51" i="7"/>
  <c r="R51" i="7"/>
  <c r="M87" i="38"/>
  <c r="S50" i="7"/>
  <c r="R50" i="7"/>
  <c r="M86" i="38"/>
  <c r="S49" i="7"/>
  <c r="R49" i="7"/>
  <c r="M85" i="38"/>
  <c r="S48" i="7"/>
  <c r="R48" i="7"/>
  <c r="M84" i="38"/>
  <c r="S47" i="7"/>
  <c r="R47" i="7"/>
  <c r="M83" i="38"/>
  <c r="S46" i="7"/>
  <c r="R46" i="7"/>
  <c r="M82" i="38"/>
  <c r="S45" i="7"/>
  <c r="R45" i="7"/>
  <c r="M81" i="38"/>
  <c r="S44" i="7"/>
  <c r="R44" i="7"/>
  <c r="M80" i="38"/>
  <c r="S43" i="7"/>
  <c r="R43" i="7"/>
  <c r="M79" i="38"/>
  <c r="S42" i="7"/>
  <c r="R42" i="7"/>
  <c r="M78" i="38"/>
  <c r="S41" i="7"/>
  <c r="R41" i="7"/>
  <c r="M77" i="38"/>
  <c r="S40" i="7"/>
  <c r="R40" i="7"/>
  <c r="M76" i="38"/>
  <c r="S39" i="7"/>
  <c r="R39" i="7"/>
  <c r="M75" i="38"/>
  <c r="S38" i="7"/>
  <c r="R38" i="7"/>
  <c r="M74" i="38"/>
  <c r="S37" i="7"/>
  <c r="R37" i="7"/>
  <c r="M73" i="38"/>
  <c r="S36" i="7"/>
  <c r="R36" i="7"/>
  <c r="M72" i="38"/>
  <c r="S35" i="7"/>
  <c r="R35" i="7"/>
  <c r="M71" i="38"/>
  <c r="S34" i="7"/>
  <c r="R34" i="7"/>
  <c r="M70" i="38"/>
  <c r="S33" i="7"/>
  <c r="R33" i="7"/>
  <c r="M69" i="38"/>
  <c r="S32" i="7"/>
  <c r="R32" i="7"/>
  <c r="M68" i="38"/>
  <c r="S31" i="7"/>
  <c r="R31" i="7"/>
  <c r="M67" i="38"/>
  <c r="S30" i="7"/>
  <c r="R30" i="7"/>
  <c r="M66" i="38"/>
  <c r="S29" i="7"/>
  <c r="R29" i="7"/>
  <c r="M65" i="38"/>
  <c r="S28" i="7"/>
  <c r="R28" i="7"/>
  <c r="M64" i="38"/>
  <c r="S27" i="7"/>
  <c r="R27" i="7"/>
  <c r="P21" i="7"/>
  <c r="P20" i="7"/>
  <c r="S19" i="7"/>
  <c r="R19" i="7"/>
  <c r="M62" i="38"/>
  <c r="S18" i="7"/>
  <c r="R18" i="7"/>
  <c r="M443" i="38"/>
  <c r="R17" i="7"/>
  <c r="L61" i="38"/>
  <c r="S12" i="7"/>
  <c r="K222" i="72"/>
  <c r="S10" i="7"/>
  <c r="P221" i="72" s="1"/>
  <c r="R10" i="7"/>
  <c r="S9" i="7"/>
  <c r="P220" i="72" s="1"/>
  <c r="R9" i="7"/>
  <c r="S8" i="7"/>
  <c r="P219" i="72" s="1"/>
  <c r="R8" i="7"/>
  <c r="S7" i="7"/>
  <c r="P218" i="72" s="1"/>
  <c r="R7" i="7"/>
  <c r="D2" i="7"/>
  <c r="C2" i="7"/>
  <c r="B2" i="7"/>
  <c r="A2" i="7"/>
  <c r="R64" i="83" s="1"/>
  <c r="R45" i="83"/>
  <c r="R44" i="83"/>
  <c r="R43" i="83"/>
  <c r="R42" i="83"/>
  <c r="R41" i="83"/>
  <c r="R40" i="83"/>
  <c r="R39" i="83"/>
  <c r="O39" i="83" s="1"/>
  <c r="R38" i="83"/>
  <c r="R18" i="83"/>
  <c r="Q18" i="83"/>
  <c r="R17" i="83"/>
  <c r="Q17" i="83"/>
  <c r="R16" i="83"/>
  <c r="R10" i="83"/>
  <c r="B4" i="83"/>
  <c r="B3" i="83"/>
  <c r="B2" i="83"/>
  <c r="A2" i="83"/>
  <c r="P175" i="6"/>
  <c r="V175" i="6" s="1"/>
  <c r="S174" i="6"/>
  <c r="M23" i="68"/>
  <c r="S173" i="6"/>
  <c r="R173" i="6"/>
  <c r="M21" i="54"/>
  <c r="S172" i="6"/>
  <c r="R172" i="6"/>
  <c r="M20" i="54"/>
  <c r="S171" i="6"/>
  <c r="R171" i="6"/>
  <c r="M240" i="38"/>
  <c r="S170" i="6"/>
  <c r="R170" i="6"/>
  <c r="M239" i="38"/>
  <c r="S169" i="6"/>
  <c r="R169" i="6"/>
  <c r="M238" i="38"/>
  <c r="S168" i="6"/>
  <c r="R168" i="6"/>
  <c r="M237" i="38"/>
  <c r="S167" i="6"/>
  <c r="R167" i="6"/>
  <c r="M312" i="38"/>
  <c r="S166" i="6"/>
  <c r="R166" i="6"/>
  <c r="M363" i="38"/>
  <c r="P165" i="6"/>
  <c r="P164" i="6"/>
  <c r="P162" i="6"/>
  <c r="V162" i="6" s="1"/>
  <c r="O64" i="83" l="1"/>
  <c r="R63" i="83" s="1"/>
  <c r="O43" i="83"/>
  <c r="O22" i="40"/>
  <c r="O63" i="83"/>
  <c r="R62" i="83" s="1"/>
  <c r="O62" i="83" s="1"/>
  <c r="R61" i="83" s="1"/>
  <c r="O61" i="83"/>
  <c r="R60" i="83" s="1"/>
  <c r="P243" i="7"/>
  <c r="O22" i="31"/>
  <c r="P151" i="7"/>
  <c r="P34" i="7"/>
  <c r="O70" i="38" s="1"/>
  <c r="H3" i="85"/>
  <c r="R7" i="8"/>
  <c r="P55" i="7"/>
  <c r="O147" i="38" s="1"/>
  <c r="P72" i="7"/>
  <c r="O164" i="38" s="1"/>
  <c r="P30" i="7"/>
  <c r="O66" i="38" s="1"/>
  <c r="P38" i="7"/>
  <c r="O74" i="38" s="1"/>
  <c r="P167" i="6"/>
  <c r="O312" i="38" s="1"/>
  <c r="O311" i="38" s="1"/>
  <c r="P170" i="6"/>
  <c r="P173" i="6"/>
  <c r="O21" i="54" s="1"/>
  <c r="P13" i="7"/>
  <c r="P71" i="7"/>
  <c r="O163" i="38" s="1"/>
  <c r="P85" i="7"/>
  <c r="O245" i="38" s="1"/>
  <c r="P89" i="7"/>
  <c r="O249" i="38" s="1"/>
  <c r="P42" i="7"/>
  <c r="O78" i="38" s="1"/>
  <c r="P46" i="7"/>
  <c r="O82" i="38" s="1"/>
  <c r="P50" i="7"/>
  <c r="O86" i="38" s="1"/>
  <c r="R13" i="83"/>
  <c r="K3" i="84"/>
  <c r="J3" i="84" s="1"/>
  <c r="I3" i="84" s="1"/>
  <c r="H3" i="84" s="1"/>
  <c r="G3" i="84" s="1"/>
  <c r="O17" i="83"/>
  <c r="P10" i="7"/>
  <c r="M221" i="72" s="1"/>
  <c r="S16" i="7"/>
  <c r="P61" i="7"/>
  <c r="O153" i="38" s="1"/>
  <c r="P65" i="7"/>
  <c r="O157" i="38" s="1"/>
  <c r="P127" i="7"/>
  <c r="O329" i="38" s="1"/>
  <c r="P137" i="7"/>
  <c r="O381" i="38" s="1"/>
  <c r="O34" i="8"/>
  <c r="J23" i="85"/>
  <c r="I23" i="85" s="1"/>
  <c r="H23" i="85" s="1"/>
  <c r="P159" i="7"/>
  <c r="Q13" i="83"/>
  <c r="S163" i="6"/>
  <c r="R14" i="83"/>
  <c r="Q14" i="83" s="1"/>
  <c r="O12" i="40"/>
  <c r="O60" i="83"/>
  <c r="R59" i="83" s="1"/>
  <c r="P93" i="7"/>
  <c r="O253" i="38" s="1"/>
  <c r="P97" i="7"/>
  <c r="O257" i="38" s="1"/>
  <c r="P101" i="7"/>
  <c r="O261" i="38" s="1"/>
  <c r="P105" i="7"/>
  <c r="O265" i="38" s="1"/>
  <c r="P109" i="7"/>
  <c r="O269" i="38" s="1"/>
  <c r="P117" i="7"/>
  <c r="O320" i="38" s="1"/>
  <c r="P118" i="7"/>
  <c r="O321" i="38" s="1"/>
  <c r="P73" i="7"/>
  <c r="O165" i="38" s="1"/>
  <c r="P74" i="7"/>
  <c r="O166" i="38" s="1"/>
  <c r="P113" i="7"/>
  <c r="O316" i="38" s="1"/>
  <c r="P119" i="7"/>
  <c r="O322" i="38" s="1"/>
  <c r="P125" i="7"/>
  <c r="O327" i="38" s="1"/>
  <c r="P169" i="7"/>
  <c r="P209" i="7"/>
  <c r="P177" i="7"/>
  <c r="P248" i="7"/>
  <c r="O18" i="23"/>
  <c r="P200" i="7"/>
  <c r="AZ3" i="83"/>
  <c r="AY3" i="83" s="1"/>
  <c r="AX3" i="83" s="1"/>
  <c r="AV3" i="83" s="1"/>
  <c r="AU3" i="83" s="1"/>
  <c r="O41" i="83"/>
  <c r="P15" i="7"/>
  <c r="P27" i="7"/>
  <c r="O63" i="38" s="1"/>
  <c r="P31" i="7"/>
  <c r="O67" i="38" s="1"/>
  <c r="P35" i="7"/>
  <c r="O71" i="38" s="1"/>
  <c r="P39" i="7"/>
  <c r="O75" i="38" s="1"/>
  <c r="P43" i="7"/>
  <c r="O79" i="38" s="1"/>
  <c r="P47" i="7"/>
  <c r="O83" i="38" s="1"/>
  <c r="P51" i="7"/>
  <c r="O87" i="38" s="1"/>
  <c r="P63" i="7"/>
  <c r="O155" i="38" s="1"/>
  <c r="P64" i="7"/>
  <c r="O156" i="38" s="1"/>
  <c r="P129" i="7"/>
  <c r="O365" i="38" s="1"/>
  <c r="P133" i="7"/>
  <c r="O369" i="38" s="1"/>
  <c r="O24" i="68"/>
  <c r="P195" i="7"/>
  <c r="O38" i="83" s="1"/>
  <c r="G3" i="85"/>
  <c r="S146" i="7"/>
  <c r="O16" i="85"/>
  <c r="P9" i="7"/>
  <c r="P14" i="7"/>
  <c r="P19" i="7"/>
  <c r="P26" i="7"/>
  <c r="M63" i="38"/>
  <c r="P58" i="7"/>
  <c r="O150" i="38" s="1"/>
  <c r="P68" i="7"/>
  <c r="O160" i="38" s="1"/>
  <c r="P78" i="7"/>
  <c r="O170" i="38" s="1"/>
  <c r="P121" i="7"/>
  <c r="O324" i="38" s="1"/>
  <c r="P141" i="7"/>
  <c r="O416" i="38" s="1"/>
  <c r="O21" i="42"/>
  <c r="O20" i="42" s="1"/>
  <c r="P254" i="7"/>
  <c r="P149" i="7"/>
  <c r="O22" i="45" s="1"/>
  <c r="O23" i="54"/>
  <c r="O22" i="54" s="1"/>
  <c r="P189" i="7"/>
  <c r="P155" i="7"/>
  <c r="O25" i="20"/>
  <c r="O24" i="20" s="1"/>
  <c r="P228" i="7"/>
  <c r="P235" i="7"/>
  <c r="O16" i="83"/>
  <c r="K221" i="72"/>
  <c r="M60" i="38"/>
  <c r="P62" i="7"/>
  <c r="O154" i="38" s="1"/>
  <c r="P75" i="7"/>
  <c r="O167" i="38" s="1"/>
  <c r="P82" i="7"/>
  <c r="P86" i="7"/>
  <c r="O246" i="38" s="1"/>
  <c r="P90" i="7"/>
  <c r="O250" i="38" s="1"/>
  <c r="P94" i="7"/>
  <c r="O254" i="38" s="1"/>
  <c r="P98" i="7"/>
  <c r="O258" i="38" s="1"/>
  <c r="P102" i="7"/>
  <c r="O262" i="38" s="1"/>
  <c r="P106" i="7"/>
  <c r="O266" i="38" s="1"/>
  <c r="P114" i="7"/>
  <c r="O317" i="38" s="1"/>
  <c r="P126" i="7"/>
  <c r="O328" i="38" s="1"/>
  <c r="P130" i="7"/>
  <c r="O366" i="38" s="1"/>
  <c r="P138" i="7"/>
  <c r="O382" i="38" s="1"/>
  <c r="O33" i="41"/>
  <c r="O32" i="41" s="1"/>
  <c r="P231" i="7"/>
  <c r="K220" i="72"/>
  <c r="M59" i="38"/>
  <c r="P168" i="6"/>
  <c r="K218" i="72"/>
  <c r="M57" i="38"/>
  <c r="O221" i="72"/>
  <c r="P28" i="7"/>
  <c r="O64" i="38" s="1"/>
  <c r="P32" i="7"/>
  <c r="O68" i="38" s="1"/>
  <c r="P36" i="7"/>
  <c r="O72" i="38" s="1"/>
  <c r="P40" i="7"/>
  <c r="O76" i="38" s="1"/>
  <c r="P44" i="7"/>
  <c r="O80" i="38" s="1"/>
  <c r="P48" i="7"/>
  <c r="O84" i="38" s="1"/>
  <c r="P52" i="7"/>
  <c r="O88" i="38" s="1"/>
  <c r="P59" i="7"/>
  <c r="O151" i="38" s="1"/>
  <c r="P69" i="7"/>
  <c r="O161" i="38" s="1"/>
  <c r="P79" i="7"/>
  <c r="O171" i="38" s="1"/>
  <c r="P111" i="7"/>
  <c r="O314" i="38" s="1"/>
  <c r="P122" i="7"/>
  <c r="O325" i="38" s="1"/>
  <c r="O9" i="61"/>
  <c r="O8" i="61" s="1"/>
  <c r="P184" i="7"/>
  <c r="O62" i="30"/>
  <c r="O61" i="30" s="1"/>
  <c r="P219" i="7"/>
  <c r="P174" i="6"/>
  <c r="P7" i="7"/>
  <c r="P17" i="7"/>
  <c r="P56" i="7"/>
  <c r="P66" i="7"/>
  <c r="O158" i="38" s="1"/>
  <c r="P76" i="7"/>
  <c r="O168" i="38" s="1"/>
  <c r="P83" i="7"/>
  <c r="O243" i="38" s="1"/>
  <c r="P87" i="7"/>
  <c r="O247" i="38" s="1"/>
  <c r="P91" i="7"/>
  <c r="O251" i="38" s="1"/>
  <c r="P95" i="7"/>
  <c r="O255" i="38" s="1"/>
  <c r="P99" i="7"/>
  <c r="O259" i="38" s="1"/>
  <c r="P103" i="7"/>
  <c r="O263" i="38" s="1"/>
  <c r="P107" i="7"/>
  <c r="O267" i="38" s="1"/>
  <c r="P115" i="7"/>
  <c r="O318" i="38" s="1"/>
  <c r="P135" i="7"/>
  <c r="P147" i="7"/>
  <c r="O40" i="24"/>
  <c r="AM3" i="85"/>
  <c r="AL3" i="85" s="1"/>
  <c r="AK3" i="85" s="1"/>
  <c r="AJ3" i="85" s="1"/>
  <c r="R11" i="83"/>
  <c r="S81" i="7"/>
  <c r="O18" i="32"/>
  <c r="O17" i="32" s="1"/>
  <c r="P259" i="7"/>
  <c r="P166" i="6"/>
  <c r="O363" i="38" s="1"/>
  <c r="O362" i="38" s="1"/>
  <c r="P169" i="6"/>
  <c r="P172" i="6"/>
  <c r="O20" i="54" s="1"/>
  <c r="R15" i="83"/>
  <c r="Q15" i="83" s="1"/>
  <c r="K219" i="72"/>
  <c r="M58" i="38"/>
  <c r="P29" i="7"/>
  <c r="O65" i="38" s="1"/>
  <c r="P33" i="7"/>
  <c r="O69" i="38" s="1"/>
  <c r="P37" i="7"/>
  <c r="O73" i="38" s="1"/>
  <c r="P41" i="7"/>
  <c r="O77" i="38" s="1"/>
  <c r="P45" i="7"/>
  <c r="O81" i="38" s="1"/>
  <c r="P49" i="7"/>
  <c r="O85" i="38" s="1"/>
  <c r="P53" i="7"/>
  <c r="O89" i="38" s="1"/>
  <c r="P60" i="7"/>
  <c r="O152" i="38" s="1"/>
  <c r="P70" i="7"/>
  <c r="O162" i="38" s="1"/>
  <c r="P112" i="7"/>
  <c r="O315" i="38" s="1"/>
  <c r="P143" i="7"/>
  <c r="O89" i="27"/>
  <c r="P163" i="7"/>
  <c r="O36" i="24"/>
  <c r="O35" i="24" s="1"/>
  <c r="P262" i="7"/>
  <c r="O59" i="83" s="1"/>
  <c r="R58" i="83" s="1"/>
  <c r="P8" i="7"/>
  <c r="P22" i="7"/>
  <c r="O18" i="83" s="1"/>
  <c r="P57" i="7"/>
  <c r="O149" i="38" s="1"/>
  <c r="P80" i="7"/>
  <c r="O172" i="38" s="1"/>
  <c r="P84" i="7"/>
  <c r="O244" i="38" s="1"/>
  <c r="P88" i="7"/>
  <c r="O248" i="38" s="1"/>
  <c r="P92" i="7"/>
  <c r="O252" i="38" s="1"/>
  <c r="P96" i="7"/>
  <c r="O256" i="38" s="1"/>
  <c r="P100" i="7"/>
  <c r="O260" i="38" s="1"/>
  <c r="P104" i="7"/>
  <c r="O264" i="38" s="1"/>
  <c r="P108" i="7"/>
  <c r="O268" i="38" s="1"/>
  <c r="P116" i="7"/>
  <c r="O319" i="38" s="1"/>
  <c r="P124" i="7"/>
  <c r="O326" i="38" s="1"/>
  <c r="P132" i="7"/>
  <c r="O368" i="38" s="1"/>
  <c r="P136" i="7"/>
  <c r="O380" i="38" s="1"/>
  <c r="S142" i="7"/>
  <c r="P171" i="6"/>
  <c r="O240" i="38" s="1"/>
  <c r="P67" i="7"/>
  <c r="O159" i="38" s="1"/>
  <c r="P77" i="7"/>
  <c r="O169" i="38" s="1"/>
  <c r="P120" i="7"/>
  <c r="O323" i="38" s="1"/>
  <c r="S123" i="7"/>
  <c r="S110" i="7" s="1"/>
  <c r="S134" i="7"/>
  <c r="P140" i="7"/>
  <c r="P148" i="7"/>
  <c r="O21" i="45" s="1"/>
  <c r="O10" i="75"/>
  <c r="O9" i="75" s="1"/>
  <c r="P245" i="7"/>
  <c r="S139" i="7"/>
  <c r="P144" i="7"/>
  <c r="O442" i="38" s="1"/>
  <c r="P251" i="7"/>
  <c r="I25" i="85"/>
  <c r="J24" i="85"/>
  <c r="P18" i="7"/>
  <c r="I18" i="85"/>
  <c r="R37" i="83"/>
  <c r="S54" i="7"/>
  <c r="S128" i="7"/>
  <c r="J17" i="84"/>
  <c r="AH4" i="84"/>
  <c r="O16" i="84"/>
  <c r="O15" i="84"/>
  <c r="R8" i="84"/>
  <c r="S6" i="7"/>
  <c r="R9" i="83" s="1"/>
  <c r="S25" i="7"/>
  <c r="O62" i="8"/>
  <c r="O13" i="35"/>
  <c r="O11" i="35" s="1"/>
  <c r="P174" i="7"/>
  <c r="O34" i="83" s="1"/>
  <c r="R33" i="83" s="1"/>
  <c r="P11" i="7"/>
  <c r="P131" i="7"/>
  <c r="R49" i="83"/>
  <c r="H9" i="84"/>
  <c r="I9" i="85"/>
  <c r="O218" i="72"/>
  <c r="P217" i="72"/>
  <c r="X12" i="87" s="1"/>
  <c r="O219" i="72"/>
  <c r="O220" i="72"/>
  <c r="S153" i="6"/>
  <c r="V153" i="6" s="1"/>
  <c r="S149" i="6"/>
  <c r="S131" i="6"/>
  <c r="V131" i="6" s="1"/>
  <c r="S108" i="6"/>
  <c r="S107" i="6"/>
  <c r="L19" i="54"/>
  <c r="L18" i="54"/>
  <c r="S99" i="6"/>
  <c r="V99" i="6" s="1"/>
  <c r="S94" i="6"/>
  <c r="S87" i="6"/>
  <c r="V87" i="6" s="1"/>
  <c r="S67" i="6"/>
  <c r="V67" i="6" s="1"/>
  <c r="S61" i="6"/>
  <c r="V61" i="6" s="1"/>
  <c r="S56" i="6"/>
  <c r="V56" i="6" s="1"/>
  <c r="S53" i="6"/>
  <c r="V53" i="6" s="1"/>
  <c r="S45" i="6"/>
  <c r="V45" i="6" s="1"/>
  <c r="S34" i="6"/>
  <c r="V34" i="6" s="1"/>
  <c r="S27" i="6"/>
  <c r="V27" i="6" s="1"/>
  <c r="S9" i="6"/>
  <c r="V9" i="6" s="1"/>
  <c r="B4" i="6"/>
  <c r="AA3" i="6" s="1"/>
  <c r="H3" i="6"/>
  <c r="B3" i="6"/>
  <c r="B2" i="6"/>
  <c r="A2" i="6"/>
  <c r="R28" i="5"/>
  <c r="Q28" i="5"/>
  <c r="M17" i="23"/>
  <c r="R27" i="5"/>
  <c r="Q27" i="5"/>
  <c r="M34" i="24"/>
  <c r="R26" i="5"/>
  <c r="Q26" i="5"/>
  <c r="M33" i="24"/>
  <c r="R24" i="5"/>
  <c r="Q24" i="5"/>
  <c r="M31" i="41"/>
  <c r="R23" i="5"/>
  <c r="Q23" i="5"/>
  <c r="M30" i="41"/>
  <c r="R19" i="5"/>
  <c r="R14" i="5"/>
  <c r="R10" i="5"/>
  <c r="Q10" i="5"/>
  <c r="M235" i="38"/>
  <c r="R9" i="5"/>
  <c r="Q9" i="5"/>
  <c r="M145" i="38"/>
  <c r="R8" i="5"/>
  <c r="Q8" i="5"/>
  <c r="M55" i="38"/>
  <c r="B4" i="5"/>
  <c r="AQ3" i="5"/>
  <c r="R3" i="5"/>
  <c r="B3" i="5"/>
  <c r="B2" i="5"/>
  <c r="A2" i="5"/>
  <c r="I4" i="6" l="1"/>
  <c r="E3" i="8"/>
  <c r="R64" i="8"/>
  <c r="O60" i="38"/>
  <c r="P150" i="7"/>
  <c r="O31" i="83" s="1"/>
  <c r="R30" i="83" s="1"/>
  <c r="AF3" i="83" s="1"/>
  <c r="S137" i="6"/>
  <c r="V137" i="6" s="1"/>
  <c r="V149" i="6"/>
  <c r="O239" i="38"/>
  <c r="V170" i="6"/>
  <c r="O237" i="38"/>
  <c r="V168" i="6"/>
  <c r="O238" i="38"/>
  <c r="V169" i="6"/>
  <c r="O23" i="68"/>
  <c r="O22" i="68" s="1"/>
  <c r="V174" i="6"/>
  <c r="O21" i="5"/>
  <c r="M216" i="72" s="1"/>
  <c r="M215" i="72" s="1"/>
  <c r="M214" i="72" s="1"/>
  <c r="H4" i="6"/>
  <c r="R25" i="5"/>
  <c r="AT3" i="83"/>
  <c r="O10" i="5"/>
  <c r="O235" i="38" s="1"/>
  <c r="O234" i="38" s="1"/>
  <c r="O9" i="5"/>
  <c r="O145" i="38" s="1"/>
  <c r="O144" i="38" s="1"/>
  <c r="AL3" i="5"/>
  <c r="O27" i="5"/>
  <c r="O34" i="24" s="1"/>
  <c r="P12" i="7"/>
  <c r="O11" i="83" s="1"/>
  <c r="S60" i="6"/>
  <c r="V60" i="6" s="1"/>
  <c r="J16" i="85"/>
  <c r="O8" i="5"/>
  <c r="O55" i="38" s="1"/>
  <c r="O54" i="38" s="1"/>
  <c r="R12" i="5"/>
  <c r="R11" i="5" s="1"/>
  <c r="O18" i="5"/>
  <c r="O23" i="5"/>
  <c r="O30" i="41" s="1"/>
  <c r="O24" i="5"/>
  <c r="O31" i="41" s="1"/>
  <c r="O10" i="83"/>
  <c r="S105" i="6"/>
  <c r="O3" i="6"/>
  <c r="J3" i="6" s="1"/>
  <c r="I3" i="6" s="1"/>
  <c r="AA3" i="83"/>
  <c r="O16" i="5"/>
  <c r="O15" i="5"/>
  <c r="O61" i="38"/>
  <c r="O13" i="83"/>
  <c r="O33" i="83"/>
  <c r="R32" i="83" s="1"/>
  <c r="O32" i="83" s="1"/>
  <c r="R31" i="83" s="1"/>
  <c r="AH3" i="83" s="1"/>
  <c r="P123" i="7"/>
  <c r="P110" i="7" s="1"/>
  <c r="O37" i="83"/>
  <c r="R36" i="83" s="1"/>
  <c r="O36" i="83" s="1"/>
  <c r="R35" i="83" s="1"/>
  <c r="O35" i="83" s="1"/>
  <c r="R34" i="83" s="1"/>
  <c r="O17" i="5"/>
  <c r="P25" i="7"/>
  <c r="H25" i="85"/>
  <c r="H24" i="85" s="1"/>
  <c r="I24" i="85"/>
  <c r="O62" i="38"/>
  <c r="O15" i="83"/>
  <c r="O441" i="38"/>
  <c r="O440" i="38" s="1"/>
  <c r="P142" i="7"/>
  <c r="O242" i="38"/>
  <c r="O241" i="38" s="1"/>
  <c r="P81" i="7"/>
  <c r="AH4" i="8"/>
  <c r="O55" i="8"/>
  <c r="O7" i="8" s="1"/>
  <c r="M220" i="72"/>
  <c r="O59" i="38"/>
  <c r="O13" i="5"/>
  <c r="O20" i="5"/>
  <c r="O19" i="5" s="1"/>
  <c r="K216" i="72"/>
  <c r="O28" i="5"/>
  <c r="O58" i="83"/>
  <c r="R57" i="83" s="1"/>
  <c r="O57" i="83" s="1"/>
  <c r="R56" i="83" s="1"/>
  <c r="O56" i="83" s="1"/>
  <c r="R55" i="83" s="1"/>
  <c r="AS3" i="83"/>
  <c r="O313" i="38"/>
  <c r="P163" i="6"/>
  <c r="V163" i="6" s="1"/>
  <c r="H215" i="72"/>
  <c r="M219" i="72"/>
  <c r="O58" i="38"/>
  <c r="O20" i="45"/>
  <c r="O19" i="45" s="1"/>
  <c r="P146" i="7"/>
  <c r="O30" i="83" s="1"/>
  <c r="O148" i="38"/>
  <c r="O146" i="38" s="1"/>
  <c r="P54" i="7"/>
  <c r="R22" i="5"/>
  <c r="O26" i="5"/>
  <c r="P6" i="7"/>
  <c r="O9" i="83" s="1"/>
  <c r="R12" i="83"/>
  <c r="R8" i="83" s="1"/>
  <c r="O379" i="38"/>
  <c r="O378" i="38" s="1"/>
  <c r="O377" i="38" s="1"/>
  <c r="P134" i="7"/>
  <c r="M61" i="38"/>
  <c r="O415" i="38"/>
  <c r="O414" i="38" s="1"/>
  <c r="P139" i="7"/>
  <c r="M218" i="72"/>
  <c r="O57" i="38"/>
  <c r="O443" i="38"/>
  <c r="P16" i="7"/>
  <c r="O14" i="83"/>
  <c r="J15" i="84"/>
  <c r="O8" i="84"/>
  <c r="O7" i="84" s="1"/>
  <c r="K4" i="84"/>
  <c r="J4" i="84" s="1"/>
  <c r="I4" i="84" s="1"/>
  <c r="H4" i="84" s="1"/>
  <c r="H18" i="85"/>
  <c r="H16" i="85" s="1"/>
  <c r="R15" i="85" s="1"/>
  <c r="I16" i="85"/>
  <c r="I17" i="84"/>
  <c r="I16" i="84" s="1"/>
  <c r="J16" i="84"/>
  <c r="H3" i="5"/>
  <c r="G3" i="5" s="1"/>
  <c r="AG4" i="83"/>
  <c r="M222" i="72"/>
  <c r="O367" i="38"/>
  <c r="O364" i="38" s="1"/>
  <c r="P128" i="7"/>
  <c r="O25" i="83" s="1"/>
  <c r="R24" i="83" s="1"/>
  <c r="H9" i="85"/>
  <c r="O49" i="83"/>
  <c r="R48" i="83" s="1"/>
  <c r="O48" i="83" s="1"/>
  <c r="R47" i="83" s="1"/>
  <c r="AK3" i="83"/>
  <c r="F3" i="5"/>
  <c r="AT3" i="5"/>
  <c r="R7" i="84"/>
  <c r="R21" i="83"/>
  <c r="S280" i="15"/>
  <c r="R280" i="15"/>
  <c r="M28" i="41"/>
  <c r="S279" i="15"/>
  <c r="R279" i="15"/>
  <c r="M27" i="41"/>
  <c r="S278" i="15"/>
  <c r="P213" i="72" s="1"/>
  <c r="R278" i="15"/>
  <c r="S275" i="15"/>
  <c r="R275" i="15"/>
  <c r="S273" i="15"/>
  <c r="R273" i="15"/>
  <c r="M14" i="53"/>
  <c r="S272" i="15"/>
  <c r="R272" i="15"/>
  <c r="M13" i="53"/>
  <c r="S270" i="15"/>
  <c r="R270" i="15"/>
  <c r="N31" i="24"/>
  <c r="S269" i="15"/>
  <c r="R269" i="15"/>
  <c r="M30" i="24"/>
  <c r="S268" i="15"/>
  <c r="R268" i="15"/>
  <c r="M29" i="24"/>
  <c r="S267" i="15"/>
  <c r="R267" i="15"/>
  <c r="M28" i="24"/>
  <c r="S266" i="15"/>
  <c r="R266" i="15"/>
  <c r="M27" i="24"/>
  <c r="S265" i="15"/>
  <c r="R265" i="15"/>
  <c r="M26" i="24"/>
  <c r="S264" i="15"/>
  <c r="R264" i="15"/>
  <c r="M25" i="24"/>
  <c r="S263" i="15"/>
  <c r="R263" i="15"/>
  <c r="M24" i="24"/>
  <c r="S261" i="15"/>
  <c r="R261" i="15"/>
  <c r="M16" i="32"/>
  <c r="S260" i="15"/>
  <c r="R260" i="15"/>
  <c r="M15" i="32"/>
  <c r="S258" i="15"/>
  <c r="R258" i="15"/>
  <c r="M19" i="42"/>
  <c r="S257" i="15"/>
  <c r="R257" i="15"/>
  <c r="M18" i="42"/>
  <c r="S255" i="15"/>
  <c r="R255" i="15"/>
  <c r="M15" i="23"/>
  <c r="S254" i="15"/>
  <c r="R254" i="15"/>
  <c r="M14" i="23"/>
  <c r="S252" i="15"/>
  <c r="R252" i="15"/>
  <c r="M21" i="31"/>
  <c r="S251" i="15"/>
  <c r="R251" i="15"/>
  <c r="M20" i="31"/>
  <c r="S248" i="15"/>
  <c r="R248" i="15"/>
  <c r="M8" i="75"/>
  <c r="S247" i="15"/>
  <c r="R247" i="15"/>
  <c r="M7" i="75"/>
  <c r="S245" i="15"/>
  <c r="R245" i="15"/>
  <c r="M8" i="70"/>
  <c r="S243" i="15"/>
  <c r="R243" i="15"/>
  <c r="M21" i="68"/>
  <c r="S242" i="15"/>
  <c r="R242" i="15"/>
  <c r="M20" i="68"/>
  <c r="S241" i="15"/>
  <c r="R241" i="15"/>
  <c r="M19" i="68"/>
  <c r="S240" i="15"/>
  <c r="R240" i="15"/>
  <c r="M18" i="68"/>
  <c r="S238" i="15"/>
  <c r="R238" i="15"/>
  <c r="M25" i="41"/>
  <c r="S237" i="15"/>
  <c r="R237" i="15"/>
  <c r="M24" i="41"/>
  <c r="S236" i="15"/>
  <c r="R236" i="15"/>
  <c r="S234" i="15"/>
  <c r="R234" i="15"/>
  <c r="M23" i="20"/>
  <c r="S233" i="15"/>
  <c r="R233" i="15"/>
  <c r="M22" i="20"/>
  <c r="S231" i="15"/>
  <c r="R231" i="15"/>
  <c r="M60" i="30"/>
  <c r="S230" i="15"/>
  <c r="R230" i="15"/>
  <c r="M59" i="30"/>
  <c r="S229" i="15"/>
  <c r="R229" i="15"/>
  <c r="M58" i="30"/>
  <c r="S228" i="15"/>
  <c r="R228" i="15"/>
  <c r="M57" i="30"/>
  <c r="S227" i="15"/>
  <c r="R227" i="15"/>
  <c r="M56" i="30"/>
  <c r="S226" i="15"/>
  <c r="R226" i="15"/>
  <c r="M55" i="30"/>
  <c r="S225" i="15"/>
  <c r="R225" i="15"/>
  <c r="M54" i="30"/>
  <c r="S224" i="15"/>
  <c r="R224" i="15"/>
  <c r="M53" i="30"/>
  <c r="S223" i="15"/>
  <c r="R223" i="15"/>
  <c r="M52" i="30"/>
  <c r="S222" i="15"/>
  <c r="R222" i="15"/>
  <c r="M51" i="30"/>
  <c r="S221" i="15"/>
  <c r="R221" i="15"/>
  <c r="M50" i="30"/>
  <c r="S220" i="15"/>
  <c r="R220" i="15"/>
  <c r="M49" i="30"/>
  <c r="S219" i="15"/>
  <c r="R219" i="15"/>
  <c r="M48" i="30"/>
  <c r="S218" i="15"/>
  <c r="R218" i="15"/>
  <c r="M47" i="30"/>
  <c r="S217" i="15"/>
  <c r="R217" i="15"/>
  <c r="M46" i="30"/>
  <c r="S216" i="15"/>
  <c r="R216" i="15"/>
  <c r="M45" i="30"/>
  <c r="S215" i="15"/>
  <c r="R215" i="15"/>
  <c r="M44" i="30"/>
  <c r="R7" i="5" l="1"/>
  <c r="R32" i="5" s="1"/>
  <c r="E3" i="84"/>
  <c r="H4" i="5"/>
  <c r="G4" i="5"/>
  <c r="P260" i="15"/>
  <c r="O15" i="32" s="1"/>
  <c r="AL4" i="5"/>
  <c r="O236" i="38"/>
  <c r="S8" i="6"/>
  <c r="S7" i="6" s="1"/>
  <c r="P270" i="15"/>
  <c r="O31" i="24" s="1"/>
  <c r="P273" i="15"/>
  <c r="O14" i="53" s="1"/>
  <c r="S271" i="15"/>
  <c r="O22" i="5"/>
  <c r="P266" i="15"/>
  <c r="O27" i="24" s="1"/>
  <c r="F4" i="5"/>
  <c r="P217" i="15"/>
  <c r="O46" i="30" s="1"/>
  <c r="P220" i="15"/>
  <c r="O49" i="30" s="1"/>
  <c r="P223" i="15"/>
  <c r="O52" i="30" s="1"/>
  <c r="P226" i="15"/>
  <c r="O55" i="30" s="1"/>
  <c r="O29" i="41"/>
  <c r="P215" i="15"/>
  <c r="O44" i="30" s="1"/>
  <c r="P245" i="15"/>
  <c r="P280" i="15"/>
  <c r="O28" i="41" s="1"/>
  <c r="S259" i="15"/>
  <c r="P4" i="83"/>
  <c r="E4" i="8"/>
  <c r="O64" i="8"/>
  <c r="S246" i="15"/>
  <c r="S253" i="15"/>
  <c r="S256" i="15"/>
  <c r="P3" i="83"/>
  <c r="O3" i="83" s="1"/>
  <c r="S277" i="15"/>
  <c r="S250" i="15"/>
  <c r="R29" i="83"/>
  <c r="O14" i="5"/>
  <c r="O12" i="5" s="1"/>
  <c r="O11" i="5" s="1"/>
  <c r="O4" i="83"/>
  <c r="U4" i="83"/>
  <c r="U3" i="83"/>
  <c r="AG3" i="83"/>
  <c r="AE3" i="83"/>
  <c r="AR3" i="83"/>
  <c r="AQ3" i="83" s="1"/>
  <c r="AP3" i="83" s="1"/>
  <c r="S235" i="15"/>
  <c r="P234" i="15"/>
  <c r="O23" i="20" s="1"/>
  <c r="P237" i="15"/>
  <c r="O24" i="41" s="1"/>
  <c r="P263" i="15"/>
  <c r="O24" i="24" s="1"/>
  <c r="M31" i="24"/>
  <c r="O24" i="83"/>
  <c r="R23" i="83" s="1"/>
  <c r="O23" i="83" s="1"/>
  <c r="R22" i="83" s="1"/>
  <c r="O22" i="83" s="1"/>
  <c r="G4" i="83" s="1"/>
  <c r="P225" i="15"/>
  <c r="O54" i="30" s="1"/>
  <c r="P228" i="15"/>
  <c r="O57" i="30" s="1"/>
  <c r="H214" i="72"/>
  <c r="G214" i="72" s="1"/>
  <c r="F214" i="72" s="1"/>
  <c r="O17" i="23"/>
  <c r="O16" i="23" s="1"/>
  <c r="AQ4" i="5"/>
  <c r="O33" i="24"/>
  <c r="O32" i="24" s="1"/>
  <c r="O25" i="5"/>
  <c r="P231" i="15"/>
  <c r="O60" i="30" s="1"/>
  <c r="P238" i="15"/>
  <c r="O25" i="41" s="1"/>
  <c r="P257" i="15"/>
  <c r="O18" i="42" s="1"/>
  <c r="P264" i="15"/>
  <c r="O25" i="24" s="1"/>
  <c r="K213" i="72"/>
  <c r="M26" i="41"/>
  <c r="P229" i="15"/>
  <c r="O58" i="30" s="1"/>
  <c r="P251" i="15"/>
  <c r="P254" i="15"/>
  <c r="S262" i="15"/>
  <c r="P278" i="15"/>
  <c r="P222" i="15"/>
  <c r="O51" i="30" s="1"/>
  <c r="P247" i="15"/>
  <c r="O7" i="75" s="1"/>
  <c r="P261" i="15"/>
  <c r="O16" i="32" s="1"/>
  <c r="P265" i="15"/>
  <c r="O26" i="24" s="1"/>
  <c r="S274" i="15"/>
  <c r="L11" i="33"/>
  <c r="M217" i="72"/>
  <c r="E3" i="5"/>
  <c r="O56" i="38"/>
  <c r="P219" i="15"/>
  <c r="O48" i="30" s="1"/>
  <c r="P216" i="15"/>
  <c r="O45" i="30" s="1"/>
  <c r="P230" i="15"/>
  <c r="O59" i="30" s="1"/>
  <c r="P252" i="15"/>
  <c r="O21" i="31" s="1"/>
  <c r="P255" i="15"/>
  <c r="O15" i="23" s="1"/>
  <c r="P272" i="15"/>
  <c r="P279" i="15"/>
  <c r="O27" i="41" s="1"/>
  <c r="AH4" i="83"/>
  <c r="P233" i="15"/>
  <c r="P218" i="15"/>
  <c r="O47" i="30" s="1"/>
  <c r="P221" i="15"/>
  <c r="O50" i="30" s="1"/>
  <c r="P224" i="15"/>
  <c r="O53" i="30" s="1"/>
  <c r="P227" i="15"/>
  <c r="O56" i="30" s="1"/>
  <c r="S232" i="15"/>
  <c r="O55" i="83"/>
  <c r="R54" i="83"/>
  <c r="AA4" i="83"/>
  <c r="O12" i="83"/>
  <c r="O8" i="83" s="1"/>
  <c r="N3" i="85"/>
  <c r="R8" i="85"/>
  <c r="R7" i="85" s="1"/>
  <c r="AF4" i="83"/>
  <c r="AE4" i="83" s="1"/>
  <c r="I15" i="84"/>
  <c r="J8" i="84"/>
  <c r="J7" i="84" s="1"/>
  <c r="AK4" i="83"/>
  <c r="AJ4" i="83" s="1"/>
  <c r="AJ3" i="83"/>
  <c r="AI3" i="83" s="1"/>
  <c r="E4" i="84"/>
  <c r="S214" i="15"/>
  <c r="S239" i="15"/>
  <c r="O29" i="83"/>
  <c r="P258" i="15"/>
  <c r="P248" i="15"/>
  <c r="P243" i="15"/>
  <c r="O21" i="68" s="1"/>
  <c r="P242" i="15"/>
  <c r="O20" i="68" s="1"/>
  <c r="P241" i="15"/>
  <c r="O19" i="68" s="1"/>
  <c r="P240" i="15"/>
  <c r="P269" i="15"/>
  <c r="O30" i="24" s="1"/>
  <c r="P268" i="15"/>
  <c r="O29" i="24" s="1"/>
  <c r="P267" i="15"/>
  <c r="J4" i="83"/>
  <c r="O213" i="72"/>
  <c r="P212" i="72"/>
  <c r="O21" i="83"/>
  <c r="F3" i="83"/>
  <c r="O47" i="83"/>
  <c r="AI4" i="83" s="1"/>
  <c r="S244" i="15"/>
  <c r="P212" i="15"/>
  <c r="S211" i="15"/>
  <c r="S210" i="15"/>
  <c r="R210" i="15"/>
  <c r="N16" i="54"/>
  <c r="M16" i="54"/>
  <c r="S209" i="15"/>
  <c r="R209" i="15"/>
  <c r="N15" i="54"/>
  <c r="M15" i="54"/>
  <c r="S205" i="15"/>
  <c r="S204" i="15"/>
  <c r="R204" i="15"/>
  <c r="M10" i="35"/>
  <c r="S203" i="15"/>
  <c r="R203" i="15"/>
  <c r="M9" i="35"/>
  <c r="S200" i="15"/>
  <c r="S199" i="15"/>
  <c r="R199" i="15"/>
  <c r="M18" i="45"/>
  <c r="S198" i="15"/>
  <c r="R198" i="15"/>
  <c r="M17" i="45"/>
  <c r="S196" i="15"/>
  <c r="M87" i="27"/>
  <c r="S195" i="15"/>
  <c r="M86" i="27"/>
  <c r="S194" i="15"/>
  <c r="R194" i="15"/>
  <c r="M85" i="27"/>
  <c r="S193" i="15"/>
  <c r="R193" i="15"/>
  <c r="M84" i="27"/>
  <c r="S192" i="15"/>
  <c r="R192" i="15"/>
  <c r="M83" i="27"/>
  <c r="S189" i="15"/>
  <c r="R189" i="15"/>
  <c r="M14" i="37"/>
  <c r="S188" i="15"/>
  <c r="R188" i="15"/>
  <c r="M13" i="37"/>
  <c r="S186" i="15"/>
  <c r="R186" i="15"/>
  <c r="M413" i="38"/>
  <c r="S185" i="15"/>
  <c r="R185" i="15"/>
  <c r="M412" i="38"/>
  <c r="S183" i="15"/>
  <c r="R183" i="15"/>
  <c r="M361" i="38"/>
  <c r="S182" i="15"/>
  <c r="R182" i="15"/>
  <c r="M360" i="38"/>
  <c r="S180" i="15"/>
  <c r="R180" i="15"/>
  <c r="M310" i="38"/>
  <c r="S179" i="15"/>
  <c r="R179" i="15"/>
  <c r="M309" i="38"/>
  <c r="S178" i="15"/>
  <c r="R178" i="15"/>
  <c r="N308" i="38"/>
  <c r="M308" i="38"/>
  <c r="S177" i="15"/>
  <c r="R177" i="15"/>
  <c r="N307" i="38"/>
  <c r="M307" i="38"/>
  <c r="S175" i="15"/>
  <c r="R175" i="15"/>
  <c r="M233" i="38"/>
  <c r="S174" i="15"/>
  <c r="R174" i="15"/>
  <c r="M232" i="38"/>
  <c r="S172" i="15"/>
  <c r="R172" i="15"/>
  <c r="M143" i="38"/>
  <c r="S171" i="15"/>
  <c r="R171" i="15"/>
  <c r="M142" i="38"/>
  <c r="S170" i="15"/>
  <c r="R170" i="15"/>
  <c r="M141" i="38"/>
  <c r="S169" i="15"/>
  <c r="R169" i="15"/>
  <c r="M140" i="38"/>
  <c r="S167" i="15"/>
  <c r="R167" i="15"/>
  <c r="P167" i="15" s="1"/>
  <c r="O139" i="38" s="1"/>
  <c r="M139" i="38"/>
  <c r="S166" i="15"/>
  <c r="R166" i="15"/>
  <c r="N138" i="38"/>
  <c r="M138" i="38"/>
  <c r="S165" i="15"/>
  <c r="R165" i="15"/>
  <c r="N137" i="38"/>
  <c r="M137" i="38"/>
  <c r="S164" i="15"/>
  <c r="R164" i="15"/>
  <c r="N136" i="38"/>
  <c r="M136" i="38"/>
  <c r="S163" i="15"/>
  <c r="R163" i="15"/>
  <c r="N135" i="38"/>
  <c r="M135" i="38"/>
  <c r="S162" i="15"/>
  <c r="R162" i="15"/>
  <c r="M134" i="38"/>
  <c r="S161" i="15"/>
  <c r="R161" i="15"/>
  <c r="M133" i="38"/>
  <c r="S159" i="15"/>
  <c r="R159" i="15"/>
  <c r="M53" i="38"/>
  <c r="S158" i="15"/>
  <c r="R158" i="15"/>
  <c r="M52" i="38"/>
  <c r="S157" i="15"/>
  <c r="R157" i="15"/>
  <c r="M51" i="38"/>
  <c r="S156" i="15"/>
  <c r="R156" i="15"/>
  <c r="N50" i="38"/>
  <c r="M50" i="38"/>
  <c r="S155" i="15"/>
  <c r="R155" i="15"/>
  <c r="M49" i="38"/>
  <c r="S154" i="15"/>
  <c r="R154" i="15"/>
  <c r="M48" i="38"/>
  <c r="S152" i="15"/>
  <c r="R152" i="15"/>
  <c r="M47" i="38"/>
  <c r="S151" i="15"/>
  <c r="R151" i="15"/>
  <c r="M46" i="38"/>
  <c r="S150" i="15"/>
  <c r="R150" i="15"/>
  <c r="M45" i="38"/>
  <c r="S149" i="15"/>
  <c r="R149" i="15"/>
  <c r="M44" i="38"/>
  <c r="S148" i="15"/>
  <c r="R148" i="15"/>
  <c r="M43" i="38"/>
  <c r="S147" i="15"/>
  <c r="R147" i="15"/>
  <c r="M42" i="38"/>
  <c r="S141" i="15"/>
  <c r="R141" i="15"/>
  <c r="M19" i="31"/>
  <c r="S140" i="15"/>
  <c r="R140" i="15"/>
  <c r="M43" i="30"/>
  <c r="S139" i="15"/>
  <c r="R139" i="15"/>
  <c r="M22" i="41"/>
  <c r="S138" i="15"/>
  <c r="R138" i="15"/>
  <c r="M11" i="40"/>
  <c r="S137" i="15"/>
  <c r="R137" i="15"/>
  <c r="M231" i="38"/>
  <c r="S134" i="15"/>
  <c r="P155" i="72" s="1"/>
  <c r="R134" i="15"/>
  <c r="P154" i="72"/>
  <c r="S131" i="15"/>
  <c r="P152" i="72" s="1"/>
  <c r="R131" i="15"/>
  <c r="S130" i="15"/>
  <c r="P151" i="72" s="1"/>
  <c r="R130" i="15"/>
  <c r="P130" i="15"/>
  <c r="S128" i="15"/>
  <c r="P149" i="72" s="1"/>
  <c r="R128" i="15"/>
  <c r="S127" i="15"/>
  <c r="P148" i="72" s="1"/>
  <c r="R127" i="15"/>
  <c r="S125" i="15"/>
  <c r="P146" i="72" s="1"/>
  <c r="R125" i="15"/>
  <c r="S124" i="15"/>
  <c r="P145" i="72" s="1"/>
  <c r="R124" i="15"/>
  <c r="S122" i="15"/>
  <c r="P191" i="72" s="1"/>
  <c r="S121" i="15"/>
  <c r="P190" i="72" s="1"/>
  <c r="R121" i="15"/>
  <c r="P188" i="72"/>
  <c r="P119" i="15"/>
  <c r="P210" i="72"/>
  <c r="S117" i="15"/>
  <c r="P187" i="72" s="1"/>
  <c r="R117" i="15"/>
  <c r="S116" i="15"/>
  <c r="P186" i="72" s="1"/>
  <c r="R116" i="15"/>
  <c r="P116" i="15"/>
  <c r="S115" i="15"/>
  <c r="P185" i="72" s="1"/>
  <c r="R115" i="15"/>
  <c r="S114" i="15"/>
  <c r="P184" i="72" s="1"/>
  <c r="R114" i="15"/>
  <c r="S112" i="15"/>
  <c r="P182" i="72" s="1"/>
  <c r="R112" i="15"/>
  <c r="S111" i="15"/>
  <c r="P181" i="72" s="1"/>
  <c r="R111" i="15"/>
  <c r="P111" i="15"/>
  <c r="S110" i="15"/>
  <c r="P180" i="72" s="1"/>
  <c r="R110" i="15"/>
  <c r="S108" i="15"/>
  <c r="P206" i="72" s="1"/>
  <c r="R108" i="15"/>
  <c r="P108" i="15"/>
  <c r="S107" i="15"/>
  <c r="P205" i="72" s="1"/>
  <c r="R107" i="15"/>
  <c r="S106" i="15"/>
  <c r="P178" i="72" s="1"/>
  <c r="R106" i="15"/>
  <c r="S105" i="15"/>
  <c r="P177" i="72" s="1"/>
  <c r="R105" i="15"/>
  <c r="P105" i="15"/>
  <c r="S104" i="15"/>
  <c r="P176" i="72" s="1"/>
  <c r="R104" i="15"/>
  <c r="P104" i="15"/>
  <c r="S103" i="15"/>
  <c r="P175" i="72" s="1"/>
  <c r="R103" i="15"/>
  <c r="P103" i="15"/>
  <c r="S102" i="15"/>
  <c r="P174" i="72" s="1"/>
  <c r="R102" i="15"/>
  <c r="S100" i="15"/>
  <c r="P172" i="72" s="1"/>
  <c r="R100" i="15"/>
  <c r="S98" i="15"/>
  <c r="P170" i="72" s="1"/>
  <c r="R98" i="15"/>
  <c r="P98" i="15"/>
  <c r="S97" i="15"/>
  <c r="P169" i="72" s="1"/>
  <c r="R97" i="15"/>
  <c r="S96" i="15"/>
  <c r="P168" i="72" s="1"/>
  <c r="R96" i="15"/>
  <c r="P96" i="15"/>
  <c r="S95" i="15"/>
  <c r="P167" i="72" s="1"/>
  <c r="R95" i="15"/>
  <c r="S94" i="15"/>
  <c r="P166" i="72" s="1"/>
  <c r="R94" i="15"/>
  <c r="P94" i="15"/>
  <c r="S91" i="15"/>
  <c r="S90" i="15" s="1"/>
  <c r="R91" i="15"/>
  <c r="M7" i="70"/>
  <c r="S89" i="15"/>
  <c r="P164" i="72" s="1"/>
  <c r="R89" i="15"/>
  <c r="P89" i="15"/>
  <c r="S87" i="15"/>
  <c r="P204" i="72" s="1"/>
  <c r="R87" i="15"/>
  <c r="P87" i="15"/>
  <c r="S86" i="15"/>
  <c r="P203" i="72" s="1"/>
  <c r="R86" i="15"/>
  <c r="P86" i="15"/>
  <c r="S85" i="15"/>
  <c r="P202" i="72" s="1"/>
  <c r="R85" i="15"/>
  <c r="P85" i="15"/>
  <c r="S84" i="15"/>
  <c r="P162" i="72" s="1"/>
  <c r="R84" i="15"/>
  <c r="P84" i="15"/>
  <c r="S82" i="15"/>
  <c r="P201" i="72" s="1"/>
  <c r="R82" i="15"/>
  <c r="S81" i="15"/>
  <c r="P200" i="72" s="1"/>
  <c r="R81" i="15"/>
  <c r="S80" i="15"/>
  <c r="P199" i="72" s="1"/>
  <c r="R80" i="15"/>
  <c r="P80" i="15"/>
  <c r="S79" i="15"/>
  <c r="P198" i="72" s="1"/>
  <c r="R79" i="15"/>
  <c r="S78" i="15"/>
  <c r="P197" i="72" s="1"/>
  <c r="R78" i="15"/>
  <c r="P78" i="15"/>
  <c r="S77" i="15"/>
  <c r="P160" i="72" s="1"/>
  <c r="R77" i="15"/>
  <c r="P77" i="15"/>
  <c r="S75" i="15"/>
  <c r="P158" i="72" s="1"/>
  <c r="R75" i="15"/>
  <c r="S74" i="15"/>
  <c r="P157" i="72" s="1"/>
  <c r="R74" i="15"/>
  <c r="S71" i="15"/>
  <c r="R71" i="15"/>
  <c r="M132" i="38"/>
  <c r="S70" i="15"/>
  <c r="R70" i="15"/>
  <c r="M41" i="38"/>
  <c r="S65" i="15"/>
  <c r="E3" i="85" l="1"/>
  <c r="R45" i="85"/>
  <c r="E3" i="6"/>
  <c r="P170" i="15"/>
  <c r="O141" i="38" s="1"/>
  <c r="P175" i="15"/>
  <c r="O233" i="38" s="1"/>
  <c r="S69" i="15"/>
  <c r="V8" i="6"/>
  <c r="P159" i="15"/>
  <c r="O53" i="38" s="1"/>
  <c r="S208" i="15"/>
  <c r="P133" i="15"/>
  <c r="M154" i="72" s="1"/>
  <c r="P152" i="15"/>
  <c r="O47" i="38" s="1"/>
  <c r="P180" i="15"/>
  <c r="O310" i="38" s="1"/>
  <c r="P83" i="15"/>
  <c r="P192" i="15"/>
  <c r="O83" i="27" s="1"/>
  <c r="P198" i="15"/>
  <c r="O17" i="45" s="1"/>
  <c r="O8" i="70"/>
  <c r="P244" i="15"/>
  <c r="P70" i="15"/>
  <c r="O41" i="38" s="1"/>
  <c r="O199" i="72"/>
  <c r="P97" i="15"/>
  <c r="M169" i="72" s="1"/>
  <c r="S129" i="15"/>
  <c r="P138" i="15"/>
  <c r="O11" i="40" s="1"/>
  <c r="P148" i="15"/>
  <c r="O43" i="38" s="1"/>
  <c r="P162" i="15"/>
  <c r="O134" i="38" s="1"/>
  <c r="P163" i="15"/>
  <c r="O135" i="38" s="1"/>
  <c r="P165" i="15"/>
  <c r="O137" i="38" s="1"/>
  <c r="P166" i="15"/>
  <c r="O138" i="38" s="1"/>
  <c r="P171" i="15"/>
  <c r="O142" i="38" s="1"/>
  <c r="P174" i="15"/>
  <c r="O232" i="38" s="1"/>
  <c r="P188" i="15"/>
  <c r="O13" i="37" s="1"/>
  <c r="P194" i="15"/>
  <c r="O85" i="27" s="1"/>
  <c r="P195" i="15"/>
  <c r="O86" i="27" s="1"/>
  <c r="S136" i="15"/>
  <c r="S187" i="15"/>
  <c r="P71" i="15"/>
  <c r="O132" i="38" s="1"/>
  <c r="I4" i="83"/>
  <c r="H4" i="83" s="1"/>
  <c r="S197" i="15"/>
  <c r="S184" i="15"/>
  <c r="O187" i="72"/>
  <c r="S153" i="15"/>
  <c r="S146" i="15" s="1"/>
  <c r="S191" i="15"/>
  <c r="R28" i="83"/>
  <c r="M3" i="83" s="1"/>
  <c r="P149" i="15"/>
  <c r="O44" i="38" s="1"/>
  <c r="S93" i="15"/>
  <c r="S109" i="15"/>
  <c r="S202" i="15"/>
  <c r="O168" i="72"/>
  <c r="O177" i="72"/>
  <c r="P141" i="15"/>
  <c r="O19" i="31" s="1"/>
  <c r="M188" i="72"/>
  <c r="O22" i="24"/>
  <c r="M202" i="72"/>
  <c r="O19" i="20"/>
  <c r="M197" i="72"/>
  <c r="O38" i="30"/>
  <c r="M168" i="72"/>
  <c r="O16" i="31"/>
  <c r="K191" i="72"/>
  <c r="M12" i="53"/>
  <c r="S99" i="15"/>
  <c r="O178" i="72"/>
  <c r="O182" i="72"/>
  <c r="K186" i="72"/>
  <c r="M20" i="24"/>
  <c r="P122" i="15"/>
  <c r="P155" i="15"/>
  <c r="O49" i="38" s="1"/>
  <c r="P158" i="15"/>
  <c r="O52" i="38" s="1"/>
  <c r="P169" i="15"/>
  <c r="P204" i="15"/>
  <c r="O10" i="35" s="1"/>
  <c r="P211" i="15"/>
  <c r="O20" i="31"/>
  <c r="P250" i="15"/>
  <c r="M199" i="72"/>
  <c r="O40" i="30"/>
  <c r="K188" i="72"/>
  <c r="M22" i="24"/>
  <c r="S83" i="15"/>
  <c r="K172" i="72"/>
  <c r="M13" i="23"/>
  <c r="K205" i="72"/>
  <c r="M16" i="42"/>
  <c r="K180" i="72"/>
  <c r="M12" i="32"/>
  <c r="M186" i="72"/>
  <c r="O20" i="24"/>
  <c r="P177" i="15"/>
  <c r="O13" i="53"/>
  <c r="P271" i="15"/>
  <c r="M175" i="72"/>
  <c r="O12" i="42"/>
  <c r="K200" i="72"/>
  <c r="M41" i="30"/>
  <c r="K162" i="72"/>
  <c r="M18" i="20"/>
  <c r="K204" i="72"/>
  <c r="M21" i="20"/>
  <c r="K166" i="72"/>
  <c r="M14" i="31"/>
  <c r="K169" i="72"/>
  <c r="M17" i="31"/>
  <c r="P100" i="15"/>
  <c r="P107" i="15"/>
  <c r="P110" i="15"/>
  <c r="O188" i="72"/>
  <c r="K151" i="72"/>
  <c r="M11" i="26"/>
  <c r="P209" i="15"/>
  <c r="M157" i="72"/>
  <c r="O9" i="40"/>
  <c r="O14" i="23"/>
  <c r="P253" i="15"/>
  <c r="M162" i="72"/>
  <c r="M161" i="72" s="1"/>
  <c r="H161" i="72" s="1"/>
  <c r="G161" i="72" s="1"/>
  <c r="F161" i="72" s="1"/>
  <c r="O18" i="20"/>
  <c r="P201" i="15"/>
  <c r="P200" i="15" s="1"/>
  <c r="AP4" i="83"/>
  <c r="O54" i="83"/>
  <c r="M164" i="72"/>
  <c r="M163" i="72" s="1"/>
  <c r="H163" i="72" s="1"/>
  <c r="G163" i="72" s="1"/>
  <c r="O21" i="41"/>
  <c r="M166" i="72"/>
  <c r="O14" i="31"/>
  <c r="O176" i="72"/>
  <c r="O205" i="72"/>
  <c r="K184" i="72"/>
  <c r="M18" i="24"/>
  <c r="K187" i="72"/>
  <c r="M21" i="24"/>
  <c r="P127" i="15"/>
  <c r="P134" i="15"/>
  <c r="P156" i="15"/>
  <c r="O50" i="38" s="1"/>
  <c r="M160" i="72"/>
  <c r="M159" i="72" s="1"/>
  <c r="H159" i="72" s="1"/>
  <c r="G159" i="72" s="1"/>
  <c r="F159" i="72" s="1"/>
  <c r="O37" i="30"/>
  <c r="K158" i="72"/>
  <c r="M10" i="40"/>
  <c r="M151" i="72"/>
  <c r="O11" i="26"/>
  <c r="O200" i="72"/>
  <c r="K170" i="72"/>
  <c r="M18" i="31"/>
  <c r="K177" i="72"/>
  <c r="M14" i="42"/>
  <c r="K206" i="72"/>
  <c r="M17" i="42"/>
  <c r="K181" i="72"/>
  <c r="M13" i="32"/>
  <c r="P114" i="15"/>
  <c r="P117" i="15"/>
  <c r="P139" i="15"/>
  <c r="O22" i="41" s="1"/>
  <c r="P142" i="15"/>
  <c r="P178" i="15"/>
  <c r="O308" i="38" s="1"/>
  <c r="P182" i="15"/>
  <c r="P185" i="15"/>
  <c r="P214" i="15"/>
  <c r="M203" i="72"/>
  <c r="O20" i="20"/>
  <c r="P66" i="15"/>
  <c r="O197" i="72"/>
  <c r="K198" i="72"/>
  <c r="M39" i="30"/>
  <c r="K174" i="72"/>
  <c r="M11" i="42"/>
  <c r="M206" i="72"/>
  <c r="O17" i="42"/>
  <c r="K149" i="72"/>
  <c r="M10" i="33"/>
  <c r="K152" i="72"/>
  <c r="M12" i="26"/>
  <c r="K197" i="72"/>
  <c r="M38" i="30"/>
  <c r="P75" i="15"/>
  <c r="P73" i="15" s="1"/>
  <c r="K148" i="72"/>
  <c r="M9" i="33"/>
  <c r="P68" i="15"/>
  <c r="K201" i="72"/>
  <c r="M42" i="30"/>
  <c r="K167" i="72"/>
  <c r="M15" i="31"/>
  <c r="M181" i="72"/>
  <c r="O13" i="32"/>
  <c r="P79" i="15"/>
  <c r="P82" i="15"/>
  <c r="P91" i="15"/>
  <c r="P95" i="15"/>
  <c r="P102" i="15"/>
  <c r="K210" i="72"/>
  <c r="M23" i="24"/>
  <c r="K190" i="72"/>
  <c r="M11" i="53"/>
  <c r="P124" i="15"/>
  <c r="P128" i="15"/>
  <c r="P131" i="15"/>
  <c r="P147" i="15"/>
  <c r="O42" i="38" s="1"/>
  <c r="P164" i="15"/>
  <c r="O136" i="38" s="1"/>
  <c r="P189" i="15"/>
  <c r="O14" i="37" s="1"/>
  <c r="P193" i="15"/>
  <c r="O84" i="27" s="1"/>
  <c r="P196" i="15"/>
  <c r="O87" i="27" s="1"/>
  <c r="P199" i="15"/>
  <c r="O18" i="45" s="1"/>
  <c r="P210" i="15"/>
  <c r="O16" i="54" s="1"/>
  <c r="P259" i="15"/>
  <c r="K155" i="72"/>
  <c r="M10" i="34"/>
  <c r="P88" i="15"/>
  <c r="O206" i="72"/>
  <c r="O181" i="72"/>
  <c r="K185" i="72"/>
  <c r="M19" i="24"/>
  <c r="P118" i="15"/>
  <c r="P121" i="15"/>
  <c r="P157" i="15"/>
  <c r="O51" i="38" s="1"/>
  <c r="P161" i="15"/>
  <c r="O133" i="38" s="1"/>
  <c r="P179" i="15"/>
  <c r="O309" i="38" s="1"/>
  <c r="P186" i="15"/>
  <c r="O413" i="38" s="1"/>
  <c r="P203" i="15"/>
  <c r="P206" i="15"/>
  <c r="M204" i="72"/>
  <c r="O21" i="20"/>
  <c r="K202" i="72"/>
  <c r="M19" i="20"/>
  <c r="M177" i="72"/>
  <c r="O14" i="42"/>
  <c r="K145" i="72"/>
  <c r="M7" i="43"/>
  <c r="O198" i="72"/>
  <c r="O202" i="72"/>
  <c r="S88" i="15"/>
  <c r="O167" i="72"/>
  <c r="K178" i="72"/>
  <c r="M15" i="42"/>
  <c r="K182" i="72"/>
  <c r="M14" i="32"/>
  <c r="P115" i="15"/>
  <c r="K146" i="72"/>
  <c r="M8" i="43"/>
  <c r="O149" i="72"/>
  <c r="P140" i="15"/>
  <c r="O43" i="30" s="1"/>
  <c r="P151" i="15"/>
  <c r="O46" i="38" s="1"/>
  <c r="P154" i="15"/>
  <c r="P172" i="15"/>
  <c r="P183" i="15"/>
  <c r="O361" i="38" s="1"/>
  <c r="P207" i="15"/>
  <c r="O22" i="20"/>
  <c r="P232" i="15"/>
  <c r="M213" i="72"/>
  <c r="M212" i="72" s="1"/>
  <c r="H212" i="72" s="1"/>
  <c r="G212" i="72" s="1"/>
  <c r="F212" i="72" s="1"/>
  <c r="O26" i="41"/>
  <c r="P277" i="15"/>
  <c r="P81" i="15"/>
  <c r="M170" i="72"/>
  <c r="O18" i="31"/>
  <c r="S120" i="15"/>
  <c r="S73" i="15"/>
  <c r="S76" i="15"/>
  <c r="O201" i="72"/>
  <c r="K157" i="72"/>
  <c r="M9" i="40"/>
  <c r="K160" i="72"/>
  <c r="M37" i="30"/>
  <c r="K199" i="72"/>
  <c r="M40" i="30"/>
  <c r="K203" i="72"/>
  <c r="M20" i="20"/>
  <c r="K164" i="72"/>
  <c r="M21" i="41"/>
  <c r="K168" i="72"/>
  <c r="M16" i="31"/>
  <c r="K175" i="72"/>
  <c r="M12" i="42"/>
  <c r="P106" i="15"/>
  <c r="P112" i="15"/>
  <c r="O210" i="72"/>
  <c r="P125" i="15"/>
  <c r="P137" i="15"/>
  <c r="M11" i="33"/>
  <c r="P275" i="15"/>
  <c r="H15" i="84"/>
  <c r="H8" i="84" s="1"/>
  <c r="H7" i="84" s="1"/>
  <c r="BA4" i="84" s="1"/>
  <c r="AZ4" i="84" s="1"/>
  <c r="AY4" i="84" s="1"/>
  <c r="AX4" i="84" s="1"/>
  <c r="AW4" i="84" s="1"/>
  <c r="AV4" i="84" s="1"/>
  <c r="AU4" i="84" s="1"/>
  <c r="AT4" i="84" s="1"/>
  <c r="AS4" i="84" s="1"/>
  <c r="AR4" i="84" s="1"/>
  <c r="AQ4" i="84" s="1"/>
  <c r="I8" i="84"/>
  <c r="I7" i="84" s="1"/>
  <c r="O28" i="83"/>
  <c r="S168" i="15"/>
  <c r="S160" i="15" s="1"/>
  <c r="S176" i="15"/>
  <c r="J15" i="85"/>
  <c r="O8" i="85"/>
  <c r="O7" i="85" s="1"/>
  <c r="S113" i="15"/>
  <c r="S101" i="15"/>
  <c r="O175" i="72"/>
  <c r="S173" i="15"/>
  <c r="S181" i="15"/>
  <c r="P150" i="15"/>
  <c r="O45" i="38" s="1"/>
  <c r="O19" i="42"/>
  <c r="P256" i="15"/>
  <c r="M176" i="72"/>
  <c r="O13" i="42"/>
  <c r="K176" i="72"/>
  <c r="M13" i="42"/>
  <c r="O8" i="75"/>
  <c r="O6" i="75" s="1"/>
  <c r="F3" i="75" s="1"/>
  <c r="P246" i="15"/>
  <c r="P67" i="15"/>
  <c r="K154" i="72"/>
  <c r="M9" i="34"/>
  <c r="O18" i="68"/>
  <c r="O17" i="68" s="1"/>
  <c r="P239" i="15"/>
  <c r="O28" i="24"/>
  <c r="P262" i="15"/>
  <c r="O166" i="72"/>
  <c r="P165" i="72"/>
  <c r="O174" i="72"/>
  <c r="P173" i="72"/>
  <c r="O157" i="72"/>
  <c r="P156" i="72"/>
  <c r="O172" i="72"/>
  <c r="P171" i="72"/>
  <c r="O158" i="72"/>
  <c r="O169" i="72"/>
  <c r="O170" i="72"/>
  <c r="S123" i="15"/>
  <c r="S132" i="15"/>
  <c r="O160" i="72"/>
  <c r="P159" i="72"/>
  <c r="O164" i="72"/>
  <c r="P163" i="72"/>
  <c r="O184" i="72"/>
  <c r="P183" i="72"/>
  <c r="O190" i="72"/>
  <c r="P189" i="72"/>
  <c r="O145" i="72"/>
  <c r="P144" i="72"/>
  <c r="O151" i="72"/>
  <c r="P150" i="72"/>
  <c r="O154" i="72"/>
  <c r="P153" i="72"/>
  <c r="O185" i="72"/>
  <c r="O186" i="72"/>
  <c r="O191" i="72"/>
  <c r="O146" i="72"/>
  <c r="S126" i="15"/>
  <c r="O152" i="72"/>
  <c r="O162" i="72"/>
  <c r="P161" i="72"/>
  <c r="O180" i="72"/>
  <c r="P179" i="72"/>
  <c r="O148" i="72"/>
  <c r="P147" i="72"/>
  <c r="O203" i="72"/>
  <c r="O204" i="72"/>
  <c r="O155" i="72"/>
  <c r="F4" i="83"/>
  <c r="S62" i="15"/>
  <c r="P209" i="72" s="1"/>
  <c r="R62" i="15"/>
  <c r="P62" i="15"/>
  <c r="S60" i="15"/>
  <c r="P208" i="72" s="1"/>
  <c r="M14" i="54"/>
  <c r="K193" i="72"/>
  <c r="S55" i="15"/>
  <c r="K143" i="72"/>
  <c r="S53" i="15"/>
  <c r="R21" i="82" s="1"/>
  <c r="S52" i="15"/>
  <c r="P140" i="72" s="1"/>
  <c r="R52" i="15"/>
  <c r="S51" i="15"/>
  <c r="P139" i="72" s="1"/>
  <c r="R51" i="15"/>
  <c r="S49" i="15"/>
  <c r="P137" i="72" s="1"/>
  <c r="R49" i="15"/>
  <c r="P49" i="15"/>
  <c r="S48" i="15"/>
  <c r="P136" i="72" s="1"/>
  <c r="R48" i="15"/>
  <c r="P48" i="15"/>
  <c r="K134" i="72"/>
  <c r="K133" i="72"/>
  <c r="K131" i="72"/>
  <c r="K130" i="72"/>
  <c r="S42" i="15"/>
  <c r="S40" i="15"/>
  <c r="P128" i="72" s="1"/>
  <c r="R40" i="15"/>
  <c r="P40" i="15"/>
  <c r="S39" i="15"/>
  <c r="P127" i="72" s="1"/>
  <c r="R39" i="15"/>
  <c r="S37" i="15"/>
  <c r="R37" i="15"/>
  <c r="M411" i="38"/>
  <c r="S36" i="15"/>
  <c r="P142" i="72" s="1"/>
  <c r="R36" i="15"/>
  <c r="P36" i="15"/>
  <c r="S34" i="15"/>
  <c r="P125" i="72" s="1"/>
  <c r="R34" i="15"/>
  <c r="S33" i="15"/>
  <c r="P196" i="72" s="1"/>
  <c r="R33" i="15"/>
  <c r="P33" i="15"/>
  <c r="S32" i="15"/>
  <c r="P195" i="72" s="1"/>
  <c r="R32" i="15"/>
  <c r="P32" i="15"/>
  <c r="S31" i="15"/>
  <c r="P124" i="72" s="1"/>
  <c r="R31" i="15"/>
  <c r="S30" i="15"/>
  <c r="P123" i="72" s="1"/>
  <c r="R30" i="15"/>
  <c r="P30" i="15"/>
  <c r="S28" i="15"/>
  <c r="P121" i="72" s="1"/>
  <c r="R28" i="15"/>
  <c r="S27" i="15"/>
  <c r="P120" i="72" s="1"/>
  <c r="R27" i="15"/>
  <c r="P27" i="15"/>
  <c r="S25" i="15"/>
  <c r="P118" i="72" s="1"/>
  <c r="R25" i="15"/>
  <c r="S24" i="15"/>
  <c r="P117" i="72" s="1"/>
  <c r="R24" i="15"/>
  <c r="P24" i="15"/>
  <c r="S23" i="15"/>
  <c r="P116" i="72" s="1"/>
  <c r="R23" i="15"/>
  <c r="P23" i="15"/>
  <c r="S22" i="15"/>
  <c r="P115" i="72" s="1"/>
  <c r="R22" i="15"/>
  <c r="S21" i="15"/>
  <c r="P114" i="72" s="1"/>
  <c r="R21" i="15"/>
  <c r="P21" i="15"/>
  <c r="S20" i="15"/>
  <c r="P113" i="72" s="1"/>
  <c r="R20" i="15"/>
  <c r="P20" i="15"/>
  <c r="S18" i="15"/>
  <c r="P111" i="72" s="1"/>
  <c r="R18" i="15"/>
  <c r="P18" i="15"/>
  <c r="S17" i="15"/>
  <c r="P194" i="72" s="1"/>
  <c r="R17" i="15"/>
  <c r="S16" i="15"/>
  <c r="R16" i="15"/>
  <c r="M129" i="38"/>
  <c r="S15" i="15"/>
  <c r="R15" i="15"/>
  <c r="M128" i="38"/>
  <c r="S14" i="15"/>
  <c r="P110" i="72" s="1"/>
  <c r="R14" i="15"/>
  <c r="S12" i="15"/>
  <c r="P108" i="72" s="1"/>
  <c r="P12" i="15"/>
  <c r="S11" i="15"/>
  <c r="P132" i="72" s="1"/>
  <c r="R11" i="15"/>
  <c r="P11" i="15"/>
  <c r="S10" i="15"/>
  <c r="P107" i="72" s="1"/>
  <c r="R10" i="15"/>
  <c r="P10" i="15"/>
  <c r="S9" i="15"/>
  <c r="P106" i="72" s="1"/>
  <c r="R9" i="15"/>
  <c r="P9" i="15"/>
  <c r="S8" i="15"/>
  <c r="P105" i="72" s="1"/>
  <c r="R8" i="15"/>
  <c r="K7" i="15"/>
  <c r="I7" i="15"/>
  <c r="D2" i="15"/>
  <c r="C2" i="15"/>
  <c r="B2" i="15"/>
  <c r="A2" i="15"/>
  <c r="R87" i="82" s="1"/>
  <c r="R68" i="82"/>
  <c r="R66" i="82"/>
  <c r="R53" i="82"/>
  <c r="Q53" i="82"/>
  <c r="P53" i="82"/>
  <c r="M53" i="82"/>
  <c r="K53" i="82"/>
  <c r="J53" i="82"/>
  <c r="I53" i="82"/>
  <c r="H53" i="82"/>
  <c r="R52" i="82"/>
  <c r="Q52" i="82"/>
  <c r="P52" i="82"/>
  <c r="M52" i="82"/>
  <c r="K52" i="82"/>
  <c r="J52" i="82"/>
  <c r="I52" i="82"/>
  <c r="H52" i="82"/>
  <c r="R51" i="82"/>
  <c r="Q51" i="82" s="1"/>
  <c r="P51" i="82"/>
  <c r="K51" i="82"/>
  <c r="J51" i="82"/>
  <c r="I51" i="82"/>
  <c r="H51" i="82"/>
  <c r="R50" i="82" s="1"/>
  <c r="Q50" i="82" s="1"/>
  <c r="P50" i="82"/>
  <c r="M50" i="82"/>
  <c r="K50" i="82"/>
  <c r="J50" i="82"/>
  <c r="I50" i="82"/>
  <c r="H50" i="82"/>
  <c r="R49" i="82" s="1"/>
  <c r="Q49" i="82" s="1"/>
  <c r="P49" i="82"/>
  <c r="K49" i="82"/>
  <c r="J49" i="82"/>
  <c r="I49" i="82"/>
  <c r="H49" i="82"/>
  <c r="R48" i="82"/>
  <c r="Q48" i="82" s="1"/>
  <c r="P48" i="82"/>
  <c r="K48" i="82"/>
  <c r="J48" i="82"/>
  <c r="I48" i="82"/>
  <c r="H48" i="82"/>
  <c r="R47" i="82"/>
  <c r="Q47" i="82" s="1"/>
  <c r="P47" i="82"/>
  <c r="M47" i="82"/>
  <c r="K47" i="82"/>
  <c r="J47" i="82"/>
  <c r="I47" i="82"/>
  <c r="H47" i="82"/>
  <c r="J28" i="82"/>
  <c r="I28" i="82"/>
  <c r="H28" i="82"/>
  <c r="R27" i="82" s="1"/>
  <c r="O27" i="82"/>
  <c r="J27" i="82"/>
  <c r="I27" i="82"/>
  <c r="H27" i="82"/>
  <c r="R26" i="82" s="1"/>
  <c r="P93" i="15" l="1"/>
  <c r="O87" i="82"/>
  <c r="J87" i="82" s="1"/>
  <c r="I87" i="82" s="1"/>
  <c r="H87" i="82" s="1"/>
  <c r="R86" i="82" s="1"/>
  <c r="P126" i="15"/>
  <c r="O9" i="34"/>
  <c r="O50" i="82"/>
  <c r="P69" i="15"/>
  <c r="P15" i="15"/>
  <c r="O128" i="38" s="1"/>
  <c r="O17" i="31"/>
  <c r="O51" i="82"/>
  <c r="M51" i="82" s="1"/>
  <c r="P173" i="15"/>
  <c r="O28" i="82"/>
  <c r="O48" i="82"/>
  <c r="M48" i="82" s="1"/>
  <c r="P205" i="15"/>
  <c r="O68" i="82" s="1"/>
  <c r="J68" i="82" s="1"/>
  <c r="I68" i="82" s="1"/>
  <c r="H68" i="82" s="1"/>
  <c r="P39" i="15"/>
  <c r="P38" i="15" s="1"/>
  <c r="P46" i="15"/>
  <c r="M134" i="72" s="1"/>
  <c r="O209" i="72"/>
  <c r="P187" i="15"/>
  <c r="S35" i="15"/>
  <c r="R67" i="82"/>
  <c r="P191" i="15"/>
  <c r="O107" i="72"/>
  <c r="J46" i="82"/>
  <c r="O114" i="72"/>
  <c r="S26" i="15"/>
  <c r="O17" i="20"/>
  <c r="H46" i="82"/>
  <c r="R45" i="82" s="1"/>
  <c r="S29" i="15"/>
  <c r="P57" i="15"/>
  <c r="O49" i="82"/>
  <c r="M49" i="82" s="1"/>
  <c r="P51" i="15"/>
  <c r="O15" i="45" s="1"/>
  <c r="O52" i="82"/>
  <c r="M111" i="72"/>
  <c r="O131" i="38"/>
  <c r="M136" i="72"/>
  <c r="O7" i="35"/>
  <c r="P47" i="15"/>
  <c r="M128" i="72"/>
  <c r="O12" i="37"/>
  <c r="M137" i="72"/>
  <c r="O8" i="35"/>
  <c r="K194" i="72"/>
  <c r="M130" i="38"/>
  <c r="O48" i="38"/>
  <c r="P153" i="15"/>
  <c r="M152" i="72"/>
  <c r="M150" i="72" s="1"/>
  <c r="O12" i="26"/>
  <c r="O10" i="26" s="1"/>
  <c r="K110" i="72"/>
  <c r="M127" i="38"/>
  <c r="P17" i="15"/>
  <c r="K127" i="72"/>
  <c r="M11" i="37"/>
  <c r="P43" i="15"/>
  <c r="L208" i="72"/>
  <c r="K208" i="72" s="1"/>
  <c r="N14" i="54"/>
  <c r="M146" i="72"/>
  <c r="O8" i="43"/>
  <c r="M149" i="72"/>
  <c r="O10" i="33"/>
  <c r="P60" i="15"/>
  <c r="M200" i="72"/>
  <c r="O41" i="30"/>
  <c r="O9" i="35"/>
  <c r="P202" i="15"/>
  <c r="O67" i="82" s="1"/>
  <c r="J67" i="82" s="1"/>
  <c r="I67" i="82" s="1"/>
  <c r="H67" i="82" s="1"/>
  <c r="M145" i="72"/>
  <c r="O7" i="43"/>
  <c r="P123" i="15"/>
  <c r="O15" i="54"/>
  <c r="P208" i="15"/>
  <c r="O307" i="38"/>
  <c r="P176" i="15"/>
  <c r="O140" i="38"/>
  <c r="P168" i="15"/>
  <c r="P160" i="15" s="1"/>
  <c r="M107" i="72"/>
  <c r="O38" i="38"/>
  <c r="S7" i="15"/>
  <c r="K132" i="72"/>
  <c r="M39" i="38"/>
  <c r="O194" i="72"/>
  <c r="K114" i="72"/>
  <c r="M226" i="38"/>
  <c r="K117" i="72"/>
  <c r="M229" i="38"/>
  <c r="K120" i="72"/>
  <c r="M305" i="38"/>
  <c r="K123" i="72"/>
  <c r="M355" i="38"/>
  <c r="K196" i="72"/>
  <c r="M358" i="38"/>
  <c r="K142" i="72"/>
  <c r="M410" i="38"/>
  <c r="P44" i="15"/>
  <c r="M131" i="72" s="1"/>
  <c r="M182" i="72"/>
  <c r="O14" i="32"/>
  <c r="P76" i="15"/>
  <c r="P129" i="15"/>
  <c r="K105" i="72"/>
  <c r="M36" i="38"/>
  <c r="M123" i="72"/>
  <c r="O355" i="38"/>
  <c r="M178" i="72"/>
  <c r="O15" i="42"/>
  <c r="M155" i="72"/>
  <c r="M153" i="72" s="1"/>
  <c r="O10" i="34"/>
  <c r="O8" i="34" s="1"/>
  <c r="P132" i="15"/>
  <c r="O45" i="82" s="1"/>
  <c r="J45" i="82" s="1"/>
  <c r="I45" i="82" s="1"/>
  <c r="H45" i="82" s="1"/>
  <c r="R44" i="82" s="1"/>
  <c r="J211" i="72"/>
  <c r="R46" i="82"/>
  <c r="M117" i="72"/>
  <c r="O229" i="38"/>
  <c r="M196" i="72"/>
  <c r="O358" i="38"/>
  <c r="K140" i="72"/>
  <c r="M16" i="45"/>
  <c r="P8" i="15"/>
  <c r="P45" i="15"/>
  <c r="M133" i="72" s="1"/>
  <c r="P52" i="15"/>
  <c r="P56" i="15"/>
  <c r="O412" i="38"/>
  <c r="P184" i="15"/>
  <c r="M148" i="72"/>
  <c r="O9" i="33"/>
  <c r="M191" i="72"/>
  <c r="O12" i="53"/>
  <c r="M132" i="72"/>
  <c r="O39" i="38"/>
  <c r="M185" i="72"/>
  <c r="O19" i="24"/>
  <c r="O360" i="38"/>
  <c r="P181" i="15"/>
  <c r="M180" i="72"/>
  <c r="O12" i="32"/>
  <c r="P109" i="15"/>
  <c r="M113" i="72"/>
  <c r="O225" i="38"/>
  <c r="M195" i="72"/>
  <c r="O357" i="38"/>
  <c r="L139" i="72"/>
  <c r="N15" i="45"/>
  <c r="O231" i="38"/>
  <c r="M114" i="72"/>
  <c r="O226" i="38"/>
  <c r="K128" i="72"/>
  <c r="M12" i="37"/>
  <c r="K115" i="72"/>
  <c r="M227" i="38"/>
  <c r="J118" i="72"/>
  <c r="L230" i="38"/>
  <c r="K121" i="72"/>
  <c r="M306" i="38"/>
  <c r="K124" i="72"/>
  <c r="M356" i="38"/>
  <c r="K125" i="72"/>
  <c r="M359" i="38"/>
  <c r="P146" i="15"/>
  <c r="P143" i="15" s="1"/>
  <c r="O53" i="82" s="1"/>
  <c r="M190" i="72"/>
  <c r="O11" i="53"/>
  <c r="P120" i="15"/>
  <c r="M174" i="72"/>
  <c r="O11" i="42"/>
  <c r="M205" i="72"/>
  <c r="O16" i="42"/>
  <c r="K111" i="72"/>
  <c r="M131" i="38"/>
  <c r="K137" i="72"/>
  <c r="M8" i="35"/>
  <c r="O66" i="82"/>
  <c r="J66" i="82" s="1"/>
  <c r="I66" i="82" s="1"/>
  <c r="H66" i="82" s="1"/>
  <c r="R65" i="82" s="1"/>
  <c r="P22" i="15"/>
  <c r="P28" i="15"/>
  <c r="P26" i="15" s="1"/>
  <c r="P31" i="15"/>
  <c r="P34" i="15"/>
  <c r="P37" i="15"/>
  <c r="O411" i="38" s="1"/>
  <c r="K209" i="72"/>
  <c r="M7" i="61"/>
  <c r="M210" i="72"/>
  <c r="O23" i="24"/>
  <c r="M167" i="72"/>
  <c r="M165" i="72" s="1"/>
  <c r="O15" i="31"/>
  <c r="O13" i="31" s="1"/>
  <c r="P101" i="15"/>
  <c r="M116" i="72"/>
  <c r="O228" i="38"/>
  <c r="M120" i="72"/>
  <c r="O305" i="38"/>
  <c r="P58" i="15"/>
  <c r="M209" i="72"/>
  <c r="O7" i="61"/>
  <c r="O6" i="61" s="1"/>
  <c r="F3" i="61" s="1"/>
  <c r="O7" i="70"/>
  <c r="O6" i="70" s="1"/>
  <c r="F3" i="70" s="1"/>
  <c r="P90" i="15"/>
  <c r="O13" i="23"/>
  <c r="O12" i="23" s="1"/>
  <c r="M172" i="72"/>
  <c r="M171" i="72" s="1"/>
  <c r="H171" i="72" s="1"/>
  <c r="G171" i="72" s="1"/>
  <c r="F171" i="72" s="1"/>
  <c r="P99" i="15"/>
  <c r="M142" i="72"/>
  <c r="O410" i="38"/>
  <c r="O47" i="82"/>
  <c r="O106" i="72"/>
  <c r="P16" i="15"/>
  <c r="O121" i="72"/>
  <c r="O11" i="33"/>
  <c r="P274" i="15"/>
  <c r="M201" i="72"/>
  <c r="O42" i="30"/>
  <c r="M187" i="72"/>
  <c r="O21" i="24"/>
  <c r="K136" i="72"/>
  <c r="M7" i="35"/>
  <c r="K107" i="72"/>
  <c r="M38" i="38"/>
  <c r="S13" i="15"/>
  <c r="K113" i="72"/>
  <c r="M225" i="38"/>
  <c r="K116" i="72"/>
  <c r="M228" i="38"/>
  <c r="O118" i="72"/>
  <c r="K195" i="72"/>
  <c r="M357" i="38"/>
  <c r="S47" i="15"/>
  <c r="K139" i="72"/>
  <c r="M15" i="45"/>
  <c r="E208" i="72"/>
  <c r="G14" i="54"/>
  <c r="O143" i="38"/>
  <c r="M198" i="72"/>
  <c r="O39" i="30"/>
  <c r="M158" i="72"/>
  <c r="M156" i="72" s="1"/>
  <c r="O10" i="40"/>
  <c r="O8" i="40" s="1"/>
  <c r="M184" i="72"/>
  <c r="O18" i="24"/>
  <c r="P113" i="15"/>
  <c r="P197" i="15"/>
  <c r="E4" i="85"/>
  <c r="R27" i="83"/>
  <c r="O27" i="83" s="1"/>
  <c r="R26" i="83" s="1"/>
  <c r="O26" i="83" s="1"/>
  <c r="M4" i="83"/>
  <c r="S38" i="15"/>
  <c r="I15" i="85"/>
  <c r="J8" i="85"/>
  <c r="J7" i="85" s="1"/>
  <c r="O108" i="72"/>
  <c r="S50" i="15"/>
  <c r="P54" i="15"/>
  <c r="M143" i="72" s="1"/>
  <c r="M110" i="72"/>
  <c r="O127" i="38"/>
  <c r="I46" i="82"/>
  <c r="M108" i="72"/>
  <c r="O40" i="38"/>
  <c r="K108" i="72"/>
  <c r="M40" i="38"/>
  <c r="P65" i="15"/>
  <c r="O26" i="82" s="1"/>
  <c r="K106" i="72"/>
  <c r="M37" i="38"/>
  <c r="M106" i="72"/>
  <c r="O37" i="38"/>
  <c r="O30" i="82"/>
  <c r="AI4" i="82" s="1"/>
  <c r="O120" i="72"/>
  <c r="P119" i="72"/>
  <c r="O208" i="72"/>
  <c r="P207" i="72"/>
  <c r="O110" i="72"/>
  <c r="P109" i="72"/>
  <c r="O113" i="72"/>
  <c r="P112" i="72"/>
  <c r="O136" i="72"/>
  <c r="P135" i="72"/>
  <c r="S19" i="15"/>
  <c r="O115" i="72"/>
  <c r="O116" i="72"/>
  <c r="O117" i="72"/>
  <c r="O137" i="72"/>
  <c r="O105" i="72"/>
  <c r="P104" i="72"/>
  <c r="O132" i="72"/>
  <c r="P129" i="72"/>
  <c r="O142" i="72"/>
  <c r="P141" i="72"/>
  <c r="O111" i="72"/>
  <c r="S59" i="15"/>
  <c r="O123" i="72"/>
  <c r="P122" i="72"/>
  <c r="O127" i="72"/>
  <c r="P126" i="72"/>
  <c r="O139" i="72"/>
  <c r="P138" i="72"/>
  <c r="O86" i="82"/>
  <c r="J86" i="82" s="1"/>
  <c r="I86" i="82" s="1"/>
  <c r="H86" i="82" s="1"/>
  <c r="R85" i="82" s="1"/>
  <c r="O85" i="82" s="1"/>
  <c r="J85" i="82" s="1"/>
  <c r="I85" i="82" s="1"/>
  <c r="H85" i="82" s="1"/>
  <c r="R84" i="82" s="1"/>
  <c r="O84" i="82" s="1"/>
  <c r="J84" i="82" s="1"/>
  <c r="I84" i="82" s="1"/>
  <c r="H84" i="82" s="1"/>
  <c r="R83" i="82" s="1"/>
  <c r="O83" i="82" s="1"/>
  <c r="J83" i="82" s="1"/>
  <c r="I83" i="82" s="1"/>
  <c r="H83" i="82" s="1"/>
  <c r="R82" i="82" s="1"/>
  <c r="O82" i="82" s="1"/>
  <c r="J82" i="82" s="1"/>
  <c r="I82" i="82" s="1"/>
  <c r="H82" i="82" s="1"/>
  <c r="R81" i="82" s="1"/>
  <c r="O81" i="82" s="1"/>
  <c r="J81" i="82" s="1"/>
  <c r="I81" i="82" s="1"/>
  <c r="H81" i="82" s="1"/>
  <c r="R80" i="82" s="1"/>
  <c r="O80" i="82" s="1"/>
  <c r="J80" i="82" s="1"/>
  <c r="I80" i="82" s="1"/>
  <c r="H80" i="82" s="1"/>
  <c r="R79" i="82" s="1"/>
  <c r="O124" i="72"/>
  <c r="O195" i="72"/>
  <c r="O196" i="72"/>
  <c r="O125" i="72"/>
  <c r="O128" i="72"/>
  <c r="O140" i="72"/>
  <c r="S61" i="15"/>
  <c r="R24" i="82" s="1"/>
  <c r="B4" i="82"/>
  <c r="B3" i="82"/>
  <c r="A2" i="82"/>
  <c r="K102" i="72"/>
  <c r="R97" i="4"/>
  <c r="P101" i="72" s="1"/>
  <c r="R96" i="4"/>
  <c r="P100" i="72" s="1"/>
  <c r="R95" i="4"/>
  <c r="P99" i="72" s="1"/>
  <c r="O95" i="4"/>
  <c r="R94" i="4"/>
  <c r="P98" i="72" s="1"/>
  <c r="O94" i="4"/>
  <c r="R93" i="4"/>
  <c r="R92" i="4"/>
  <c r="P96" i="72" s="1"/>
  <c r="O92" i="4"/>
  <c r="P95" i="72"/>
  <c r="R90" i="4"/>
  <c r="P94" i="72" s="1"/>
  <c r="O90" i="4"/>
  <c r="R89" i="4"/>
  <c r="P93" i="72" s="1"/>
  <c r="R88" i="4"/>
  <c r="P92" i="72" s="1"/>
  <c r="J91" i="72"/>
  <c r="K90" i="72"/>
  <c r="K89" i="72"/>
  <c r="P88" i="72"/>
  <c r="O84" i="4"/>
  <c r="J87" i="72"/>
  <c r="K85" i="72"/>
  <c r="K84" i="72"/>
  <c r="J83" i="72"/>
  <c r="R78" i="4"/>
  <c r="P82" i="72" s="1"/>
  <c r="O78" i="4"/>
  <c r="R77" i="4"/>
  <c r="P81" i="72" s="1"/>
  <c r="O77" i="4"/>
  <c r="K80" i="72"/>
  <c r="K79" i="72"/>
  <c r="O74" i="4"/>
  <c r="M78" i="72" s="1"/>
  <c r="J77" i="72"/>
  <c r="K76" i="72"/>
  <c r="K74" i="72"/>
  <c r="J72" i="72"/>
  <c r="K71" i="72"/>
  <c r="P103" i="72" l="1"/>
  <c r="X9" i="87" s="1"/>
  <c r="AL9" i="87" s="1"/>
  <c r="P97" i="72"/>
  <c r="O10" i="53"/>
  <c r="O11" i="37"/>
  <c r="M127" i="72"/>
  <c r="M126" i="72" s="1"/>
  <c r="H126" i="72" s="1"/>
  <c r="O6" i="43"/>
  <c r="O44" i="82"/>
  <c r="J44" i="82" s="1"/>
  <c r="I44" i="82" s="1"/>
  <c r="H44" i="82" s="1"/>
  <c r="R43" i="82" s="1"/>
  <c r="O43" i="82" s="1"/>
  <c r="J43" i="82" s="1"/>
  <c r="I43" i="82" s="1"/>
  <c r="H43" i="82" s="1"/>
  <c r="R42" i="82" s="1"/>
  <c r="M109" i="72"/>
  <c r="H109" i="72" s="1"/>
  <c r="M144" i="72"/>
  <c r="H144" i="72" s="1"/>
  <c r="J26" i="82"/>
  <c r="I26" i="82" s="1"/>
  <c r="H26" i="82" s="1"/>
  <c r="H25" i="82" s="1"/>
  <c r="O10" i="42"/>
  <c r="O65" i="82"/>
  <c r="J65" i="82" s="1"/>
  <c r="I65" i="82" s="1"/>
  <c r="H65" i="82" s="1"/>
  <c r="R64" i="82" s="1"/>
  <c r="M183" i="72"/>
  <c r="H183" i="72" s="1"/>
  <c r="O92" i="72"/>
  <c r="O409" i="38"/>
  <c r="M173" i="72"/>
  <c r="M179" i="72"/>
  <c r="M147" i="72"/>
  <c r="O64" i="82"/>
  <c r="J64" i="82" s="1"/>
  <c r="I64" i="82" s="1"/>
  <c r="H64" i="82" s="1"/>
  <c r="BA3" i="82"/>
  <c r="M141" i="72"/>
  <c r="O36" i="30"/>
  <c r="O17" i="24"/>
  <c r="M135" i="72"/>
  <c r="O8" i="33"/>
  <c r="M139" i="72"/>
  <c r="P59" i="15"/>
  <c r="O46" i="82"/>
  <c r="M94" i="72"/>
  <c r="O9" i="37"/>
  <c r="O8" i="37" s="1"/>
  <c r="M82" i="72"/>
  <c r="O353" i="38"/>
  <c r="M96" i="72"/>
  <c r="O34" i="30"/>
  <c r="K100" i="72"/>
  <c r="M9" i="42"/>
  <c r="O96" i="4"/>
  <c r="M194" i="72"/>
  <c r="O130" i="38"/>
  <c r="P35" i="15"/>
  <c r="K93" i="72"/>
  <c r="M408" i="38"/>
  <c r="P53" i="15"/>
  <c r="O21" i="82" s="1"/>
  <c r="J21" i="82" s="1"/>
  <c r="I21" i="82" s="1"/>
  <c r="H21" i="82" s="1"/>
  <c r="R20" i="82" s="1"/>
  <c r="O129" i="38"/>
  <c r="P13" i="15"/>
  <c r="P136" i="15"/>
  <c r="R53" i="83"/>
  <c r="O93" i="72"/>
  <c r="O75" i="4"/>
  <c r="M79" i="72" s="1"/>
  <c r="K211" i="72"/>
  <c r="P63" i="15"/>
  <c r="O6" i="35"/>
  <c r="F3" i="35" s="1"/>
  <c r="M125" i="72"/>
  <c r="O359" i="38"/>
  <c r="M193" i="72"/>
  <c r="M192" i="72" s="1"/>
  <c r="H192" i="72" s="1"/>
  <c r="G192" i="72" s="1"/>
  <c r="F192" i="72" s="1"/>
  <c r="P55" i="15"/>
  <c r="O42" i="82"/>
  <c r="J42" i="82" s="1"/>
  <c r="I42" i="82" s="1"/>
  <c r="H42" i="82" s="1"/>
  <c r="R41" i="82" s="1"/>
  <c r="O41" i="82" s="1"/>
  <c r="M99" i="72"/>
  <c r="O11" i="23"/>
  <c r="O10" i="23" s="1"/>
  <c r="O80" i="4"/>
  <c r="M84" i="72" s="1"/>
  <c r="M124" i="72"/>
  <c r="O356" i="38"/>
  <c r="M140" i="72"/>
  <c r="O16" i="45"/>
  <c r="O14" i="45" s="1"/>
  <c r="K96" i="72"/>
  <c r="M34" i="30"/>
  <c r="O89" i="4"/>
  <c r="O76" i="4"/>
  <c r="M80" i="72" s="1"/>
  <c r="K94" i="72"/>
  <c r="M9" i="37"/>
  <c r="M121" i="72"/>
  <c r="M119" i="72" s="1"/>
  <c r="H119" i="72" s="1"/>
  <c r="G119" i="72" s="1"/>
  <c r="O306" i="38"/>
  <c r="O304" i="38" s="1"/>
  <c r="K101" i="72"/>
  <c r="M16" i="24"/>
  <c r="K95" i="72"/>
  <c r="M33" i="30"/>
  <c r="O97" i="4"/>
  <c r="K118" i="72"/>
  <c r="M230" i="38"/>
  <c r="P25" i="15"/>
  <c r="M105" i="72"/>
  <c r="M104" i="72" s="1"/>
  <c r="O36" i="38"/>
  <c r="O35" i="38" s="1"/>
  <c r="O11" i="32"/>
  <c r="M208" i="72"/>
  <c r="M207" i="72" s="1"/>
  <c r="O14" i="54"/>
  <c r="O13" i="54" s="1"/>
  <c r="M130" i="72"/>
  <c r="M129" i="72" s="1"/>
  <c r="P42" i="15"/>
  <c r="P50" i="15"/>
  <c r="J100" i="72"/>
  <c r="L9" i="42"/>
  <c r="O86" i="4"/>
  <c r="M90" i="72" s="1"/>
  <c r="O72" i="4"/>
  <c r="M76" i="72" s="1"/>
  <c r="K92" i="72"/>
  <c r="M7" i="34"/>
  <c r="K77" i="72"/>
  <c r="O88" i="4"/>
  <c r="O91" i="4"/>
  <c r="M115" i="72"/>
  <c r="O227" i="38"/>
  <c r="O10" i="37"/>
  <c r="K82" i="72"/>
  <c r="M353" i="38"/>
  <c r="K78" i="72"/>
  <c r="K99" i="72"/>
  <c r="M11" i="23"/>
  <c r="M189" i="72"/>
  <c r="P29" i="15"/>
  <c r="H15" i="85"/>
  <c r="H8" i="85" s="1"/>
  <c r="H7" i="85" s="1"/>
  <c r="AZ4" i="85" s="1"/>
  <c r="AY4" i="85" s="1"/>
  <c r="AX4" i="85" s="1"/>
  <c r="AW4" i="85" s="1"/>
  <c r="AV4" i="85" s="1"/>
  <c r="AU4" i="85" s="1"/>
  <c r="AT4" i="85" s="1"/>
  <c r="AS4" i="85" s="1"/>
  <c r="AR4" i="85" s="1"/>
  <c r="AQ4" i="85" s="1"/>
  <c r="AP4" i="85" s="1"/>
  <c r="AO4" i="85" s="1"/>
  <c r="AN4" i="85" s="1"/>
  <c r="AM4" i="85" s="1"/>
  <c r="AL4" i="85" s="1"/>
  <c r="AK4" i="85" s="1"/>
  <c r="AJ4" i="85" s="1"/>
  <c r="AF4" i="85" s="1"/>
  <c r="Z4" i="85" s="1"/>
  <c r="V4" i="85" s="1"/>
  <c r="U4" i="85" s="1"/>
  <c r="P4" i="85" s="1"/>
  <c r="O4" i="85" s="1"/>
  <c r="N4" i="85" s="1"/>
  <c r="L4" i="85" s="1"/>
  <c r="K4" i="85" s="1"/>
  <c r="I4" i="85" s="1"/>
  <c r="H4" i="85" s="1"/>
  <c r="I8" i="85"/>
  <c r="I7" i="85" s="1"/>
  <c r="L3" i="83"/>
  <c r="K3" i="83" s="1"/>
  <c r="L4" i="83"/>
  <c r="K4" i="83" s="1"/>
  <c r="R82" i="4"/>
  <c r="O20" i="83"/>
  <c r="O82" i="72"/>
  <c r="O97" i="72"/>
  <c r="O100" i="72"/>
  <c r="O101" i="72"/>
  <c r="K97" i="72"/>
  <c r="M35" i="30"/>
  <c r="O93" i="4"/>
  <c r="O85" i="4"/>
  <c r="M89" i="72" s="1"/>
  <c r="O70" i="4"/>
  <c r="M74" i="72" s="1"/>
  <c r="M88" i="72"/>
  <c r="O13" i="45"/>
  <c r="O12" i="45" s="1"/>
  <c r="K88" i="72"/>
  <c r="M13" i="45"/>
  <c r="K81" i="72"/>
  <c r="M125" i="38"/>
  <c r="M81" i="72"/>
  <c r="O125" i="38"/>
  <c r="O81" i="4"/>
  <c r="O98" i="4"/>
  <c r="M102" i="72" s="1"/>
  <c r="K98" i="72"/>
  <c r="M19" i="41"/>
  <c r="M98" i="72"/>
  <c r="O19" i="41"/>
  <c r="O18" i="41" s="1"/>
  <c r="O67" i="4"/>
  <c r="O23" i="82"/>
  <c r="J23" i="82" s="1"/>
  <c r="I23" i="82" s="1"/>
  <c r="H23" i="82" s="1"/>
  <c r="R22" i="82" s="1"/>
  <c r="R71" i="4"/>
  <c r="O81" i="72"/>
  <c r="P75" i="72"/>
  <c r="J30" i="82"/>
  <c r="O98" i="72"/>
  <c r="O99" i="72"/>
  <c r="O79" i="82"/>
  <c r="R78" i="82"/>
  <c r="O88" i="72"/>
  <c r="P86" i="72"/>
  <c r="O94" i="72"/>
  <c r="O95" i="72"/>
  <c r="O96" i="72"/>
  <c r="AE3" i="82"/>
  <c r="Z3" i="82" s="1"/>
  <c r="Y3" i="82" s="1"/>
  <c r="R66" i="4"/>
  <c r="P70" i="72" s="1"/>
  <c r="R65" i="4"/>
  <c r="P69" i="72" s="1"/>
  <c r="R64" i="4"/>
  <c r="P68" i="72" s="1"/>
  <c r="R63" i="4"/>
  <c r="P67" i="72" s="1"/>
  <c r="P66" i="72"/>
  <c r="AW3" i="82" l="1"/>
  <c r="H104" i="72"/>
  <c r="AZ3" i="82"/>
  <c r="AX3" i="82" s="1"/>
  <c r="J25" i="82"/>
  <c r="I25" i="82"/>
  <c r="P3" i="82"/>
  <c r="M138" i="72"/>
  <c r="O126" i="38"/>
  <c r="O354" i="38"/>
  <c r="M122" i="72"/>
  <c r="K91" i="72"/>
  <c r="O87" i="4"/>
  <c r="M91" i="72" s="1"/>
  <c r="O53" i="83"/>
  <c r="AO3" i="83"/>
  <c r="M100" i="72"/>
  <c r="O9" i="42"/>
  <c r="O8" i="42" s="1"/>
  <c r="K87" i="72"/>
  <c r="O83" i="4"/>
  <c r="M87" i="72" s="1"/>
  <c r="O73" i="4"/>
  <c r="M77" i="72" s="1"/>
  <c r="M211" i="72"/>
  <c r="P61" i="15"/>
  <c r="O24" i="82" s="1"/>
  <c r="K67" i="72"/>
  <c r="M123" i="38"/>
  <c r="M118" i="72"/>
  <c r="M112" i="72" s="1"/>
  <c r="H112" i="72" s="1"/>
  <c r="O230" i="38"/>
  <c r="O224" i="38" s="1"/>
  <c r="P19" i="15"/>
  <c r="K83" i="72"/>
  <c r="O79" i="4"/>
  <c r="M83" i="72" s="1"/>
  <c r="O20" i="82"/>
  <c r="AF3" i="82"/>
  <c r="M93" i="72"/>
  <c r="O408" i="38"/>
  <c r="O407" i="38" s="1"/>
  <c r="J41" i="82"/>
  <c r="I41" i="82" s="1"/>
  <c r="H41" i="82" s="1"/>
  <c r="R40" i="82" s="1"/>
  <c r="AU4" i="82"/>
  <c r="K72" i="72"/>
  <c r="O68" i="4"/>
  <c r="M72" i="72" s="1"/>
  <c r="K69" i="72"/>
  <c r="M303" i="38"/>
  <c r="O69" i="72"/>
  <c r="K70" i="72"/>
  <c r="M124" i="38"/>
  <c r="M95" i="72"/>
  <c r="O33" i="30"/>
  <c r="O63" i="4"/>
  <c r="O68" i="72"/>
  <c r="O65" i="4"/>
  <c r="M101" i="72"/>
  <c r="O16" i="24"/>
  <c r="O15" i="24" s="1"/>
  <c r="O66" i="4"/>
  <c r="AU3" i="82"/>
  <c r="M92" i="72"/>
  <c r="O7" i="34"/>
  <c r="O6" i="34" s="1"/>
  <c r="F3" i="34" s="1"/>
  <c r="O67" i="72"/>
  <c r="M97" i="72"/>
  <c r="O35" i="30"/>
  <c r="M85" i="72"/>
  <c r="K73" i="72"/>
  <c r="O69" i="4"/>
  <c r="M73" i="72" s="1"/>
  <c r="O64" i="4"/>
  <c r="K68" i="72"/>
  <c r="M352" i="38"/>
  <c r="M71" i="72"/>
  <c r="O66" i="72"/>
  <c r="P60" i="72"/>
  <c r="P59" i="72" s="1"/>
  <c r="O22" i="82"/>
  <c r="I30" i="82"/>
  <c r="J79" i="82"/>
  <c r="O78" i="82"/>
  <c r="O70" i="72"/>
  <c r="J65" i="72"/>
  <c r="J64" i="72"/>
  <c r="K63" i="72"/>
  <c r="J63" i="72"/>
  <c r="K62" i="72"/>
  <c r="K61" i="72"/>
  <c r="R56" i="4"/>
  <c r="R55" i="4" s="1"/>
  <c r="K58" i="72"/>
  <c r="O57" i="72"/>
  <c r="J57" i="72"/>
  <c r="J56" i="72"/>
  <c r="K55" i="72"/>
  <c r="K54" i="72"/>
  <c r="J53" i="72"/>
  <c r="K52" i="72"/>
  <c r="K51" i="72"/>
  <c r="R46" i="4"/>
  <c r="J49" i="72"/>
  <c r="K48" i="72"/>
  <c r="P47" i="72"/>
  <c r="O43" i="4"/>
  <c r="P46" i="72"/>
  <c r="P45" i="72"/>
  <c r="J44" i="72"/>
  <c r="J41" i="72"/>
  <c r="J39" i="72"/>
  <c r="P38" i="72"/>
  <c r="P37" i="72"/>
  <c r="K36" i="72"/>
  <c r="K35" i="72"/>
  <c r="M11" i="54"/>
  <c r="P34" i="72"/>
  <c r="P33" i="72"/>
  <c r="K32" i="72"/>
  <c r="K31" i="72"/>
  <c r="J30" i="72"/>
  <c r="P29" i="72"/>
  <c r="P28" i="72"/>
  <c r="J27" i="72"/>
  <c r="K25" i="72"/>
  <c r="J24" i="72"/>
  <c r="P23" i="72"/>
  <c r="J9" i="88" l="1"/>
  <c r="L9" i="88" s="1"/>
  <c r="M103" i="72"/>
  <c r="O71" i="4"/>
  <c r="O54" i="4"/>
  <c r="M58" i="72" s="1"/>
  <c r="O51" i="4"/>
  <c r="M55" i="72" s="1"/>
  <c r="K57" i="72"/>
  <c r="O32" i="30"/>
  <c r="O46" i="72"/>
  <c r="M75" i="72"/>
  <c r="M47" i="72"/>
  <c r="O122" i="38"/>
  <c r="K45" i="72"/>
  <c r="M12" i="54"/>
  <c r="J42" i="72"/>
  <c r="O37" i="72"/>
  <c r="O48" i="4"/>
  <c r="M52" i="72" s="1"/>
  <c r="O59" i="4"/>
  <c r="M63" i="72" s="1"/>
  <c r="J20" i="82"/>
  <c r="I20" i="82" s="1"/>
  <c r="H20" i="82" s="1"/>
  <c r="R19" i="82" s="1"/>
  <c r="AF4" i="82"/>
  <c r="K34" i="72"/>
  <c r="M10" i="54"/>
  <c r="O29" i="4"/>
  <c r="O47" i="72"/>
  <c r="K42" i="72"/>
  <c r="J24" i="82"/>
  <c r="I24" i="82" s="1"/>
  <c r="H24" i="82" s="1"/>
  <c r="R23" i="82" s="1"/>
  <c r="AE4" i="82"/>
  <c r="Z4" i="82" s="1"/>
  <c r="Y4" i="82" s="1"/>
  <c r="P4" i="82" s="1"/>
  <c r="O30" i="4"/>
  <c r="O11" i="54" s="1"/>
  <c r="O26" i="4"/>
  <c r="M31" i="72" s="1"/>
  <c r="K39" i="72"/>
  <c r="O34" i="4"/>
  <c r="J45" i="72"/>
  <c r="L12" i="54"/>
  <c r="M86" i="72"/>
  <c r="M69" i="72"/>
  <c r="O303" i="38"/>
  <c r="O302" i="38" s="1"/>
  <c r="K47" i="72"/>
  <c r="M122" i="38"/>
  <c r="K38" i="72"/>
  <c r="M9" i="71"/>
  <c r="J66" i="72"/>
  <c r="L34" i="38"/>
  <c r="R52" i="83"/>
  <c r="O52" i="83" s="1"/>
  <c r="R51" i="83" s="1"/>
  <c r="O51" i="83" s="1"/>
  <c r="AO4" i="83"/>
  <c r="O20" i="4"/>
  <c r="M25" i="72" s="1"/>
  <c r="M70" i="72"/>
  <c r="O124" i="38"/>
  <c r="K33" i="72"/>
  <c r="M9" i="54"/>
  <c r="O23" i="4"/>
  <c r="M67" i="72"/>
  <c r="O123" i="38"/>
  <c r="O40" i="82"/>
  <c r="AT3" i="82"/>
  <c r="K28" i="72"/>
  <c r="M7" i="33"/>
  <c r="O28" i="4"/>
  <c r="J37" i="72"/>
  <c r="L32" i="38"/>
  <c r="K46" i="72"/>
  <c r="M33" i="38"/>
  <c r="O57" i="4"/>
  <c r="M61" i="72" s="1"/>
  <c r="O42" i="4"/>
  <c r="K44" i="72"/>
  <c r="O41" i="4"/>
  <c r="R36" i="4"/>
  <c r="K41" i="72"/>
  <c r="O47" i="4"/>
  <c r="M51" i="72" s="1"/>
  <c r="O82" i="4"/>
  <c r="K43" i="72"/>
  <c r="O39" i="4"/>
  <c r="M43" i="72" s="1"/>
  <c r="O50" i="4"/>
  <c r="M54" i="72" s="1"/>
  <c r="O31" i="4"/>
  <c r="M35" i="72" s="1"/>
  <c r="O44" i="4"/>
  <c r="M48" i="72" s="1"/>
  <c r="O27" i="4"/>
  <c r="M32" i="72" s="1"/>
  <c r="O24" i="4"/>
  <c r="K29" i="72"/>
  <c r="M9" i="26"/>
  <c r="M68" i="72"/>
  <c r="O352" i="38"/>
  <c r="O351" i="38" s="1"/>
  <c r="O58" i="4"/>
  <c r="O32" i="4"/>
  <c r="I79" i="82"/>
  <c r="J78" i="82"/>
  <c r="O45" i="72"/>
  <c r="P40" i="72"/>
  <c r="O23" i="72"/>
  <c r="P15" i="72"/>
  <c r="O28" i="72"/>
  <c r="P26" i="72"/>
  <c r="H30" i="82"/>
  <c r="J22" i="82"/>
  <c r="O29" i="72"/>
  <c r="O33" i="72"/>
  <c r="O34" i="72"/>
  <c r="O38" i="72"/>
  <c r="K22" i="72"/>
  <c r="K20" i="72"/>
  <c r="J19" i="72"/>
  <c r="K18" i="72"/>
  <c r="K17" i="72"/>
  <c r="K16" i="72"/>
  <c r="R10" i="4"/>
  <c r="J10" i="4"/>
  <c r="H10" i="4"/>
  <c r="O53" i="4" l="1"/>
  <c r="M57" i="72" s="1"/>
  <c r="O37" i="4"/>
  <c r="M41" i="72" s="1"/>
  <c r="O38" i="4"/>
  <c r="M42" i="72" s="1"/>
  <c r="AN3" i="83"/>
  <c r="AM3" i="83" s="1"/>
  <c r="AN4" i="83"/>
  <c r="AM4" i="83" s="1"/>
  <c r="M39" i="72"/>
  <c r="K27" i="72"/>
  <c r="O22" i="4"/>
  <c r="M27" i="72" s="1"/>
  <c r="O15" i="4"/>
  <c r="M20" i="72" s="1"/>
  <c r="J21" i="72"/>
  <c r="M45" i="72"/>
  <c r="O12" i="54"/>
  <c r="M46" i="72"/>
  <c r="O33" i="38"/>
  <c r="K37" i="72"/>
  <c r="M32" i="38"/>
  <c r="O33" i="4"/>
  <c r="K66" i="72"/>
  <c r="M34" i="38"/>
  <c r="O62" i="4"/>
  <c r="M33" i="72"/>
  <c r="O9" i="54"/>
  <c r="K53" i="72"/>
  <c r="O49" i="4"/>
  <c r="M53" i="72" s="1"/>
  <c r="O40" i="4"/>
  <c r="M44" i="72" s="1"/>
  <c r="J40" i="82"/>
  <c r="I40" i="82" s="1"/>
  <c r="H40" i="82" s="1"/>
  <c r="R39" i="82" s="1"/>
  <c r="AT4" i="82"/>
  <c r="K56" i="72"/>
  <c r="O52" i="4"/>
  <c r="M56" i="72" s="1"/>
  <c r="M38" i="72"/>
  <c r="O9" i="71"/>
  <c r="O8" i="71" s="1"/>
  <c r="K64" i="72"/>
  <c r="O60" i="4"/>
  <c r="M64" i="72" s="1"/>
  <c r="O19" i="82"/>
  <c r="AG3" i="82"/>
  <c r="K30" i="72"/>
  <c r="O25" i="4"/>
  <c r="M30" i="72" s="1"/>
  <c r="K24" i="72"/>
  <c r="O19" i="4"/>
  <c r="M24" i="72" s="1"/>
  <c r="K65" i="72"/>
  <c r="O61" i="4"/>
  <c r="M65" i="72" s="1"/>
  <c r="M34" i="72"/>
  <c r="O10" i="54"/>
  <c r="O121" i="38"/>
  <c r="J7" i="83"/>
  <c r="M28" i="72"/>
  <c r="O7" i="33"/>
  <c r="O6" i="33" s="1"/>
  <c r="F3" i="33" s="1"/>
  <c r="O11" i="4"/>
  <c r="M16" i="72" s="1"/>
  <c r="R25" i="83"/>
  <c r="P14" i="72"/>
  <c r="P13" i="72" s="1"/>
  <c r="P12" i="72" s="1"/>
  <c r="R9" i="4"/>
  <c r="O12" i="4"/>
  <c r="M29" i="72"/>
  <c r="O9" i="26"/>
  <c r="O8" i="26" s="1"/>
  <c r="O17" i="4"/>
  <c r="M22" i="72" s="1"/>
  <c r="M12" i="31"/>
  <c r="K23" i="72"/>
  <c r="O18" i="4"/>
  <c r="O13" i="4"/>
  <c r="M62" i="72"/>
  <c r="M36" i="72"/>
  <c r="H79" i="82"/>
  <c r="H78" i="82" s="1"/>
  <c r="R77" i="82" s="1"/>
  <c r="I78" i="82"/>
  <c r="I22" i="82"/>
  <c r="J9" i="4"/>
  <c r="H9" i="4"/>
  <c r="X8" i="87" l="1"/>
  <c r="P5" i="72"/>
  <c r="O46" i="4"/>
  <c r="O56" i="4"/>
  <c r="O55" i="4" s="1"/>
  <c r="M50" i="72"/>
  <c r="M17" i="72"/>
  <c r="K21" i="72"/>
  <c r="O16" i="4"/>
  <c r="M21" i="72" s="1"/>
  <c r="O8" i="54"/>
  <c r="O39" i="82"/>
  <c r="AS3" i="82"/>
  <c r="K19" i="72"/>
  <c r="O14" i="4"/>
  <c r="M19" i="72" s="1"/>
  <c r="I7" i="83"/>
  <c r="M66" i="72"/>
  <c r="M60" i="72" s="1"/>
  <c r="M59" i="72" s="1"/>
  <c r="O34" i="38"/>
  <c r="M37" i="72"/>
  <c r="M26" i="72" s="1"/>
  <c r="O32" i="38"/>
  <c r="J19" i="82"/>
  <c r="I19" i="82" s="1"/>
  <c r="H19" i="82" s="1"/>
  <c r="R18" i="82" s="1"/>
  <c r="AG4" i="82"/>
  <c r="R8" i="4"/>
  <c r="R7" i="4" s="1"/>
  <c r="O21" i="4"/>
  <c r="R20" i="83"/>
  <c r="J3" i="83"/>
  <c r="I3" i="83" s="1"/>
  <c r="H3" i="83" s="1"/>
  <c r="G3" i="83" s="1"/>
  <c r="O12" i="31"/>
  <c r="O11" i="31" s="1"/>
  <c r="M23" i="72"/>
  <c r="M18" i="72"/>
  <c r="H22" i="82"/>
  <c r="AO3" i="82"/>
  <c r="G13" i="72"/>
  <c r="BA4" i="4"/>
  <c r="AX4" i="4"/>
  <c r="AW4" i="4"/>
  <c r="AV4" i="4" s="1"/>
  <c r="AT4" i="4"/>
  <c r="AR4" i="4"/>
  <c r="AQ4" i="4" s="1"/>
  <c r="AP4" i="4"/>
  <c r="AL4" i="4"/>
  <c r="AJ4" i="4"/>
  <c r="AF4" i="4" s="1"/>
  <c r="O4" i="4"/>
  <c r="N4" i="4"/>
  <c r="L4" i="4"/>
  <c r="I4" i="4"/>
  <c r="G4" i="4"/>
  <c r="B4" i="4"/>
  <c r="BA3" i="4" s="1"/>
  <c r="AX3" i="4"/>
  <c r="AW3" i="4"/>
  <c r="AV3" i="4" s="1"/>
  <c r="AT3" i="4"/>
  <c r="AR3" i="4"/>
  <c r="AQ3" i="4"/>
  <c r="AP3" i="4"/>
  <c r="AL3" i="4"/>
  <c r="AJ3" i="4"/>
  <c r="AF3" i="4"/>
  <c r="Q3" i="4"/>
  <c r="O3" i="4"/>
  <c r="N3" i="4"/>
  <c r="L3" i="4"/>
  <c r="I3" i="4"/>
  <c r="G3" i="4"/>
  <c r="B3" i="4"/>
  <c r="A2" i="4"/>
  <c r="R8" i="60"/>
  <c r="R7" i="60" s="1"/>
  <c r="AK7" i="87" s="1"/>
  <c r="J8" i="60"/>
  <c r="J7" i="60" s="1"/>
  <c r="H8" i="60"/>
  <c r="H7" i="60" s="1"/>
  <c r="B4" i="60"/>
  <c r="W3" i="60"/>
  <c r="B3" i="60"/>
  <c r="A2" i="60"/>
  <c r="S119" i="3"/>
  <c r="S117" i="3"/>
  <c r="R117" i="3"/>
  <c r="M9" i="23"/>
  <c r="S114" i="3"/>
  <c r="R114" i="3"/>
  <c r="M16" i="68"/>
  <c r="S113" i="3"/>
  <c r="R113" i="3"/>
  <c r="M15" i="68"/>
  <c r="AK22" i="87" l="1"/>
  <c r="AL7" i="87"/>
  <c r="E3" i="4"/>
  <c r="X22" i="87"/>
  <c r="AL8" i="87"/>
  <c r="P122" i="3"/>
  <c r="O15" i="60"/>
  <c r="E3" i="60"/>
  <c r="R50" i="83"/>
  <c r="H7" i="83"/>
  <c r="AZ4" i="83" s="1"/>
  <c r="AY4" i="83" s="1"/>
  <c r="AX4" i="83" s="1"/>
  <c r="AV4" i="83" s="1"/>
  <c r="AU4" i="83" s="1"/>
  <c r="AT4" i="83" s="1"/>
  <c r="AS4" i="83" s="1"/>
  <c r="AR4" i="83" s="1"/>
  <c r="AQ4" i="83" s="1"/>
  <c r="O10" i="60"/>
  <c r="O18" i="82"/>
  <c r="R17" i="82"/>
  <c r="O10" i="4"/>
  <c r="P117" i="3"/>
  <c r="P113" i="3"/>
  <c r="J39" i="82"/>
  <c r="I39" i="82" s="1"/>
  <c r="H39" i="82" s="1"/>
  <c r="R38" i="82" s="1"/>
  <c r="AS4" i="82"/>
  <c r="O11" i="60"/>
  <c r="O31" i="38"/>
  <c r="O9" i="60"/>
  <c r="O12" i="60"/>
  <c r="P114" i="3"/>
  <c r="O16" i="68" s="1"/>
  <c r="P120" i="3"/>
  <c r="O13" i="60"/>
  <c r="S112" i="3"/>
  <c r="P121" i="3"/>
  <c r="O14" i="60"/>
  <c r="S116" i="3"/>
  <c r="M15" i="72"/>
  <c r="H13" i="72"/>
  <c r="H12" i="72" s="1"/>
  <c r="J8" i="4"/>
  <c r="J16" i="82"/>
  <c r="I16" i="82" s="1"/>
  <c r="H16" i="82" s="1"/>
  <c r="R15" i="82" s="1"/>
  <c r="F13" i="72"/>
  <c r="G12" i="72"/>
  <c r="J77" i="82"/>
  <c r="I77" i="82" s="1"/>
  <c r="H77" i="82" s="1"/>
  <c r="R76" i="82" s="1"/>
  <c r="AO4" i="82"/>
  <c r="S111" i="3"/>
  <c r="R111" i="3"/>
  <c r="M17" i="41"/>
  <c r="S110" i="3"/>
  <c r="R110" i="3"/>
  <c r="M16" i="41"/>
  <c r="S109" i="3"/>
  <c r="R109" i="3"/>
  <c r="M15" i="41"/>
  <c r="H15" i="41"/>
  <c r="S108" i="3"/>
  <c r="R108" i="3"/>
  <c r="M14" i="41"/>
  <c r="S107" i="3"/>
  <c r="R107" i="3"/>
  <c r="M13" i="41"/>
  <c r="S105" i="3"/>
  <c r="R105" i="3"/>
  <c r="M31" i="30"/>
  <c r="S104" i="3"/>
  <c r="R104" i="3"/>
  <c r="M30" i="30"/>
  <c r="S103" i="3"/>
  <c r="R103" i="3"/>
  <c r="M29" i="30"/>
  <c r="S102" i="3"/>
  <c r="R102" i="3"/>
  <c r="M28" i="30"/>
  <c r="S100" i="3"/>
  <c r="R100" i="3"/>
  <c r="M27" i="30"/>
  <c r="S99" i="3"/>
  <c r="R99" i="3"/>
  <c r="M26" i="30"/>
  <c r="S98" i="3"/>
  <c r="R98" i="3"/>
  <c r="M25" i="30"/>
  <c r="S97" i="3"/>
  <c r="R97" i="3"/>
  <c r="M24" i="30"/>
  <c r="S96" i="3"/>
  <c r="R96" i="3"/>
  <c r="M23" i="30"/>
  <c r="S95" i="3"/>
  <c r="R95" i="3"/>
  <c r="M22" i="30"/>
  <c r="S91" i="3"/>
  <c r="R91" i="3"/>
  <c r="M301" i="38"/>
  <c r="S89" i="3"/>
  <c r="R89" i="3"/>
  <c r="M223" i="38"/>
  <c r="S85" i="3"/>
  <c r="R85" i="3"/>
  <c r="M81" i="27"/>
  <c r="S84" i="3"/>
  <c r="R84" i="3"/>
  <c r="M80" i="27"/>
  <c r="S83" i="3"/>
  <c r="R83" i="3"/>
  <c r="M79" i="27"/>
  <c r="S82" i="3"/>
  <c r="R82" i="3"/>
  <c r="M78" i="27"/>
  <c r="S81" i="3"/>
  <c r="R81" i="3"/>
  <c r="M77" i="27"/>
  <c r="S80" i="3"/>
  <c r="R80" i="3"/>
  <c r="M76" i="27"/>
  <c r="S79" i="3"/>
  <c r="R79" i="3"/>
  <c r="M75" i="27"/>
  <c r="S78" i="3"/>
  <c r="R78" i="3"/>
  <c r="M74" i="27"/>
  <c r="S75" i="3"/>
  <c r="R75" i="3"/>
  <c r="M72" i="27"/>
  <c r="S74" i="3"/>
  <c r="R74" i="3"/>
  <c r="M71" i="27"/>
  <c r="S73" i="3"/>
  <c r="R73" i="3"/>
  <c r="M70" i="27"/>
  <c r="S71" i="3"/>
  <c r="R71" i="3"/>
  <c r="M68" i="27"/>
  <c r="S70" i="3"/>
  <c r="R70" i="3"/>
  <c r="M67" i="27"/>
  <c r="S69" i="3"/>
  <c r="R69" i="3"/>
  <c r="M66" i="27"/>
  <c r="S68" i="3"/>
  <c r="R68" i="3"/>
  <c r="M65" i="27"/>
  <c r="M64" i="27"/>
  <c r="S66" i="3"/>
  <c r="R66" i="3"/>
  <c r="M63" i="27"/>
  <c r="S65" i="3"/>
  <c r="R65" i="3"/>
  <c r="M62" i="27"/>
  <c r="S64" i="3"/>
  <c r="R64" i="3"/>
  <c r="M61" i="27"/>
  <c r="S63" i="3"/>
  <c r="R63" i="3"/>
  <c r="M60" i="27"/>
  <c r="S62" i="3"/>
  <c r="R62" i="3"/>
  <c r="L59" i="27"/>
  <c r="S59" i="3"/>
  <c r="R59" i="3"/>
  <c r="M57" i="27"/>
  <c r="S58" i="3"/>
  <c r="R58" i="3"/>
  <c r="M56" i="27"/>
  <c r="S56" i="3"/>
  <c r="R56" i="3"/>
  <c r="M54" i="27"/>
  <c r="S55" i="3"/>
  <c r="R55" i="3"/>
  <c r="M53" i="27"/>
  <c r="S54" i="3"/>
  <c r="R54" i="3"/>
  <c r="M52" i="27"/>
  <c r="S51" i="3"/>
  <c r="R51" i="3"/>
  <c r="P51" i="3"/>
  <c r="O50" i="27" s="1"/>
  <c r="P50" i="3"/>
  <c r="P49" i="3"/>
  <c r="S46" i="3"/>
  <c r="R46" i="3"/>
  <c r="S45" i="3"/>
  <c r="R45" i="3" s="1"/>
  <c r="R44" i="3"/>
  <c r="R42" i="3"/>
  <c r="R40" i="3"/>
  <c r="P40" i="3"/>
  <c r="S37" i="3"/>
  <c r="R37" i="3" s="1"/>
  <c r="S36" i="3"/>
  <c r="R36" i="3"/>
  <c r="P35" i="3"/>
  <c r="S32" i="3"/>
  <c r="R32" i="3" s="1"/>
  <c r="P32" i="3"/>
  <c r="P30" i="3"/>
  <c r="R29" i="3"/>
  <c r="P29" i="3"/>
  <c r="P28" i="3"/>
  <c r="P27" i="3"/>
  <c r="P26" i="3"/>
  <c r="P25" i="3"/>
  <c r="S24" i="3"/>
  <c r="R24" i="3" s="1"/>
  <c r="P24" i="3"/>
  <c r="S22" i="3"/>
  <c r="R22" i="3" s="1"/>
  <c r="P110" i="3" l="1"/>
  <c r="O16" i="41" s="1"/>
  <c r="P69" i="3"/>
  <c r="O66" i="27" s="1"/>
  <c r="P75" i="3"/>
  <c r="O72" i="27" s="1"/>
  <c r="P96" i="3"/>
  <c r="O23" i="30" s="1"/>
  <c r="P99" i="3"/>
  <c r="O26" i="30" s="1"/>
  <c r="P42" i="3"/>
  <c r="O41" i="27" s="1"/>
  <c r="P79" i="3"/>
  <c r="O75" i="27" s="1"/>
  <c r="P82" i="3"/>
  <c r="O78" i="27" s="1"/>
  <c r="P85" i="3"/>
  <c r="O81" i="27" s="1"/>
  <c r="P89" i="3"/>
  <c r="O223" i="38" s="1"/>
  <c r="P107" i="3"/>
  <c r="O13" i="41" s="1"/>
  <c r="P46" i="3"/>
  <c r="O45" i="27" s="1"/>
  <c r="P102" i="3"/>
  <c r="O28" i="30" s="1"/>
  <c r="S106" i="3"/>
  <c r="S72" i="3"/>
  <c r="P65" i="3"/>
  <c r="O62" i="27" s="1"/>
  <c r="S77" i="3"/>
  <c r="O30" i="27"/>
  <c r="O220" i="38"/>
  <c r="O218" i="38"/>
  <c r="O28" i="27"/>
  <c r="O32" i="27"/>
  <c r="O222" i="38"/>
  <c r="O217" i="38"/>
  <c r="O27" i="27"/>
  <c r="O48" i="27"/>
  <c r="O15" i="20"/>
  <c r="O29" i="27"/>
  <c r="O219" i="38"/>
  <c r="M7" i="37"/>
  <c r="M37" i="27"/>
  <c r="M406" i="38"/>
  <c r="M22" i="27"/>
  <c r="P37" i="3"/>
  <c r="S41" i="3"/>
  <c r="R41" i="3" s="1"/>
  <c r="P41" i="3" s="1"/>
  <c r="M41" i="27"/>
  <c r="M17" i="30"/>
  <c r="P91" i="3"/>
  <c r="O15" i="68"/>
  <c r="O14" i="68" s="1"/>
  <c r="P112" i="3"/>
  <c r="O9" i="23"/>
  <c r="O8" i="23" s="1"/>
  <c r="P116" i="3"/>
  <c r="O26" i="27"/>
  <c r="O216" i="38"/>
  <c r="S31" i="3"/>
  <c r="R31" i="3" s="1"/>
  <c r="M222" i="38"/>
  <c r="M32" i="27"/>
  <c r="P63" i="3"/>
  <c r="O60" i="27" s="1"/>
  <c r="P66" i="3"/>
  <c r="O63" i="27" s="1"/>
  <c r="S67" i="3"/>
  <c r="P73" i="3"/>
  <c r="P80" i="3"/>
  <c r="O76" i="27" s="1"/>
  <c r="P83" i="3"/>
  <c r="O79" i="27" s="1"/>
  <c r="P103" i="3"/>
  <c r="O29" i="30" s="1"/>
  <c r="P109" i="3"/>
  <c r="O15" i="41" s="1"/>
  <c r="J18" i="82"/>
  <c r="P58" i="3"/>
  <c r="O23" i="81" s="1"/>
  <c r="M214" i="38"/>
  <c r="M24" i="27"/>
  <c r="S34" i="3"/>
  <c r="R34" i="3" s="1"/>
  <c r="P34" i="3" s="1"/>
  <c r="M35" i="27"/>
  <c r="M300" i="38"/>
  <c r="S49" i="3"/>
  <c r="R49" i="3" s="1"/>
  <c r="M16" i="20"/>
  <c r="M49" i="27"/>
  <c r="P55" i="3"/>
  <c r="O53" i="27" s="1"/>
  <c r="P59" i="3"/>
  <c r="O57" i="27" s="1"/>
  <c r="P70" i="3"/>
  <c r="O67" i="27" s="1"/>
  <c r="P97" i="3"/>
  <c r="O24" i="30" s="1"/>
  <c r="P100" i="3"/>
  <c r="O27" i="30" s="1"/>
  <c r="O8" i="60"/>
  <c r="O7" i="60" s="1"/>
  <c r="E4" i="60" s="1"/>
  <c r="W4" i="60"/>
  <c r="P54" i="3"/>
  <c r="O52" i="27" s="1"/>
  <c r="S43" i="3"/>
  <c r="R43" i="3" s="1"/>
  <c r="P43" i="3" s="1"/>
  <c r="M43" i="27"/>
  <c r="M19" i="30"/>
  <c r="S28" i="3"/>
  <c r="R28" i="3" s="1"/>
  <c r="M219" i="38"/>
  <c r="M29" i="27"/>
  <c r="P44" i="3"/>
  <c r="S44" i="3"/>
  <c r="M44" i="27"/>
  <c r="M20" i="30"/>
  <c r="P45" i="3"/>
  <c r="P74" i="3"/>
  <c r="O71" i="27" s="1"/>
  <c r="P78" i="3"/>
  <c r="P81" i="3"/>
  <c r="O77" i="27" s="1"/>
  <c r="P84" i="3"/>
  <c r="O80" i="27" s="1"/>
  <c r="P104" i="3"/>
  <c r="O30" i="30" s="1"/>
  <c r="M14" i="20"/>
  <c r="M47" i="27"/>
  <c r="S42" i="3"/>
  <c r="M42" i="27"/>
  <c r="M18" i="30"/>
  <c r="O35" i="27"/>
  <c r="O300" i="38"/>
  <c r="S35" i="3"/>
  <c r="R35" i="3" s="1"/>
  <c r="M36" i="27"/>
  <c r="M215" i="38"/>
  <c r="M25" i="27"/>
  <c r="P36" i="3"/>
  <c r="O36" i="27" s="1"/>
  <c r="M39" i="27"/>
  <c r="M15" i="30"/>
  <c r="M45" i="27"/>
  <c r="M21" i="30"/>
  <c r="S101" i="3"/>
  <c r="O50" i="83"/>
  <c r="R46" i="83"/>
  <c r="R19" i="83" s="1"/>
  <c r="R7" i="83" s="1"/>
  <c r="AL3" i="83"/>
  <c r="O38" i="82"/>
  <c r="AR3" i="82"/>
  <c r="N22" i="27"/>
  <c r="N406" i="38"/>
  <c r="P22" i="3"/>
  <c r="S27" i="3"/>
  <c r="R27" i="3" s="1"/>
  <c r="M218" i="38"/>
  <c r="M28" i="27"/>
  <c r="P48" i="3"/>
  <c r="S48" i="3"/>
  <c r="R48" i="3" s="1"/>
  <c r="M15" i="20"/>
  <c r="M48" i="27"/>
  <c r="M34" i="27"/>
  <c r="M299" i="38"/>
  <c r="O24" i="27"/>
  <c r="O214" i="38"/>
  <c r="S50" i="3"/>
  <c r="R50" i="3" s="1"/>
  <c r="M50" i="27"/>
  <c r="S53" i="3"/>
  <c r="P68" i="3"/>
  <c r="P71" i="3"/>
  <c r="O68" i="27" s="1"/>
  <c r="P95" i="3"/>
  <c r="P98" i="3"/>
  <c r="O25" i="30" s="1"/>
  <c r="P111" i="3"/>
  <c r="O17" i="41" s="1"/>
  <c r="S40" i="3"/>
  <c r="M16" i="30"/>
  <c r="M40" i="27"/>
  <c r="S26" i="3"/>
  <c r="R26" i="3" s="1"/>
  <c r="M27" i="27"/>
  <c r="M217" i="38"/>
  <c r="O16" i="20"/>
  <c r="O49" i="27"/>
  <c r="S29" i="3"/>
  <c r="M220" i="38"/>
  <c r="M30" i="27"/>
  <c r="P64" i="3"/>
  <c r="O61" i="27" s="1"/>
  <c r="O215" i="38"/>
  <c r="O25" i="27"/>
  <c r="S30" i="3"/>
  <c r="R30" i="3" s="1"/>
  <c r="M31" i="27"/>
  <c r="M221" i="38"/>
  <c r="O15" i="30"/>
  <c r="O39" i="27"/>
  <c r="S25" i="3"/>
  <c r="R25" i="3" s="1"/>
  <c r="M216" i="38"/>
  <c r="M26" i="27"/>
  <c r="P31" i="3"/>
  <c r="P23" i="3" s="1"/>
  <c r="P105" i="3"/>
  <c r="O31" i="30" s="1"/>
  <c r="P108" i="3"/>
  <c r="O42" i="81" s="1"/>
  <c r="S61" i="3"/>
  <c r="S57" i="3"/>
  <c r="S94" i="3"/>
  <c r="P56" i="3"/>
  <c r="H8" i="4"/>
  <c r="H7" i="4" s="1"/>
  <c r="J7" i="4"/>
  <c r="O76" i="82"/>
  <c r="O15" i="82"/>
  <c r="J15" i="82" s="1"/>
  <c r="I15" i="82" s="1"/>
  <c r="H15" i="82" s="1"/>
  <c r="R14" i="82" s="1"/>
  <c r="O14" i="82" s="1"/>
  <c r="J14" i="82" s="1"/>
  <c r="I14" i="82" s="1"/>
  <c r="H14" i="82" s="1"/>
  <c r="R13" i="82" s="1"/>
  <c r="S88" i="3"/>
  <c r="F12" i="72"/>
  <c r="G5" i="72"/>
  <c r="S90" i="3"/>
  <c r="S19" i="3"/>
  <c r="R19" i="3" s="1"/>
  <c r="P19" i="3"/>
  <c r="P17" i="3"/>
  <c r="R14" i="3"/>
  <c r="P14" i="3"/>
  <c r="S11" i="3"/>
  <c r="R11" i="3" s="1"/>
  <c r="P9" i="3"/>
  <c r="R8" i="3"/>
  <c r="K7" i="3"/>
  <c r="I7" i="3"/>
  <c r="D2" i="3"/>
  <c r="C2" i="3"/>
  <c r="B2" i="3"/>
  <c r="A2" i="3"/>
  <c r="M56" i="81"/>
  <c r="H56" i="81"/>
  <c r="R55" i="81"/>
  <c r="J7" i="88" s="1"/>
  <c r="L7" i="88" s="1"/>
  <c r="Q55" i="81"/>
  <c r="M7" i="71"/>
  <c r="H55" i="81"/>
  <c r="H7" i="71" s="1"/>
  <c r="R54" i="81"/>
  <c r="Q54" i="81"/>
  <c r="I54" i="81"/>
  <c r="I10" i="32" s="1"/>
  <c r="R53" i="81"/>
  <c r="Q53" i="81"/>
  <c r="M7" i="40"/>
  <c r="I53" i="81"/>
  <c r="I7" i="40" s="1"/>
  <c r="M51" i="81"/>
  <c r="H51" i="81"/>
  <c r="I51" i="81" s="1"/>
  <c r="M50" i="81"/>
  <c r="H50" i="81"/>
  <c r="I50" i="81" s="1"/>
  <c r="M48" i="81"/>
  <c r="H48" i="81"/>
  <c r="R47" i="81" s="1"/>
  <c r="J46" i="81"/>
  <c r="I46" i="81"/>
  <c r="H46" i="81"/>
  <c r="R44" i="81"/>
  <c r="J44" i="81"/>
  <c r="I44" i="81"/>
  <c r="H44" i="81"/>
  <c r="R43" i="81" s="1"/>
  <c r="Q43" i="81" s="1"/>
  <c r="P43" i="81"/>
  <c r="N43" i="81"/>
  <c r="M43" i="81"/>
  <c r="L43" i="81"/>
  <c r="K43" i="81"/>
  <c r="J43" i="81"/>
  <c r="I43" i="81"/>
  <c r="H43" i="81"/>
  <c r="G43" i="81"/>
  <c r="F43" i="81"/>
  <c r="R42" i="81" s="1"/>
  <c r="Q42" i="81" s="1"/>
  <c r="P42" i="81"/>
  <c r="N42" i="81"/>
  <c r="M42" i="81"/>
  <c r="L42" i="81"/>
  <c r="K42" i="81"/>
  <c r="J42" i="81"/>
  <c r="I42" i="81"/>
  <c r="H42" i="81"/>
  <c r="G42" i="81"/>
  <c r="F42" i="81"/>
  <c r="R41" i="81" s="1"/>
  <c r="Q41" i="81" s="1"/>
  <c r="P41" i="81"/>
  <c r="N41" i="81"/>
  <c r="M41" i="81"/>
  <c r="L41" i="81"/>
  <c r="K41" i="81"/>
  <c r="J41" i="81"/>
  <c r="I41" i="81"/>
  <c r="H41" i="81"/>
  <c r="G41" i="81"/>
  <c r="F41" i="81"/>
  <c r="J39" i="81"/>
  <c r="I39" i="81"/>
  <c r="H39" i="81"/>
  <c r="I38" i="81"/>
  <c r="H38" i="81" s="1"/>
  <c r="J35" i="81"/>
  <c r="I35" i="81"/>
  <c r="H35" i="81"/>
  <c r="O32" i="81"/>
  <c r="J32" i="81"/>
  <c r="I32" i="81"/>
  <c r="H32" i="81"/>
  <c r="R31" i="81" s="1"/>
  <c r="J31" i="81"/>
  <c r="I31" i="81"/>
  <c r="H31" i="81"/>
  <c r="O28" i="81"/>
  <c r="J28" i="81"/>
  <c r="I28" i="81"/>
  <c r="H28" i="81"/>
  <c r="J27" i="81"/>
  <c r="I27" i="81"/>
  <c r="H27" i="81"/>
  <c r="J26" i="81"/>
  <c r="I26" i="81"/>
  <c r="H26" i="81"/>
  <c r="J24" i="81"/>
  <c r="I24" i="81"/>
  <c r="H24" i="81"/>
  <c r="R23" i="81" s="1"/>
  <c r="J23" i="81"/>
  <c r="I23" i="81"/>
  <c r="H23" i="81"/>
  <c r="J22" i="81"/>
  <c r="I22" i="81"/>
  <c r="H22" i="81"/>
  <c r="R21" i="81" s="1"/>
  <c r="O21" i="81"/>
  <c r="J21" i="81"/>
  <c r="I21" i="81"/>
  <c r="H21" i="81"/>
  <c r="I20" i="81"/>
  <c r="H20" i="81" s="1"/>
  <c r="J17" i="81"/>
  <c r="I17" i="81"/>
  <c r="H17" i="81"/>
  <c r="R16" i="81" s="1"/>
  <c r="O16" i="81"/>
  <c r="J16" i="81"/>
  <c r="I16" i="81"/>
  <c r="H16" i="81"/>
  <c r="I12" i="81"/>
  <c r="H12" i="81" s="1"/>
  <c r="O31" i="81" l="1"/>
  <c r="E3" i="83"/>
  <c r="O43" i="81"/>
  <c r="H52" i="81"/>
  <c r="K6" i="3"/>
  <c r="O21" i="30"/>
  <c r="O44" i="81"/>
  <c r="I6" i="3"/>
  <c r="P88" i="3"/>
  <c r="O17" i="30"/>
  <c r="O41" i="81"/>
  <c r="O24" i="81"/>
  <c r="R27" i="81"/>
  <c r="O51" i="81"/>
  <c r="R30" i="81"/>
  <c r="S39" i="3"/>
  <c r="R19" i="81" s="1"/>
  <c r="S47" i="3"/>
  <c r="R20" i="81" s="1"/>
  <c r="R22" i="81"/>
  <c r="I40" i="81"/>
  <c r="S93" i="3"/>
  <c r="S86" i="3" s="1"/>
  <c r="R52" i="81"/>
  <c r="R49" i="81" s="1"/>
  <c r="M29" i="38"/>
  <c r="M10" i="27"/>
  <c r="P10" i="3"/>
  <c r="O19" i="27"/>
  <c r="O120" i="38"/>
  <c r="M8" i="27"/>
  <c r="M27" i="38"/>
  <c r="O115" i="38"/>
  <c r="O14" i="27"/>
  <c r="O17" i="27"/>
  <c r="O118" i="38"/>
  <c r="O9" i="27"/>
  <c r="O28" i="38"/>
  <c r="S13" i="3"/>
  <c r="R13" i="3" s="1"/>
  <c r="L14" i="27"/>
  <c r="L115" i="38"/>
  <c r="S23" i="3"/>
  <c r="I55" i="81"/>
  <c r="J55" i="81" s="1"/>
  <c r="J7" i="71" s="1"/>
  <c r="O14" i="41"/>
  <c r="O12" i="41" s="1"/>
  <c r="P106" i="3"/>
  <c r="O22" i="27"/>
  <c r="O406" i="38"/>
  <c r="O301" i="38"/>
  <c r="P90" i="3"/>
  <c r="M120" i="38"/>
  <c r="M19" i="27"/>
  <c r="I48" i="81"/>
  <c r="J48" i="81" s="1"/>
  <c r="J53" i="81"/>
  <c r="J7" i="40" s="1"/>
  <c r="O56" i="27"/>
  <c r="P57" i="3"/>
  <c r="S9" i="3"/>
  <c r="R9" i="3" s="1"/>
  <c r="L10" i="27"/>
  <c r="L29" i="38"/>
  <c r="S10" i="3"/>
  <c r="R10" i="3" s="1"/>
  <c r="M11" i="27"/>
  <c r="M30" i="38"/>
  <c r="S14" i="3"/>
  <c r="M116" i="38"/>
  <c r="M15" i="27"/>
  <c r="M21" i="27"/>
  <c r="M405" i="38"/>
  <c r="M59" i="27"/>
  <c r="P62" i="3"/>
  <c r="M28" i="38"/>
  <c r="M9" i="27"/>
  <c r="O19" i="30"/>
  <c r="O43" i="27"/>
  <c r="O55" i="81"/>
  <c r="P11" i="3"/>
  <c r="P15" i="3"/>
  <c r="P21" i="3"/>
  <c r="O31" i="27"/>
  <c r="O221" i="38"/>
  <c r="O213" i="38" s="1"/>
  <c r="P101" i="3"/>
  <c r="I18" i="82"/>
  <c r="J17" i="82"/>
  <c r="O40" i="27"/>
  <c r="O16" i="30"/>
  <c r="P39" i="3"/>
  <c r="O70" i="27"/>
  <c r="P72" i="3"/>
  <c r="O27" i="81" s="1"/>
  <c r="O40" i="81"/>
  <c r="O53" i="81"/>
  <c r="S15" i="3"/>
  <c r="R15" i="3" s="1"/>
  <c r="M16" i="27"/>
  <c r="M117" i="38"/>
  <c r="S21" i="3"/>
  <c r="R21" i="3" s="1"/>
  <c r="F406" i="38"/>
  <c r="F22" i="27"/>
  <c r="J38" i="82"/>
  <c r="I38" i="82" s="1"/>
  <c r="H38" i="82" s="1"/>
  <c r="R37" i="82" s="1"/>
  <c r="AR4" i="82"/>
  <c r="O37" i="27"/>
  <c r="O7" i="37"/>
  <c r="O6" i="37" s="1"/>
  <c r="F3" i="37" s="1"/>
  <c r="O22" i="30"/>
  <c r="P94" i="3"/>
  <c r="O74" i="27"/>
  <c r="P77" i="3"/>
  <c r="O30" i="81" s="1"/>
  <c r="J30" i="81" s="1"/>
  <c r="I30" i="81" s="1"/>
  <c r="O18" i="30"/>
  <c r="O42" i="27"/>
  <c r="O34" i="27"/>
  <c r="O299" i="38"/>
  <c r="P33" i="3"/>
  <c r="J50" i="81"/>
  <c r="J54" i="81"/>
  <c r="J10" i="32" s="1"/>
  <c r="M10" i="32"/>
  <c r="O56" i="81"/>
  <c r="P8" i="3"/>
  <c r="L13" i="27"/>
  <c r="L114" i="38"/>
  <c r="S17" i="3"/>
  <c r="R17" i="3" s="1"/>
  <c r="M18" i="27"/>
  <c r="M119" i="38"/>
  <c r="S33" i="3"/>
  <c r="R15" i="81" s="1"/>
  <c r="O65" i="27"/>
  <c r="P67" i="3"/>
  <c r="O64" i="27" s="1"/>
  <c r="AL4" i="83"/>
  <c r="O46" i="83"/>
  <c r="O19" i="83" s="1"/>
  <c r="O7" i="83" s="1"/>
  <c r="J33" i="1" s="1"/>
  <c r="O20" i="30"/>
  <c r="O44" i="27"/>
  <c r="M14" i="27"/>
  <c r="M115" i="38"/>
  <c r="L8" i="27"/>
  <c r="L27" i="38"/>
  <c r="S16" i="3"/>
  <c r="R16" i="3" s="1"/>
  <c r="P16" i="3" s="1"/>
  <c r="M118" i="38"/>
  <c r="M17" i="27"/>
  <c r="O50" i="81"/>
  <c r="H40" i="81"/>
  <c r="R39" i="81" s="1"/>
  <c r="O39" i="81" s="1"/>
  <c r="AM4" i="81" s="1"/>
  <c r="AL4" i="81" s="1"/>
  <c r="J51" i="81"/>
  <c r="O54" i="81"/>
  <c r="S8" i="3"/>
  <c r="L9" i="27"/>
  <c r="L28" i="38"/>
  <c r="S18" i="3"/>
  <c r="R18" i="3" s="1"/>
  <c r="P18" i="3" s="1"/>
  <c r="L19" i="27"/>
  <c r="L120" i="38"/>
  <c r="O14" i="20"/>
  <c r="O13" i="20" s="1"/>
  <c r="O47" i="27"/>
  <c r="P47" i="3"/>
  <c r="R26" i="81"/>
  <c r="J40" i="81"/>
  <c r="I25" i="81"/>
  <c r="J25" i="81"/>
  <c r="F5" i="72"/>
  <c r="O54" i="27"/>
  <c r="P53" i="3"/>
  <c r="I45" i="81"/>
  <c r="H45" i="81" s="1"/>
  <c r="O13" i="82"/>
  <c r="J13" i="82" s="1"/>
  <c r="I13" i="82" s="1"/>
  <c r="H13" i="82" s="1"/>
  <c r="R12" i="82" s="1"/>
  <c r="R40" i="81"/>
  <c r="J76" i="82"/>
  <c r="I76" i="82" s="1"/>
  <c r="H76" i="82" s="1"/>
  <c r="R75" i="82" s="1"/>
  <c r="O75" i="82" s="1"/>
  <c r="J75" i="82" s="1"/>
  <c r="I75" i="82" s="1"/>
  <c r="H75" i="82" s="1"/>
  <c r="R74" i="82" s="1"/>
  <c r="H25" i="81"/>
  <c r="R24" i="81" s="1"/>
  <c r="B4" i="81"/>
  <c r="AV3" i="81" s="1"/>
  <c r="AS3" i="81" s="1"/>
  <c r="AL3" i="81"/>
  <c r="AH3" i="81"/>
  <c r="T3" i="81" s="1"/>
  <c r="B3" i="81"/>
  <c r="A2" i="81"/>
  <c r="O65" i="2"/>
  <c r="R64" i="2"/>
  <c r="Q64" i="2"/>
  <c r="M8" i="32"/>
  <c r="R60" i="2"/>
  <c r="Q60" i="2"/>
  <c r="M7" i="32"/>
  <c r="R58" i="2"/>
  <c r="Q58" i="2"/>
  <c r="M10" i="31"/>
  <c r="R57" i="2"/>
  <c r="Q57" i="2"/>
  <c r="M9" i="31"/>
  <c r="R56" i="2"/>
  <c r="Q56" i="2"/>
  <c r="O56" i="2"/>
  <c r="R54" i="2"/>
  <c r="Q54" i="2"/>
  <c r="M11" i="41"/>
  <c r="R53" i="2"/>
  <c r="Q53" i="2"/>
  <c r="M13" i="30"/>
  <c r="R52" i="2"/>
  <c r="Q52" i="2"/>
  <c r="M7" i="42"/>
  <c r="R50" i="2"/>
  <c r="Q50" i="2"/>
  <c r="M8" i="31"/>
  <c r="R49" i="2"/>
  <c r="Q49" i="2"/>
  <c r="M7" i="23"/>
  <c r="R48" i="2"/>
  <c r="Q48" i="2"/>
  <c r="M12" i="20"/>
  <c r="R47" i="2"/>
  <c r="Q47" i="2"/>
  <c r="M14" i="24"/>
  <c r="R45" i="2"/>
  <c r="Q45" i="2"/>
  <c r="M13" i="68"/>
  <c r="R44" i="2"/>
  <c r="Q44" i="2"/>
  <c r="M403" i="38"/>
  <c r="R43" i="2"/>
  <c r="Q43" i="2"/>
  <c r="M402" i="38"/>
  <c r="R42" i="2"/>
  <c r="Q42" i="2"/>
  <c r="M439" i="38"/>
  <c r="R41" i="2"/>
  <c r="Q41" i="2"/>
  <c r="M438" i="38"/>
  <c r="R40" i="2"/>
  <c r="Q40" i="2"/>
  <c r="AH4" i="81" l="1"/>
  <c r="S38" i="3"/>
  <c r="O15" i="81"/>
  <c r="S20" i="3"/>
  <c r="R13" i="81" s="1"/>
  <c r="H30" i="81"/>
  <c r="H29" i="81" s="1"/>
  <c r="R28" i="81" s="1"/>
  <c r="R25" i="81" s="1"/>
  <c r="I29" i="81"/>
  <c r="O54" i="2"/>
  <c r="O11" i="41" s="1"/>
  <c r="O10" i="41" s="1"/>
  <c r="O29" i="81"/>
  <c r="O14" i="30"/>
  <c r="J29" i="81"/>
  <c r="P93" i="3"/>
  <c r="O38" i="81" s="1"/>
  <c r="J38" i="81" s="1"/>
  <c r="E4" i="83"/>
  <c r="S7" i="3"/>
  <c r="R11" i="81" s="1"/>
  <c r="F3" i="81" s="1"/>
  <c r="R38" i="81"/>
  <c r="AJ3" i="81" s="1"/>
  <c r="AI3" i="81" s="1"/>
  <c r="R59" i="2"/>
  <c r="R55" i="2" s="1"/>
  <c r="O298" i="38"/>
  <c r="S12" i="3"/>
  <c r="J15" i="81"/>
  <c r="I15" i="81" s="1"/>
  <c r="H15" i="81" s="1"/>
  <c r="R14" i="81" s="1"/>
  <c r="O14" i="81" s="1"/>
  <c r="J14" i="81" s="1"/>
  <c r="I14" i="81" s="1"/>
  <c r="H14" i="81" s="1"/>
  <c r="O11" i="45"/>
  <c r="O112" i="38"/>
  <c r="O111" i="38" s="1"/>
  <c r="O47" i="2"/>
  <c r="O58" i="2"/>
  <c r="O10" i="31" s="1"/>
  <c r="O21" i="27"/>
  <c r="O405" i="38"/>
  <c r="O404" i="38" s="1"/>
  <c r="P20" i="3"/>
  <c r="O7" i="40"/>
  <c r="O6" i="40" s="1"/>
  <c r="F3" i="40" s="1"/>
  <c r="O52" i="81"/>
  <c r="J52" i="81" s="1"/>
  <c r="O116" i="38"/>
  <c r="O15" i="27"/>
  <c r="O44" i="2"/>
  <c r="O403" i="38" s="1"/>
  <c r="AI4" i="81"/>
  <c r="O11" i="27"/>
  <c r="O30" i="38"/>
  <c r="O16" i="27"/>
  <c r="O117" i="38"/>
  <c r="O7" i="71"/>
  <c r="O6" i="71" s="1"/>
  <c r="F3" i="71" s="1"/>
  <c r="AV4" i="81"/>
  <c r="I7" i="71"/>
  <c r="I52" i="81"/>
  <c r="O52" i="2"/>
  <c r="O7" i="42" s="1"/>
  <c r="O6" i="42" s="1"/>
  <c r="F3" i="42" s="1"/>
  <c r="O18" i="27"/>
  <c r="O119" i="38"/>
  <c r="O37" i="82"/>
  <c r="AQ3" i="82"/>
  <c r="P38" i="3"/>
  <c r="O19" i="81"/>
  <c r="O20" i="81"/>
  <c r="J20" i="81" s="1"/>
  <c r="M114" i="38"/>
  <c r="M13" i="27"/>
  <c r="P13" i="3"/>
  <c r="O41" i="2"/>
  <c r="O438" i="38" s="1"/>
  <c r="O43" i="2"/>
  <c r="O402" i="38" s="1"/>
  <c r="O45" i="2"/>
  <c r="O49" i="2"/>
  <c r="O7" i="23" s="1"/>
  <c r="O6" i="23" s="1"/>
  <c r="F3" i="23" s="1"/>
  <c r="O10" i="27"/>
  <c r="O29" i="38"/>
  <c r="M11" i="45"/>
  <c r="M112" i="38"/>
  <c r="AM3" i="82"/>
  <c r="R46" i="2"/>
  <c r="O57" i="2"/>
  <c r="O9" i="31" s="1"/>
  <c r="O60" i="2"/>
  <c r="O8" i="27"/>
  <c r="O27" i="38"/>
  <c r="P7" i="3"/>
  <c r="O11" i="81" s="1"/>
  <c r="J11" i="81" s="1"/>
  <c r="I11" i="81" s="1"/>
  <c r="H11" i="81" s="1"/>
  <c r="H18" i="82"/>
  <c r="H17" i="82" s="1"/>
  <c r="R16" i="82" s="1"/>
  <c r="O16" i="82" s="1"/>
  <c r="I17" i="82"/>
  <c r="O50" i="2"/>
  <c r="O8" i="31" s="1"/>
  <c r="O64" i="2"/>
  <c r="O8" i="32" s="1"/>
  <c r="O48" i="2"/>
  <c r="O12" i="20" s="1"/>
  <c r="O11" i="20" s="1"/>
  <c r="O42" i="2"/>
  <c r="O439" i="38" s="1"/>
  <c r="O53" i="2"/>
  <c r="O13" i="30" s="1"/>
  <c r="AK3" i="81"/>
  <c r="R18" i="81"/>
  <c r="O10" i="32"/>
  <c r="O9" i="32" s="1"/>
  <c r="AS4" i="81"/>
  <c r="O59" i="27"/>
  <c r="P61" i="3"/>
  <c r="O26" i="81" s="1"/>
  <c r="O25" i="81" s="1"/>
  <c r="P52" i="3"/>
  <c r="O22" i="81"/>
  <c r="AM4" i="82"/>
  <c r="O12" i="82"/>
  <c r="J12" i="82" s="1"/>
  <c r="I12" i="82" s="1"/>
  <c r="H12" i="82" s="1"/>
  <c r="R11" i="82" s="1"/>
  <c r="H36" i="81"/>
  <c r="N297" i="38"/>
  <c r="M297" i="38"/>
  <c r="F297" i="38"/>
  <c r="R39" i="2"/>
  <c r="Q39" i="2"/>
  <c r="N296" i="38"/>
  <c r="M296" i="38"/>
  <c r="F296" i="38"/>
  <c r="R38" i="2"/>
  <c r="Q38" i="2"/>
  <c r="M25" i="38"/>
  <c r="R37" i="2"/>
  <c r="Q37" i="2"/>
  <c r="M24" i="38"/>
  <c r="R36" i="2"/>
  <c r="Q36" i="2"/>
  <c r="M23" i="38"/>
  <c r="R37" i="81" l="1"/>
  <c r="O37" i="81" s="1"/>
  <c r="J37" i="81" s="1"/>
  <c r="I37" i="81" s="1"/>
  <c r="H37" i="81" s="1"/>
  <c r="R36" i="81" s="1"/>
  <c r="O36" i="81" s="1"/>
  <c r="J36" i="81" s="1"/>
  <c r="I36" i="81" s="1"/>
  <c r="I34" i="81" s="1"/>
  <c r="O13" i="81"/>
  <c r="J13" i="81" s="1"/>
  <c r="I13" i="81" s="1"/>
  <c r="H13" i="81" s="1"/>
  <c r="S6" i="3"/>
  <c r="O40" i="2"/>
  <c r="O297" i="38" s="1"/>
  <c r="O38" i="2"/>
  <c r="O25" i="38" s="1"/>
  <c r="O13" i="68"/>
  <c r="O12" i="68" s="1"/>
  <c r="O437" i="38"/>
  <c r="O26" i="38"/>
  <c r="O14" i="24"/>
  <c r="O13" i="24" s="1"/>
  <c r="O46" i="2"/>
  <c r="O39" i="2"/>
  <c r="O296" i="38" s="1"/>
  <c r="J37" i="82"/>
  <c r="I37" i="82" s="1"/>
  <c r="H37" i="82" s="1"/>
  <c r="R36" i="82" s="1"/>
  <c r="AQ4" i="82"/>
  <c r="O37" i="2"/>
  <c r="O24" i="38" s="1"/>
  <c r="O36" i="2"/>
  <c r="O23" i="38" s="1"/>
  <c r="AK4" i="81"/>
  <c r="J19" i="81"/>
  <c r="I19" i="81" s="1"/>
  <c r="H19" i="81" s="1"/>
  <c r="H18" i="81" s="1"/>
  <c r="R17" i="81" s="1"/>
  <c r="O17" i="81" s="1"/>
  <c r="AJ4" i="81"/>
  <c r="O18" i="81"/>
  <c r="O49" i="81"/>
  <c r="O13" i="27"/>
  <c r="O114" i="38"/>
  <c r="O113" i="38" s="1"/>
  <c r="P12" i="3"/>
  <c r="P6" i="3" s="1"/>
  <c r="I4" i="81"/>
  <c r="O7" i="32"/>
  <c r="O6" i="32" s="1"/>
  <c r="O59" i="2"/>
  <c r="O55" i="2" s="1"/>
  <c r="F4" i="81"/>
  <c r="L4" i="81"/>
  <c r="O11" i="82"/>
  <c r="J11" i="82" s="1"/>
  <c r="I11" i="82" s="1"/>
  <c r="H11" i="82" s="1"/>
  <c r="R10" i="82" s="1"/>
  <c r="R12" i="81"/>
  <c r="H10" i="81"/>
  <c r="R35" i="81"/>
  <c r="H34" i="81"/>
  <c r="J74" i="82"/>
  <c r="I74" i="82" s="1"/>
  <c r="H74" i="82" s="1"/>
  <c r="R73" i="82" s="1"/>
  <c r="O73" i="82" s="1"/>
  <c r="R35" i="2"/>
  <c r="Q35" i="2"/>
  <c r="M22" i="38"/>
  <c r="R34" i="2"/>
  <c r="Q34" i="2"/>
  <c r="M21" i="38"/>
  <c r="O30" i="2"/>
  <c r="R29" i="2"/>
  <c r="AJ3" i="2" s="1"/>
  <c r="Q29" i="2"/>
  <c r="M12" i="30"/>
  <c r="R28" i="2"/>
  <c r="Q28" i="2"/>
  <c r="M401" i="38"/>
  <c r="R27" i="2"/>
  <c r="Q27" i="2"/>
  <c r="M400" i="38"/>
  <c r="R26" i="2"/>
  <c r="Q26" i="2"/>
  <c r="M399" i="38"/>
  <c r="R25" i="2"/>
  <c r="Q25" i="2"/>
  <c r="O25" i="2"/>
  <c r="O398" i="38" s="1"/>
  <c r="R23" i="2"/>
  <c r="Q23" i="2"/>
  <c r="M350" i="38"/>
  <c r="R22" i="2"/>
  <c r="Q22" i="2"/>
  <c r="M349" i="38"/>
  <c r="R21" i="2"/>
  <c r="I3" i="2" s="1"/>
  <c r="Q21" i="2"/>
  <c r="N295" i="38"/>
  <c r="M295" i="38"/>
  <c r="R20" i="2"/>
  <c r="Q20" i="2"/>
  <c r="M212" i="38"/>
  <c r="R17" i="2"/>
  <c r="R68" i="2" s="1"/>
  <c r="Q17" i="2"/>
  <c r="M7" i="31"/>
  <c r="R16" i="2"/>
  <c r="AF3" i="2" s="1"/>
  <c r="Q16" i="2"/>
  <c r="L10" i="45"/>
  <c r="K11" i="72"/>
  <c r="R12" i="2"/>
  <c r="M10" i="2"/>
  <c r="K9" i="72" s="1"/>
  <c r="R9" i="2"/>
  <c r="J9" i="2"/>
  <c r="H9" i="2"/>
  <c r="AS4" i="2"/>
  <c r="AR4" i="2"/>
  <c r="AQ4" i="2"/>
  <c r="AM4" i="2"/>
  <c r="AL4" i="2"/>
  <c r="AK4" i="2" s="1"/>
  <c r="M4" i="2"/>
  <c r="G4" i="2"/>
  <c r="B4" i="2"/>
  <c r="AT3" i="2" s="1"/>
  <c r="AS3" i="2"/>
  <c r="AR3" i="2" s="1"/>
  <c r="AQ3" i="2" s="1"/>
  <c r="AK3" i="2"/>
  <c r="AH3" i="2"/>
  <c r="S3" i="2"/>
  <c r="M3" i="2"/>
  <c r="B3" i="2"/>
  <c r="A2" i="2"/>
  <c r="R114" i="16"/>
  <c r="Q114" i="16"/>
  <c r="N7" i="26"/>
  <c r="M7" i="26"/>
  <c r="R113" i="16"/>
  <c r="Q113" i="16"/>
  <c r="M396" i="38"/>
  <c r="R112" i="16"/>
  <c r="Q112" i="16"/>
  <c r="M10" i="44"/>
  <c r="R111" i="16"/>
  <c r="Q111" i="16"/>
  <c r="R107" i="16"/>
  <c r="Q107" i="16"/>
  <c r="M293" i="38"/>
  <c r="R106" i="16"/>
  <c r="Q106" i="16"/>
  <c r="M11" i="68"/>
  <c r="R105" i="16"/>
  <c r="Q105" i="16"/>
  <c r="M10" i="68"/>
  <c r="R103" i="16"/>
  <c r="Q103" i="16"/>
  <c r="M9" i="68"/>
  <c r="R102" i="16"/>
  <c r="Q102" i="16"/>
  <c r="M8" i="68"/>
  <c r="R100" i="16"/>
  <c r="Q100" i="16"/>
  <c r="M7" i="68"/>
  <c r="R99" i="16"/>
  <c r="Q99" i="16"/>
  <c r="M110" i="38"/>
  <c r="R98" i="16"/>
  <c r="Q98" i="16"/>
  <c r="M109" i="38"/>
  <c r="R97" i="16"/>
  <c r="Q97" i="16"/>
  <c r="M108" i="38"/>
  <c r="R96" i="16"/>
  <c r="Q96" i="16"/>
  <c r="M9" i="41"/>
  <c r="R95" i="16"/>
  <c r="Q95" i="16"/>
  <c r="M12" i="24"/>
  <c r="R94" i="16"/>
  <c r="Q94" i="16"/>
  <c r="M11" i="24"/>
  <c r="R93" i="16"/>
  <c r="Q93" i="16"/>
  <c r="M10" i="24"/>
  <c r="R92" i="16"/>
  <c r="Q92" i="16"/>
  <c r="M9" i="24"/>
  <c r="M347" i="38"/>
  <c r="R90" i="16"/>
  <c r="Q90" i="16"/>
  <c r="L292" i="38"/>
  <c r="R89" i="16"/>
  <c r="Q89" i="16"/>
  <c r="M107" i="38"/>
  <c r="R88" i="16"/>
  <c r="Q88" i="16"/>
  <c r="M106" i="38"/>
  <c r="R87" i="16"/>
  <c r="Q87" i="16"/>
  <c r="M105" i="38"/>
  <c r="R86" i="16"/>
  <c r="Q86" i="16"/>
  <c r="M104" i="38"/>
  <c r="R85" i="16"/>
  <c r="Q85" i="16"/>
  <c r="M103" i="38"/>
  <c r="R81" i="16"/>
  <c r="Q81" i="16"/>
  <c r="M10" i="30"/>
  <c r="R80" i="16"/>
  <c r="Q80" i="16"/>
  <c r="M8" i="41"/>
  <c r="R79" i="16"/>
  <c r="Q79" i="16"/>
  <c r="M10" i="20"/>
  <c r="R77" i="16"/>
  <c r="Q77" i="16"/>
  <c r="M210" i="38"/>
  <c r="R76" i="16"/>
  <c r="Q76" i="16"/>
  <c r="M209" i="38"/>
  <c r="R75" i="16"/>
  <c r="Q75" i="16"/>
  <c r="M208" i="38"/>
  <c r="R74" i="16"/>
  <c r="Q74" i="16"/>
  <c r="M207" i="38"/>
  <c r="R73" i="16"/>
  <c r="Q73" i="16"/>
  <c r="M206" i="38"/>
  <c r="R72" i="16"/>
  <c r="Q72" i="16"/>
  <c r="M205" i="38"/>
  <c r="R70" i="16"/>
  <c r="Q70" i="16"/>
  <c r="M204" i="38"/>
  <c r="R69" i="16"/>
  <c r="Q69" i="16"/>
  <c r="M203" i="38"/>
  <c r="R66" i="16"/>
  <c r="Q66" i="16"/>
  <c r="M19" i="38"/>
  <c r="R65" i="16"/>
  <c r="Q65" i="16"/>
  <c r="M18" i="38"/>
  <c r="R64" i="16"/>
  <c r="Q64" i="16"/>
  <c r="M17" i="38"/>
  <c r="J16" i="38"/>
  <c r="H16" i="38"/>
  <c r="R62" i="16"/>
  <c r="Q62" i="16"/>
  <c r="M15" i="38"/>
  <c r="R58" i="16"/>
  <c r="Q58" i="16"/>
  <c r="M8" i="45"/>
  <c r="R57" i="16"/>
  <c r="Q57" i="16"/>
  <c r="M436" i="38"/>
  <c r="R56" i="16"/>
  <c r="Q56" i="16"/>
  <c r="R54" i="16"/>
  <c r="Q54" i="16"/>
  <c r="M7" i="45"/>
  <c r="R53" i="16"/>
  <c r="Q53" i="16"/>
  <c r="M435" i="38"/>
  <c r="R52" i="16"/>
  <c r="Q52" i="16"/>
  <c r="M434" i="38"/>
  <c r="R49" i="16"/>
  <c r="Q49" i="16"/>
  <c r="M9" i="53"/>
  <c r="R48" i="16"/>
  <c r="Q48" i="16"/>
  <c r="M8" i="53"/>
  <c r="R47" i="16"/>
  <c r="Q47" i="16"/>
  <c r="M7" i="53"/>
  <c r="R45" i="16"/>
  <c r="Q45" i="16"/>
  <c r="M8" i="44"/>
  <c r="R44" i="16"/>
  <c r="Q44" i="16"/>
  <c r="M7" i="44"/>
  <c r="R43" i="16"/>
  <c r="Q43" i="16"/>
  <c r="M8" i="24"/>
  <c r="R42" i="16"/>
  <c r="Q42" i="16"/>
  <c r="M7" i="24"/>
  <c r="R39" i="16"/>
  <c r="Q39" i="16"/>
  <c r="M7" i="41"/>
  <c r="R38" i="16"/>
  <c r="Q38" i="16"/>
  <c r="M9" i="20"/>
  <c r="R37" i="16"/>
  <c r="Q37" i="16"/>
  <c r="M8" i="20"/>
  <c r="R36" i="16"/>
  <c r="Q36" i="16"/>
  <c r="M7" i="20"/>
  <c r="R35" i="16"/>
  <c r="Q35" i="16"/>
  <c r="M9" i="30"/>
  <c r="R34" i="16"/>
  <c r="Q34" i="16"/>
  <c r="M8" i="30"/>
  <c r="R33" i="16"/>
  <c r="Q33" i="16"/>
  <c r="M7" i="30"/>
  <c r="R31" i="16"/>
  <c r="Q31" i="16"/>
  <c r="M291" i="38"/>
  <c r="R30" i="16"/>
  <c r="Q30" i="16"/>
  <c r="M290" i="38"/>
  <c r="R28" i="16"/>
  <c r="Q28" i="16"/>
  <c r="M202" i="38"/>
  <c r="R27" i="16"/>
  <c r="Q27" i="16"/>
  <c r="M201" i="38"/>
  <c r="R26" i="16"/>
  <c r="Q26" i="16"/>
  <c r="M200" i="38"/>
  <c r="R24" i="16"/>
  <c r="Q24" i="16"/>
  <c r="N199" i="38"/>
  <c r="R23" i="16"/>
  <c r="Q23" i="16"/>
  <c r="N198" i="38"/>
  <c r="R20" i="16"/>
  <c r="Q20" i="16"/>
  <c r="M346" i="38"/>
  <c r="R19" i="16"/>
  <c r="Q19" i="16"/>
  <c r="M345" i="38"/>
  <c r="R18" i="16"/>
  <c r="Q18" i="16"/>
  <c r="M344" i="38"/>
  <c r="R17" i="16"/>
  <c r="Q17" i="16"/>
  <c r="M343" i="38"/>
  <c r="R15" i="16"/>
  <c r="Q15" i="16"/>
  <c r="M13" i="38"/>
  <c r="R14" i="16"/>
  <c r="Q14" i="16"/>
  <c r="M12" i="38"/>
  <c r="R13" i="16"/>
  <c r="Q13" i="16"/>
  <c r="M11" i="38"/>
  <c r="R12" i="16"/>
  <c r="Q12" i="16"/>
  <c r="M10" i="38"/>
  <c r="R11" i="16"/>
  <c r="Q11" i="16"/>
  <c r="M9" i="38"/>
  <c r="R10" i="16"/>
  <c r="Q10" i="16"/>
  <c r="M8" i="38"/>
  <c r="R118" i="16" l="1"/>
  <c r="J5" i="88"/>
  <c r="J6" i="88"/>
  <c r="L6" i="88" s="1"/>
  <c r="O48" i="16"/>
  <c r="O8" i="53" s="1"/>
  <c r="O11" i="16"/>
  <c r="O9" i="38" s="1"/>
  <c r="O19" i="16"/>
  <c r="O345" i="38" s="1"/>
  <c r="J8" i="2"/>
  <c r="O113" i="16"/>
  <c r="O396" i="38" s="1"/>
  <c r="O395" i="38" s="1"/>
  <c r="O10" i="16"/>
  <c r="O8" i="38" s="1"/>
  <c r="O47" i="16"/>
  <c r="O7" i="53" s="1"/>
  <c r="O20" i="16"/>
  <c r="O346" i="38" s="1"/>
  <c r="J34" i="81"/>
  <c r="O39" i="16"/>
  <c r="O7" i="41" s="1"/>
  <c r="O80" i="16"/>
  <c r="O8" i="41" s="1"/>
  <c r="O81" i="16"/>
  <c r="O10" i="30" s="1"/>
  <c r="O57" i="16"/>
  <c r="O436" i="38" s="1"/>
  <c r="O64" i="16"/>
  <c r="O17" i="38" s="1"/>
  <c r="H8" i="2"/>
  <c r="H7" i="2" s="1"/>
  <c r="AT4" i="2" s="1"/>
  <c r="O13" i="16"/>
  <c r="O11" i="38" s="1"/>
  <c r="O17" i="16"/>
  <c r="O343" i="38" s="1"/>
  <c r="O40" i="16"/>
  <c r="O58" i="16"/>
  <c r="O8" i="45" s="1"/>
  <c r="O62" i="16"/>
  <c r="O15" i="38" s="1"/>
  <c r="O66" i="16"/>
  <c r="O19" i="38" s="1"/>
  <c r="O14" i="2"/>
  <c r="O28" i="2"/>
  <c r="O401" i="38" s="1"/>
  <c r="O114" i="16"/>
  <c r="O7" i="26" s="1"/>
  <c r="O6" i="26" s="1"/>
  <c r="F3" i="26" s="1"/>
  <c r="M198" i="38"/>
  <c r="R15" i="2"/>
  <c r="R8" i="2" s="1"/>
  <c r="J18" i="81"/>
  <c r="I18" i="81" s="1"/>
  <c r="H9" i="81"/>
  <c r="O33" i="16"/>
  <c r="O7" i="30" s="1"/>
  <c r="R16" i="16"/>
  <c r="R63" i="16"/>
  <c r="R61" i="16" s="1"/>
  <c r="R29" i="16"/>
  <c r="R68" i="16"/>
  <c r="R71" i="16"/>
  <c r="R101" i="16"/>
  <c r="AP3" i="2"/>
  <c r="AM3" i="2" s="1"/>
  <c r="AL3" i="2" s="1"/>
  <c r="F3" i="2"/>
  <c r="R78" i="16"/>
  <c r="H3" i="2"/>
  <c r="G3" i="2" s="1"/>
  <c r="L3" i="2"/>
  <c r="O106" i="16"/>
  <c r="O11" i="68" s="1"/>
  <c r="O105" i="16"/>
  <c r="O17" i="2"/>
  <c r="O68" i="2" s="1"/>
  <c r="O34" i="16"/>
  <c r="O45" i="16"/>
  <c r="O8" i="44" s="1"/>
  <c r="O49" i="16"/>
  <c r="O87" i="16"/>
  <c r="O105" i="38" s="1"/>
  <c r="M292" i="38"/>
  <c r="O93" i="16"/>
  <c r="O10" i="24" s="1"/>
  <c r="O96" i="16"/>
  <c r="O9" i="41" s="1"/>
  <c r="O111" i="16"/>
  <c r="O9" i="44" s="1"/>
  <c r="O21" i="2"/>
  <c r="O75" i="16"/>
  <c r="O208" i="38" s="1"/>
  <c r="O99" i="16"/>
  <c r="O110" i="38" s="1"/>
  <c r="O13" i="2"/>
  <c r="O42" i="16"/>
  <c r="O7" i="24" s="1"/>
  <c r="M199" i="38"/>
  <c r="O24" i="16"/>
  <c r="O199" i="38" s="1"/>
  <c r="O38" i="16"/>
  <c r="O9" i="20" s="1"/>
  <c r="R104" i="16"/>
  <c r="O26" i="2"/>
  <c r="O399" i="38" s="1"/>
  <c r="O29" i="2"/>
  <c r="R33" i="2"/>
  <c r="R32" i="2" s="1"/>
  <c r="R31" i="2" s="1"/>
  <c r="O36" i="82"/>
  <c r="R35" i="82"/>
  <c r="AP3" i="82"/>
  <c r="O37" i="16"/>
  <c r="O8" i="20" s="1"/>
  <c r="O102" i="16"/>
  <c r="O18" i="16"/>
  <c r="O12" i="16"/>
  <c r="O10" i="38" s="1"/>
  <c r="O70" i="16"/>
  <c r="O204" i="38" s="1"/>
  <c r="O73" i="16"/>
  <c r="O206" i="38" s="1"/>
  <c r="O76" i="16"/>
  <c r="O209" i="38" s="1"/>
  <c r="O79" i="16"/>
  <c r="O97" i="16"/>
  <c r="O108" i="38" s="1"/>
  <c r="O100" i="16"/>
  <c r="O7" i="68" s="1"/>
  <c r="O103" i="16"/>
  <c r="O9" i="68" s="1"/>
  <c r="O112" i="16"/>
  <c r="O10" i="44" s="1"/>
  <c r="O53" i="16"/>
  <c r="O435" i="38" s="1"/>
  <c r="O15" i="16"/>
  <c r="O13" i="38" s="1"/>
  <c r="O54" i="16"/>
  <c r="O7" i="45" s="1"/>
  <c r="O6" i="45" s="1"/>
  <c r="O50" i="16"/>
  <c r="O35" i="16"/>
  <c r="O9" i="30" s="1"/>
  <c r="O43" i="16"/>
  <c r="O8" i="24" s="1"/>
  <c r="O85" i="16"/>
  <c r="O103" i="38" s="1"/>
  <c r="O88" i="16"/>
  <c r="O106" i="38" s="1"/>
  <c r="O91" i="16"/>
  <c r="O347" i="38" s="1"/>
  <c r="O94" i="16"/>
  <c r="O11" i="24" s="1"/>
  <c r="O107" i="16"/>
  <c r="O293" i="38" s="1"/>
  <c r="O10" i="2"/>
  <c r="O18" i="2"/>
  <c r="AH4" i="2" s="1"/>
  <c r="O34" i="2"/>
  <c r="O31" i="16"/>
  <c r="O291" i="38" s="1"/>
  <c r="R32" i="16"/>
  <c r="O55" i="16"/>
  <c r="M7" i="54"/>
  <c r="H14" i="38"/>
  <c r="O11" i="2"/>
  <c r="O23" i="2"/>
  <c r="O350" i="38" s="1"/>
  <c r="O27" i="2"/>
  <c r="O400" i="38" s="1"/>
  <c r="O30" i="16"/>
  <c r="O72" i="16"/>
  <c r="O110" i="16"/>
  <c r="M9" i="44"/>
  <c r="O23" i="16"/>
  <c r="O36" i="16"/>
  <c r="O7" i="20" s="1"/>
  <c r="O52" i="16"/>
  <c r="O56" i="16"/>
  <c r="O7" i="54" s="1"/>
  <c r="O6" i="54" s="1"/>
  <c r="O74" i="16"/>
  <c r="O207" i="38" s="1"/>
  <c r="O77" i="16"/>
  <c r="O210" i="38" s="1"/>
  <c r="O98" i="16"/>
  <c r="O109" i="38" s="1"/>
  <c r="O108" i="16"/>
  <c r="J3" i="2"/>
  <c r="O26" i="16"/>
  <c r="O44" i="16"/>
  <c r="O7" i="44" s="1"/>
  <c r="O86" i="16"/>
  <c r="O104" i="38" s="1"/>
  <c r="O89" i="16"/>
  <c r="O107" i="38" s="1"/>
  <c r="O92" i="16"/>
  <c r="O9" i="24" s="1"/>
  <c r="O95" i="16"/>
  <c r="O12" i="24" s="1"/>
  <c r="O20" i="2"/>
  <c r="O35" i="2"/>
  <c r="O22" i="38" s="1"/>
  <c r="O27" i="16"/>
  <c r="O201" i="38" s="1"/>
  <c r="O69" i="16"/>
  <c r="O28" i="16"/>
  <c r="O202" i="38" s="1"/>
  <c r="R25" i="16"/>
  <c r="O65" i="16"/>
  <c r="O24" i="2"/>
  <c r="M398" i="38"/>
  <c r="R109" i="16"/>
  <c r="R22" i="16"/>
  <c r="R51" i="16"/>
  <c r="R46" i="16"/>
  <c r="R41" i="16" s="1"/>
  <c r="R19" i="2"/>
  <c r="O14" i="16"/>
  <c r="O12" i="38" s="1"/>
  <c r="O35" i="81"/>
  <c r="R34" i="81"/>
  <c r="O10" i="82"/>
  <c r="R9" i="82"/>
  <c r="J73" i="82"/>
  <c r="I73" i="82" s="1"/>
  <c r="H73" i="82" s="1"/>
  <c r="R72" i="82" s="1"/>
  <c r="O12" i="81"/>
  <c r="R10" i="81"/>
  <c r="R9" i="81" s="1"/>
  <c r="R9" i="16"/>
  <c r="J9" i="16"/>
  <c r="J8" i="16" s="1"/>
  <c r="H9" i="16"/>
  <c r="H8" i="16" s="1"/>
  <c r="B4" i="16"/>
  <c r="AY3" i="16"/>
  <c r="AX3" i="16" s="1"/>
  <c r="AU3" i="16"/>
  <c r="AT3" i="16"/>
  <c r="AM3" i="16"/>
  <c r="AL3" i="16"/>
  <c r="AK3" i="16"/>
  <c r="AJ3" i="16"/>
  <c r="AH3" i="16"/>
  <c r="AF3" i="16"/>
  <c r="O3" i="16" s="1"/>
  <c r="M3" i="16"/>
  <c r="L3" i="16" s="1"/>
  <c r="J3" i="16"/>
  <c r="I3" i="16"/>
  <c r="H3" i="16"/>
  <c r="G3" i="16"/>
  <c r="F3" i="16"/>
  <c r="B3" i="16"/>
  <c r="A2" i="16"/>
  <c r="H274" i="67"/>
  <c r="G274" i="67"/>
  <c r="F274" i="67"/>
  <c r="E274" i="67"/>
  <c r="H273" i="67"/>
  <c r="G273" i="67" s="1"/>
  <c r="F273" i="67"/>
  <c r="E273" i="67" s="1"/>
  <c r="H272" i="67"/>
  <c r="G272" i="67"/>
  <c r="F272" i="67"/>
  <c r="E272" i="67"/>
  <c r="H271" i="67"/>
  <c r="G271" i="67"/>
  <c r="F271" i="67"/>
  <c r="E271" i="67"/>
  <c r="H270" i="67"/>
  <c r="H269" i="67"/>
  <c r="G269" i="67"/>
  <c r="F269" i="67"/>
  <c r="E269" i="67" s="1"/>
  <c r="H268" i="67"/>
  <c r="G268" i="67"/>
  <c r="F268" i="67"/>
  <c r="E268" i="67" s="1"/>
  <c r="H267" i="67"/>
  <c r="G267" i="67" s="1"/>
  <c r="F267" i="67"/>
  <c r="E267" i="67" s="1"/>
  <c r="H266" i="67"/>
  <c r="G266" i="67"/>
  <c r="F266" i="67"/>
  <c r="E266" i="67" s="1"/>
  <c r="H265" i="67"/>
  <c r="G265" i="67" s="1"/>
  <c r="F265" i="67"/>
  <c r="E265" i="67" s="1"/>
  <c r="H264" i="67"/>
  <c r="G264" i="67"/>
  <c r="F264" i="67"/>
  <c r="E264" i="67" s="1"/>
  <c r="H263" i="67"/>
  <c r="G263" i="67"/>
  <c r="F263" i="67"/>
  <c r="E263" i="67" s="1"/>
  <c r="H262" i="67"/>
  <c r="G262" i="67"/>
  <c r="F262" i="67"/>
  <c r="E262" i="67" s="1"/>
  <c r="H261" i="67"/>
  <c r="G261" i="67"/>
  <c r="F261" i="67"/>
  <c r="E261" i="67"/>
  <c r="H260" i="67"/>
  <c r="G260" i="67"/>
  <c r="F260" i="67"/>
  <c r="E260" i="67" s="1"/>
  <c r="H259" i="67"/>
  <c r="G259" i="67"/>
  <c r="F259" i="67"/>
  <c r="E259" i="67" s="1"/>
  <c r="H258" i="67"/>
  <c r="G258" i="67"/>
  <c r="F258" i="67"/>
  <c r="E258" i="67" s="1"/>
  <c r="H257" i="67"/>
  <c r="G257" i="67"/>
  <c r="F257" i="67" s="1"/>
  <c r="E257" i="67" s="1"/>
  <c r="I257" i="67" s="1"/>
  <c r="H256" i="67"/>
  <c r="G256" i="67"/>
  <c r="F256" i="67"/>
  <c r="E256" i="67"/>
  <c r="H255" i="67"/>
  <c r="G255" i="67"/>
  <c r="F255" i="67"/>
  <c r="E255" i="67"/>
  <c r="H254" i="67"/>
  <c r="G254" i="67"/>
  <c r="F254" i="67"/>
  <c r="E254" i="67"/>
  <c r="H253" i="67"/>
  <c r="G253" i="67"/>
  <c r="F253" i="67"/>
  <c r="E253" i="67" s="1"/>
  <c r="H252" i="67"/>
  <c r="G252" i="67"/>
  <c r="F252" i="67"/>
  <c r="E252" i="67"/>
  <c r="H251" i="67"/>
  <c r="G251" i="67"/>
  <c r="F251" i="67"/>
  <c r="E251" i="67"/>
  <c r="H250" i="67"/>
  <c r="G250" i="67" s="1"/>
  <c r="F250" i="67"/>
  <c r="E250" i="67" s="1"/>
  <c r="H249" i="67"/>
  <c r="G249" i="67" s="1"/>
  <c r="F249" i="67"/>
  <c r="E249" i="67"/>
  <c r="H248" i="67"/>
  <c r="G248" i="67"/>
  <c r="F248" i="67"/>
  <c r="E248" i="67" s="1"/>
  <c r="H247" i="67"/>
  <c r="G247" i="67"/>
  <c r="F247" i="67"/>
  <c r="E247" i="67" s="1"/>
  <c r="H246" i="67"/>
  <c r="G246" i="67"/>
  <c r="F246" i="67"/>
  <c r="E246" i="67"/>
  <c r="H245" i="67"/>
  <c r="G245" i="67" s="1"/>
  <c r="F245" i="67"/>
  <c r="E245" i="67" s="1"/>
  <c r="H244" i="67"/>
  <c r="G244" i="67"/>
  <c r="F244" i="67"/>
  <c r="E244" i="67" s="1"/>
  <c r="H243" i="67"/>
  <c r="G243" i="67"/>
  <c r="F243" i="67"/>
  <c r="E243" i="67" s="1"/>
  <c r="H242" i="67"/>
  <c r="G242" i="67"/>
  <c r="F242" i="67"/>
  <c r="E242" i="67"/>
  <c r="H241" i="67"/>
  <c r="G241" i="67"/>
  <c r="F241" i="67"/>
  <c r="E241" i="67"/>
  <c r="H240" i="67"/>
  <c r="G240" i="67" s="1"/>
  <c r="F240" i="67"/>
  <c r="E240" i="67"/>
  <c r="H239" i="67"/>
  <c r="G239" i="67" s="1"/>
  <c r="F239" i="67"/>
  <c r="E239" i="67" s="1"/>
  <c r="H238" i="67"/>
  <c r="G238" i="67"/>
  <c r="F238" i="67"/>
  <c r="E238" i="67"/>
  <c r="H237" i="67"/>
  <c r="G237" i="67"/>
  <c r="F237" i="67"/>
  <c r="E237" i="67"/>
  <c r="H236" i="67"/>
  <c r="G236" i="67"/>
  <c r="F236" i="67"/>
  <c r="E236" i="67"/>
  <c r="H235" i="67"/>
  <c r="G235" i="67" s="1"/>
  <c r="F235" i="67"/>
  <c r="E235" i="67" s="1"/>
  <c r="H234" i="67"/>
  <c r="G234" i="67"/>
  <c r="F234" i="67"/>
  <c r="E234" i="67"/>
  <c r="H233" i="67"/>
  <c r="G233" i="67" s="1"/>
  <c r="F233" i="67"/>
  <c r="E233" i="67"/>
  <c r="H232" i="67"/>
  <c r="G232" i="67"/>
  <c r="F232" i="67"/>
  <c r="E232" i="67"/>
  <c r="H231" i="67"/>
  <c r="G231" i="67"/>
  <c r="F231" i="67"/>
  <c r="E231" i="67"/>
  <c r="H230" i="67"/>
  <c r="F230" i="67"/>
  <c r="AM19" i="87" s="1"/>
  <c r="E230" i="67"/>
  <c r="H229" i="67"/>
  <c r="G229" i="67"/>
  <c r="F229" i="67"/>
  <c r="E229" i="67" s="1"/>
  <c r="H228" i="67"/>
  <c r="G228" i="67"/>
  <c r="F228" i="67"/>
  <c r="E228" i="67"/>
  <c r="H227" i="67"/>
  <c r="F227" i="67"/>
  <c r="H226" i="67"/>
  <c r="G226" i="67" s="1"/>
  <c r="F226" i="67"/>
  <c r="E226" i="67"/>
  <c r="H225" i="67"/>
  <c r="G225" i="67" s="1"/>
  <c r="F225" i="67"/>
  <c r="E225" i="67"/>
  <c r="H224" i="67"/>
  <c r="G224" i="67"/>
  <c r="F224" i="67"/>
  <c r="E224" i="67"/>
  <c r="H223" i="67"/>
  <c r="F223" i="67"/>
  <c r="H222" i="67"/>
  <c r="G222" i="67"/>
  <c r="F222" i="67"/>
  <c r="E222" i="67"/>
  <c r="H221" i="67"/>
  <c r="G221" i="67" s="1"/>
  <c r="F221" i="67"/>
  <c r="E221" i="67"/>
  <c r="H220" i="67"/>
  <c r="G220" i="67"/>
  <c r="F220" i="67"/>
  <c r="E220" i="67"/>
  <c r="H219" i="67"/>
  <c r="G219" i="67" s="1"/>
  <c r="F219" i="67"/>
  <c r="E219" i="67" s="1"/>
  <c r="H218" i="67"/>
  <c r="G218" i="67" s="1"/>
  <c r="F218" i="67"/>
  <c r="E218" i="67" s="1"/>
  <c r="H217" i="67"/>
  <c r="G217" i="67"/>
  <c r="F217" i="67"/>
  <c r="E217" i="67"/>
  <c r="H216" i="67"/>
  <c r="G216" i="67" s="1"/>
  <c r="F216" i="67"/>
  <c r="E216" i="67" s="1"/>
  <c r="H215" i="67"/>
  <c r="G215" i="67" s="1"/>
  <c r="F215" i="67"/>
  <c r="E215" i="67"/>
  <c r="H214" i="67"/>
  <c r="G214" i="67" s="1"/>
  <c r="F214" i="67"/>
  <c r="E214" i="67" s="1"/>
  <c r="H213" i="67"/>
  <c r="G213" i="67"/>
  <c r="F213" i="67"/>
  <c r="E213" i="67"/>
  <c r="H212" i="67"/>
  <c r="G212" i="67"/>
  <c r="F212" i="67"/>
  <c r="E212" i="67"/>
  <c r="H211" i="67"/>
  <c r="G211" i="67"/>
  <c r="F211" i="67"/>
  <c r="E211" i="67"/>
  <c r="H210" i="67"/>
  <c r="F210" i="67"/>
  <c r="AM16" i="87" s="1"/>
  <c r="E210" i="67"/>
  <c r="H209" i="67"/>
  <c r="G209" i="67"/>
  <c r="F209" i="67"/>
  <c r="E209" i="67"/>
  <c r="H208" i="67"/>
  <c r="G208" i="67"/>
  <c r="F208" i="67"/>
  <c r="E208" i="67"/>
  <c r="H207" i="67"/>
  <c r="F207" i="67"/>
  <c r="AM15" i="87" s="1"/>
  <c r="E207" i="67"/>
  <c r="H206" i="67"/>
  <c r="G206" i="67"/>
  <c r="F206" i="67"/>
  <c r="E206" i="67"/>
  <c r="H205" i="67"/>
  <c r="G205" i="67"/>
  <c r="F205" i="67"/>
  <c r="E205" i="67" s="1"/>
  <c r="H204" i="67"/>
  <c r="F204" i="67"/>
  <c r="H203" i="67"/>
  <c r="G203" i="67"/>
  <c r="F203" i="67"/>
  <c r="E203" i="67"/>
  <c r="H202" i="67"/>
  <c r="G202" i="67"/>
  <c r="F202" i="67"/>
  <c r="E202" i="67"/>
  <c r="H201" i="67"/>
  <c r="G201" i="67" s="1"/>
  <c r="F201" i="67"/>
  <c r="E201" i="67"/>
  <c r="H200" i="67"/>
  <c r="G200" i="67"/>
  <c r="F200" i="67"/>
  <c r="E200" i="67" s="1"/>
  <c r="H199" i="67"/>
  <c r="G199" i="67" s="1"/>
  <c r="F199" i="67" s="1"/>
  <c r="E199" i="67" s="1"/>
  <c r="I199" i="67" s="1"/>
  <c r="H198" i="67"/>
  <c r="G198" i="67" s="1"/>
  <c r="F198" i="67"/>
  <c r="E198" i="67"/>
  <c r="H197" i="67"/>
  <c r="G197" i="67"/>
  <c r="F197" i="67"/>
  <c r="E197" i="67"/>
  <c r="H196" i="67"/>
  <c r="G196" i="67"/>
  <c r="F196" i="67"/>
  <c r="E196" i="67"/>
  <c r="H195" i="67"/>
  <c r="H194" i="67"/>
  <c r="G194" i="67" s="1"/>
  <c r="F194" i="67"/>
  <c r="E194" i="67" s="1"/>
  <c r="H193" i="67"/>
  <c r="G193" i="67" s="1"/>
  <c r="F193" i="67"/>
  <c r="E193" i="67" s="1"/>
  <c r="H192" i="67"/>
  <c r="G192" i="67"/>
  <c r="F192" i="67"/>
  <c r="E192" i="67"/>
  <c r="H191" i="67"/>
  <c r="G191" i="67" s="1"/>
  <c r="F191" i="67"/>
  <c r="E191" i="67" s="1"/>
  <c r="H190" i="67"/>
  <c r="G190" i="67" s="1"/>
  <c r="F190" i="67"/>
  <c r="E190" i="67" s="1"/>
  <c r="H189" i="67"/>
  <c r="G189" i="67"/>
  <c r="F189" i="67"/>
  <c r="E189" i="67"/>
  <c r="H188" i="67"/>
  <c r="G188" i="67"/>
  <c r="F188" i="67"/>
  <c r="E188" i="67"/>
  <c r="H187" i="67"/>
  <c r="G187" i="67"/>
  <c r="F187" i="67"/>
  <c r="E187" i="67" s="1"/>
  <c r="H186" i="67"/>
  <c r="G186" i="67"/>
  <c r="F186" i="67"/>
  <c r="E186" i="67" s="1"/>
  <c r="H185" i="67"/>
  <c r="G185" i="67" s="1"/>
  <c r="F185" i="67"/>
  <c r="E185" i="67" s="1"/>
  <c r="H184" i="67"/>
  <c r="G184" i="67"/>
  <c r="F184" i="67"/>
  <c r="E184" i="67"/>
  <c r="H183" i="67"/>
  <c r="G183" i="67"/>
  <c r="F183" i="67"/>
  <c r="E183" i="67" s="1"/>
  <c r="H182" i="67"/>
  <c r="G182" i="67" s="1"/>
  <c r="F182" i="67"/>
  <c r="E182" i="67" s="1"/>
  <c r="H181" i="67"/>
  <c r="G181" i="67" s="1"/>
  <c r="F181" i="67"/>
  <c r="E181" i="67"/>
  <c r="H180" i="67"/>
  <c r="G180" i="67"/>
  <c r="F180" i="67"/>
  <c r="E180" i="67"/>
  <c r="H179" i="67"/>
  <c r="G179" i="67"/>
  <c r="F179" i="67"/>
  <c r="E179" i="67" s="1"/>
  <c r="H178" i="67"/>
  <c r="G178" i="67" s="1"/>
  <c r="F178" i="67"/>
  <c r="E178" i="67" s="1"/>
  <c r="H177" i="67"/>
  <c r="G177" i="67" s="1"/>
  <c r="F177" i="67"/>
  <c r="E177" i="67" s="1"/>
  <c r="H176" i="67"/>
  <c r="G176" i="67"/>
  <c r="F176" i="67"/>
  <c r="E176" i="67"/>
  <c r="H175" i="67"/>
  <c r="G175" i="67"/>
  <c r="F175" i="67"/>
  <c r="E175" i="67" s="1"/>
  <c r="H174" i="67"/>
  <c r="E174" i="67"/>
  <c r="H173" i="67"/>
  <c r="G173" i="67" s="1"/>
  <c r="F173" i="67"/>
  <c r="E173" i="67" s="1"/>
  <c r="H172" i="67"/>
  <c r="G172" i="67"/>
  <c r="F172" i="67"/>
  <c r="E172" i="67"/>
  <c r="H171" i="67"/>
  <c r="G171" i="67" s="1"/>
  <c r="F171" i="67"/>
  <c r="E171" i="67" s="1"/>
  <c r="H170" i="67"/>
  <c r="G170" i="67" s="1"/>
  <c r="F170" i="67"/>
  <c r="E170" i="67" s="1"/>
  <c r="H169" i="67"/>
  <c r="G169" i="67"/>
  <c r="F169" i="67"/>
  <c r="E169" i="67" s="1"/>
  <c r="H168" i="67"/>
  <c r="G168" i="67"/>
  <c r="F168" i="67"/>
  <c r="E168" i="67" s="1"/>
  <c r="H167" i="67"/>
  <c r="G167" i="67"/>
  <c r="F167" i="67"/>
  <c r="E167" i="67"/>
  <c r="H166" i="67"/>
  <c r="G166" i="67" s="1"/>
  <c r="F166" i="67"/>
  <c r="E166" i="67" s="1"/>
  <c r="H165" i="67"/>
  <c r="G165" i="67"/>
  <c r="F165" i="67"/>
  <c r="E165" i="67" s="1"/>
  <c r="H164" i="67"/>
  <c r="G164" i="67"/>
  <c r="F164" i="67"/>
  <c r="E164" i="67"/>
  <c r="H163" i="67"/>
  <c r="G163" i="67"/>
  <c r="F163" i="67"/>
  <c r="E163" i="67"/>
  <c r="H162" i="67"/>
  <c r="G162" i="67" s="1"/>
  <c r="F162" i="67"/>
  <c r="E162" i="67" s="1"/>
  <c r="H161" i="67"/>
  <c r="G161" i="67"/>
  <c r="F161" i="67"/>
  <c r="E161" i="67"/>
  <c r="H160" i="67"/>
  <c r="G160" i="67"/>
  <c r="F160" i="67"/>
  <c r="E160" i="67" s="1"/>
  <c r="H159" i="67"/>
  <c r="G159" i="67" s="1"/>
  <c r="F159" i="67" s="1"/>
  <c r="E159" i="67" s="1"/>
  <c r="H158" i="67"/>
  <c r="G158" i="67"/>
  <c r="F158" i="67"/>
  <c r="E158" i="67" s="1"/>
  <c r="H157" i="67"/>
  <c r="G157" i="67"/>
  <c r="F157" i="67"/>
  <c r="E157" i="67" s="1"/>
  <c r="H156" i="67"/>
  <c r="G156" i="67" s="1"/>
  <c r="F156" i="67"/>
  <c r="E156" i="67" s="1"/>
  <c r="H155" i="67"/>
  <c r="G155" i="67"/>
  <c r="F155" i="67"/>
  <c r="E155" i="67" s="1"/>
  <c r="H154" i="67"/>
  <c r="G154" i="67"/>
  <c r="F154" i="67"/>
  <c r="E154" i="67"/>
  <c r="H153" i="67"/>
  <c r="G153" i="67"/>
  <c r="F153" i="67"/>
  <c r="E153" i="67" s="1"/>
  <c r="H152" i="67"/>
  <c r="G152" i="67" s="1"/>
  <c r="F152" i="67" s="1"/>
  <c r="E152" i="67" s="1"/>
  <c r="H151" i="67"/>
  <c r="G151" i="67"/>
  <c r="F151" i="67"/>
  <c r="E151" i="67"/>
  <c r="H150" i="67"/>
  <c r="G150" i="67"/>
  <c r="F150" i="67" s="1"/>
  <c r="E150" i="67" s="1"/>
  <c r="I150" i="67" s="1"/>
  <c r="H149" i="67"/>
  <c r="G149" i="67" s="1"/>
  <c r="F149" i="67"/>
  <c r="E149" i="67"/>
  <c r="H148" i="67"/>
  <c r="G148" i="67"/>
  <c r="F148" i="67"/>
  <c r="E148" i="67"/>
  <c r="H147" i="67"/>
  <c r="G147" i="67"/>
  <c r="F147" i="67"/>
  <c r="E147" i="67" s="1"/>
  <c r="H146" i="67"/>
  <c r="G146" i="67"/>
  <c r="F146" i="67"/>
  <c r="E146" i="67"/>
  <c r="H145" i="67"/>
  <c r="G145" i="67" s="1"/>
  <c r="F145" i="67"/>
  <c r="E145" i="67"/>
  <c r="H144" i="67"/>
  <c r="G144" i="67"/>
  <c r="F144" i="67"/>
  <c r="E144" i="67" s="1"/>
  <c r="H143" i="67"/>
  <c r="G143" i="67"/>
  <c r="F143" i="67"/>
  <c r="E143" i="67" s="1"/>
  <c r="H142" i="67"/>
  <c r="G142" i="67" s="1"/>
  <c r="F142" i="67"/>
  <c r="E142" i="67" s="1"/>
  <c r="H141" i="67"/>
  <c r="G141" i="67" s="1"/>
  <c r="F141" i="67"/>
  <c r="E141" i="67"/>
  <c r="H140" i="67"/>
  <c r="G140" i="67"/>
  <c r="F140" i="67"/>
  <c r="E140" i="67" s="1"/>
  <c r="H139" i="67"/>
  <c r="G139" i="67"/>
  <c r="F139" i="67"/>
  <c r="E139" i="67"/>
  <c r="H138" i="67"/>
  <c r="G138" i="67"/>
  <c r="F138" i="67" s="1"/>
  <c r="E138" i="67" s="1"/>
  <c r="H137" i="67"/>
  <c r="G137" i="67"/>
  <c r="F137" i="67"/>
  <c r="E137" i="67"/>
  <c r="H136" i="67"/>
  <c r="G136" i="67"/>
  <c r="F136" i="67"/>
  <c r="E136" i="67" s="1"/>
  <c r="H135" i="67"/>
  <c r="G135" i="67"/>
  <c r="F135" i="67"/>
  <c r="E135" i="67" s="1"/>
  <c r="H134" i="67"/>
  <c r="G134" i="67" s="1"/>
  <c r="F134" i="67" s="1"/>
  <c r="E134" i="67" s="1"/>
  <c r="H133" i="67"/>
  <c r="G133" i="67"/>
  <c r="F133" i="67"/>
  <c r="E133" i="67" s="1"/>
  <c r="H132" i="67"/>
  <c r="G132" i="67"/>
  <c r="F132" i="67"/>
  <c r="E132" i="67"/>
  <c r="H131" i="67"/>
  <c r="G131" i="67"/>
  <c r="F131" i="67"/>
  <c r="E131" i="67"/>
  <c r="H130" i="67"/>
  <c r="G130" i="67" s="1"/>
  <c r="F130" i="67" s="1"/>
  <c r="E130" i="67" s="1"/>
  <c r="H129" i="67"/>
  <c r="G129" i="67"/>
  <c r="F129" i="67"/>
  <c r="E129" i="67"/>
  <c r="H128" i="67"/>
  <c r="G128" i="67"/>
  <c r="F128" i="67"/>
  <c r="E128" i="67" s="1"/>
  <c r="H127" i="67"/>
  <c r="G127" i="67" s="1"/>
  <c r="F127" i="67"/>
  <c r="E127" i="67" s="1"/>
  <c r="H126" i="67"/>
  <c r="G126" i="67" s="1"/>
  <c r="F126" i="67" s="1"/>
  <c r="E126" i="67" s="1"/>
  <c r="I126" i="67" s="1"/>
  <c r="H125" i="67"/>
  <c r="G125" i="67"/>
  <c r="F125" i="67"/>
  <c r="E125" i="67"/>
  <c r="H124" i="67"/>
  <c r="G124" i="67"/>
  <c r="F124" i="67"/>
  <c r="E124" i="67" s="1"/>
  <c r="H123" i="67"/>
  <c r="G123" i="67"/>
  <c r="F123" i="67"/>
  <c r="E123" i="67" s="1"/>
  <c r="H122" i="67"/>
  <c r="G122" i="67" s="1"/>
  <c r="F122" i="67"/>
  <c r="E122" i="67" s="1"/>
  <c r="H121" i="67"/>
  <c r="G121" i="67"/>
  <c r="F121" i="67"/>
  <c r="E121" i="67"/>
  <c r="H120" i="67"/>
  <c r="E120" i="67"/>
  <c r="H119" i="67"/>
  <c r="G119" i="67"/>
  <c r="F119" i="67"/>
  <c r="E119" i="67"/>
  <c r="H118" i="67"/>
  <c r="F118" i="67"/>
  <c r="AM10" i="87" s="1"/>
  <c r="E118" i="67"/>
  <c r="H117" i="67"/>
  <c r="G117" i="67"/>
  <c r="F117" i="67"/>
  <c r="E117" i="67"/>
  <c r="H116" i="67"/>
  <c r="G116" i="67" s="1"/>
  <c r="F116" i="67"/>
  <c r="E116" i="67"/>
  <c r="H115" i="67"/>
  <c r="G115" i="67" s="1"/>
  <c r="F115" i="67"/>
  <c r="E115" i="67"/>
  <c r="H114" i="67"/>
  <c r="G114" i="67"/>
  <c r="F114" i="67"/>
  <c r="E114" i="67" s="1"/>
  <c r="H113" i="67"/>
  <c r="G113" i="67"/>
  <c r="F113" i="67"/>
  <c r="E113" i="67" s="1"/>
  <c r="H112" i="67"/>
  <c r="G112" i="67" s="1"/>
  <c r="F112" i="67"/>
  <c r="E112" i="67" s="1"/>
  <c r="H111" i="67"/>
  <c r="G111" i="67"/>
  <c r="F111" i="67"/>
  <c r="E111" i="67" s="1"/>
  <c r="H110" i="67"/>
  <c r="G110" i="67" s="1"/>
  <c r="F110" i="67"/>
  <c r="E110" i="67" s="1"/>
  <c r="H109" i="67"/>
  <c r="G109" i="67"/>
  <c r="F109" i="67"/>
  <c r="E109" i="67"/>
  <c r="H108" i="67"/>
  <c r="G108" i="67" s="1"/>
  <c r="F108" i="67"/>
  <c r="E108" i="67"/>
  <c r="H107" i="67"/>
  <c r="G107" i="67" s="1"/>
  <c r="F107" i="67"/>
  <c r="E107" i="67"/>
  <c r="H106" i="67"/>
  <c r="G106" i="67"/>
  <c r="F106" i="67"/>
  <c r="E106" i="67"/>
  <c r="H105" i="67"/>
  <c r="G105" i="67"/>
  <c r="F105" i="67"/>
  <c r="E105" i="67"/>
  <c r="H104" i="67"/>
  <c r="G104" i="67" s="1"/>
  <c r="F104" i="67"/>
  <c r="E104" i="67"/>
  <c r="H103" i="67"/>
  <c r="G103" i="67"/>
  <c r="F103" i="67" s="1"/>
  <c r="E103" i="67" s="1"/>
  <c r="H102" i="67"/>
  <c r="G102" i="67"/>
  <c r="F102" i="67"/>
  <c r="E102" i="67"/>
  <c r="H101" i="67"/>
  <c r="G101" i="67"/>
  <c r="F101" i="67"/>
  <c r="E101" i="67" s="1"/>
  <c r="H100" i="67"/>
  <c r="G100" i="67"/>
  <c r="F100" i="67"/>
  <c r="E100" i="67" s="1"/>
  <c r="H99" i="67"/>
  <c r="G99" i="67"/>
  <c r="F99" i="67"/>
  <c r="E99" i="67" s="1"/>
  <c r="H98" i="67"/>
  <c r="G98" i="67"/>
  <c r="F98" i="67"/>
  <c r="E98" i="67"/>
  <c r="H97" i="67"/>
  <c r="G97" i="67"/>
  <c r="F97" i="67"/>
  <c r="E97" i="67" s="1"/>
  <c r="H96" i="67"/>
  <c r="G96" i="67"/>
  <c r="F96" i="67"/>
  <c r="E96" i="67"/>
  <c r="H95" i="67"/>
  <c r="G95" i="67" s="1"/>
  <c r="F95" i="67"/>
  <c r="E95" i="67" s="1"/>
  <c r="H94" i="67"/>
  <c r="G94" i="67"/>
  <c r="F94" i="67"/>
  <c r="E94" i="67"/>
  <c r="H93" i="67"/>
  <c r="G93" i="67"/>
  <c r="F93" i="67"/>
  <c r="E93" i="67"/>
  <c r="H92" i="67"/>
  <c r="G92" i="67" s="1"/>
  <c r="F92" i="67"/>
  <c r="E92" i="67"/>
  <c r="H91" i="67"/>
  <c r="E91" i="67"/>
  <c r="H90" i="67"/>
  <c r="G90" i="67"/>
  <c r="F90" i="67"/>
  <c r="E90" i="67"/>
  <c r="H89" i="67"/>
  <c r="G89" i="67"/>
  <c r="F89" i="67"/>
  <c r="E89" i="67"/>
  <c r="H88" i="67"/>
  <c r="G88" i="67"/>
  <c r="F88" i="67"/>
  <c r="E88" i="67" s="1"/>
  <c r="H87" i="67"/>
  <c r="G87" i="67"/>
  <c r="F87" i="67"/>
  <c r="E87" i="67"/>
  <c r="H86" i="67"/>
  <c r="G86" i="67" s="1"/>
  <c r="F86" i="67"/>
  <c r="E86" i="67"/>
  <c r="H85" i="67"/>
  <c r="G85" i="67"/>
  <c r="F85" i="67"/>
  <c r="E85" i="67"/>
  <c r="H84" i="67"/>
  <c r="G84" i="67"/>
  <c r="F84" i="67"/>
  <c r="E84" i="67" s="1"/>
  <c r="H83" i="67"/>
  <c r="G83" i="67"/>
  <c r="F83" i="67"/>
  <c r="E83" i="67"/>
  <c r="H82" i="67"/>
  <c r="G82" i="67" s="1"/>
  <c r="F82" i="67"/>
  <c r="E82" i="67"/>
  <c r="H81" i="67"/>
  <c r="G81" i="67"/>
  <c r="F81" i="67"/>
  <c r="E81" i="67"/>
  <c r="H80" i="67"/>
  <c r="G80" i="67"/>
  <c r="F80" i="67"/>
  <c r="E80" i="67"/>
  <c r="H79" i="67"/>
  <c r="G79" i="67"/>
  <c r="F79" i="67"/>
  <c r="E79" i="67"/>
  <c r="H78" i="67"/>
  <c r="G78" i="67" s="1"/>
  <c r="F78" i="67"/>
  <c r="E78" i="67"/>
  <c r="H77" i="67"/>
  <c r="AN8" i="87" s="1"/>
  <c r="G77" i="67"/>
  <c r="F77" i="67" s="1"/>
  <c r="H76" i="67"/>
  <c r="G76" i="67"/>
  <c r="F76" i="67"/>
  <c r="E76" i="67"/>
  <c r="H75" i="67"/>
  <c r="G75" i="67"/>
  <c r="F75" i="67"/>
  <c r="E75" i="67" s="1"/>
  <c r="H74" i="67"/>
  <c r="G74" i="67"/>
  <c r="F74" i="67"/>
  <c r="E74" i="67"/>
  <c r="H73" i="67"/>
  <c r="G73" i="67"/>
  <c r="F73" i="67"/>
  <c r="E73" i="67" s="1"/>
  <c r="H72" i="67"/>
  <c r="G72" i="67"/>
  <c r="F72" i="67"/>
  <c r="E72" i="67"/>
  <c r="H71" i="67"/>
  <c r="G71" i="67"/>
  <c r="F71" i="67"/>
  <c r="E71" i="67" s="1"/>
  <c r="H70" i="67"/>
  <c r="H69" i="67"/>
  <c r="G69" i="67"/>
  <c r="F69" i="67"/>
  <c r="E69" i="67"/>
  <c r="H68" i="67"/>
  <c r="G68" i="67"/>
  <c r="F68" i="67"/>
  <c r="E68" i="67" s="1"/>
  <c r="H67" i="67"/>
  <c r="G67" i="67" s="1"/>
  <c r="F67" i="67"/>
  <c r="E67" i="67"/>
  <c r="H66" i="67"/>
  <c r="G66" i="67" s="1"/>
  <c r="F66" i="67"/>
  <c r="E66" i="67"/>
  <c r="H65" i="67"/>
  <c r="G65" i="67"/>
  <c r="F65" i="67"/>
  <c r="E65" i="67"/>
  <c r="H64" i="67"/>
  <c r="G64" i="67" s="1"/>
  <c r="F64" i="67"/>
  <c r="E64" i="67" s="1"/>
  <c r="H63" i="67"/>
  <c r="G63" i="67"/>
  <c r="F63" i="67"/>
  <c r="E63" i="67"/>
  <c r="H62" i="67"/>
  <c r="G62" i="67"/>
  <c r="F62" i="67"/>
  <c r="E62" i="67"/>
  <c r="H61" i="67"/>
  <c r="G61" i="67"/>
  <c r="F61" i="67"/>
  <c r="E61" i="67"/>
  <c r="H60" i="67"/>
  <c r="G60" i="67" s="1"/>
  <c r="F60" i="67"/>
  <c r="E60" i="67" s="1"/>
  <c r="H59" i="67"/>
  <c r="G59" i="67"/>
  <c r="F59" i="67"/>
  <c r="E59" i="67"/>
  <c r="H58" i="67"/>
  <c r="G58" i="67"/>
  <c r="F58" i="67"/>
  <c r="E58" i="67" s="1"/>
  <c r="H57" i="67"/>
  <c r="G57" i="67"/>
  <c r="F57" i="67" s="1"/>
  <c r="E57" i="67" s="1"/>
  <c r="H56" i="67"/>
  <c r="G56" i="67"/>
  <c r="F56" i="67"/>
  <c r="E56" i="67"/>
  <c r="H55" i="67"/>
  <c r="G55" i="67" s="1"/>
  <c r="F55" i="67"/>
  <c r="E55" i="67" s="1"/>
  <c r="H54" i="67"/>
  <c r="G54" i="67"/>
  <c r="F54" i="67"/>
  <c r="E54" i="67"/>
  <c r="H53" i="67"/>
  <c r="G53" i="67"/>
  <c r="F53" i="67"/>
  <c r="E53" i="67" s="1"/>
  <c r="H52" i="67"/>
  <c r="G52" i="67"/>
  <c r="F52" i="67"/>
  <c r="E52" i="67"/>
  <c r="H51" i="67"/>
  <c r="H50" i="67"/>
  <c r="G50" i="67" s="1"/>
  <c r="F50" i="67"/>
  <c r="E50" i="67"/>
  <c r="H49" i="67"/>
  <c r="G49" i="67"/>
  <c r="F49" i="67"/>
  <c r="E49" i="67"/>
  <c r="H48" i="67"/>
  <c r="G48" i="67"/>
  <c r="F48" i="67"/>
  <c r="E48" i="67" s="1"/>
  <c r="H47" i="67"/>
  <c r="G47" i="67"/>
  <c r="F47" i="67"/>
  <c r="E47" i="67" s="1"/>
  <c r="H46" i="67"/>
  <c r="G46" i="67"/>
  <c r="F46" i="67"/>
  <c r="E46" i="67"/>
  <c r="H45" i="67"/>
  <c r="G45" i="67" s="1"/>
  <c r="F45" i="67"/>
  <c r="E45" i="67" s="1"/>
  <c r="H44" i="67"/>
  <c r="G44" i="67"/>
  <c r="F44" i="67"/>
  <c r="E44" i="67" s="1"/>
  <c r="H43" i="67"/>
  <c r="G43" i="67"/>
  <c r="F43" i="67"/>
  <c r="E43" i="67" s="1"/>
  <c r="H42" i="67"/>
  <c r="G42" i="67" s="1"/>
  <c r="F42" i="67"/>
  <c r="E42" i="67" s="1"/>
  <c r="H41" i="67"/>
  <c r="G41" i="67" s="1"/>
  <c r="F41" i="67"/>
  <c r="E41" i="67"/>
  <c r="H40" i="67"/>
  <c r="G40" i="67"/>
  <c r="F40" i="67"/>
  <c r="E40" i="67" s="1"/>
  <c r="H39" i="67"/>
  <c r="G39" i="67"/>
  <c r="F39" i="67"/>
  <c r="E39" i="67" s="1"/>
  <c r="H38" i="67"/>
  <c r="F38" i="67"/>
  <c r="AM5" i="87" s="1"/>
  <c r="E38" i="67"/>
  <c r="H37" i="67"/>
  <c r="G37" i="67" s="1"/>
  <c r="F37" i="67"/>
  <c r="E37" i="67"/>
  <c r="H36" i="67"/>
  <c r="G36" i="67"/>
  <c r="F36" i="67"/>
  <c r="E36" i="67" s="1"/>
  <c r="H35" i="67"/>
  <c r="G35" i="67"/>
  <c r="F35" i="67"/>
  <c r="E35" i="67" s="1"/>
  <c r="H34" i="67"/>
  <c r="G34" i="67"/>
  <c r="F34" i="67"/>
  <c r="E34" i="67" s="1"/>
  <c r="H33" i="67"/>
  <c r="G33" i="67" s="1"/>
  <c r="F33" i="67"/>
  <c r="E33" i="67" s="1"/>
  <c r="H32" i="67"/>
  <c r="G32" i="67"/>
  <c r="F32" i="67"/>
  <c r="E32" i="67"/>
  <c r="H31" i="67"/>
  <c r="G31" i="67"/>
  <c r="F31" i="67"/>
  <c r="E31" i="67" s="1"/>
  <c r="H30" i="67"/>
  <c r="G30" i="67" s="1"/>
  <c r="F30" i="67" s="1"/>
  <c r="E30" i="67" s="1"/>
  <c r="H29" i="67"/>
  <c r="G29" i="67"/>
  <c r="F29" i="67"/>
  <c r="E29" i="67"/>
  <c r="H28" i="67"/>
  <c r="G28" i="67"/>
  <c r="F28" i="67"/>
  <c r="E28" i="67"/>
  <c r="H27" i="67"/>
  <c r="G27" i="67"/>
  <c r="F27" i="67"/>
  <c r="E27" i="67"/>
  <c r="H26" i="67"/>
  <c r="G26" i="67"/>
  <c r="F26" i="67"/>
  <c r="E26" i="67"/>
  <c r="H25" i="67"/>
  <c r="G25" i="67" s="1"/>
  <c r="F25" i="67"/>
  <c r="E25" i="67"/>
  <c r="H24" i="67"/>
  <c r="G24" i="67"/>
  <c r="F24" i="67"/>
  <c r="E24" i="67" s="1"/>
  <c r="H23" i="67"/>
  <c r="G23" i="67"/>
  <c r="F23" i="67"/>
  <c r="E23" i="67" s="1"/>
  <c r="H22" i="67"/>
  <c r="G22" i="67"/>
  <c r="F22" i="67"/>
  <c r="E22" i="67" s="1"/>
  <c r="H21" i="67"/>
  <c r="G21" i="67" s="1"/>
  <c r="F21" i="67"/>
  <c r="E21" i="67"/>
  <c r="H20" i="67"/>
  <c r="G20" i="67"/>
  <c r="F20" i="67"/>
  <c r="E20" i="67" s="1"/>
  <c r="H19" i="67"/>
  <c r="G19" i="67"/>
  <c r="F19" i="67"/>
  <c r="E19" i="67" s="1"/>
  <c r="H18" i="67"/>
  <c r="G18" i="67" s="1"/>
  <c r="F18" i="67"/>
  <c r="E18" i="67" s="1"/>
  <c r="H17" i="67"/>
  <c r="G17" i="67"/>
  <c r="F17" i="67"/>
  <c r="E17" i="67"/>
  <c r="H16" i="67"/>
  <c r="G16" i="67"/>
  <c r="F16" i="67"/>
  <c r="E16" i="67"/>
  <c r="H15" i="67"/>
  <c r="G15" i="67"/>
  <c r="F15" i="67"/>
  <c r="E15" i="67"/>
  <c r="H14" i="67"/>
  <c r="G14" i="67"/>
  <c r="F14" i="67"/>
  <c r="E14" i="67"/>
  <c r="H13" i="67"/>
  <c r="G13" i="67"/>
  <c r="F13" i="67"/>
  <c r="E13" i="67"/>
  <c r="H12" i="67"/>
  <c r="G12" i="67"/>
  <c r="F12" i="67"/>
  <c r="E12" i="67"/>
  <c r="H11" i="67"/>
  <c r="G11" i="67"/>
  <c r="F11" i="67"/>
  <c r="E11" i="67"/>
  <c r="H10" i="67"/>
  <c r="G10" i="67"/>
  <c r="F10" i="67"/>
  <c r="E10" i="67"/>
  <c r="H9" i="67"/>
  <c r="G9" i="67"/>
  <c r="F9" i="67"/>
  <c r="E9" i="67"/>
  <c r="H8" i="67"/>
  <c r="AN4" i="87" s="1"/>
  <c r="G8" i="67"/>
  <c r="F8" i="67"/>
  <c r="AM4" i="87" s="1"/>
  <c r="E8" i="67"/>
  <c r="H7" i="67"/>
  <c r="G7" i="67"/>
  <c r="F7" i="67"/>
  <c r="E7" i="67"/>
  <c r="G5" i="67"/>
  <c r="E5" i="67"/>
  <c r="N4" i="67"/>
  <c r="M4" i="67" s="1"/>
  <c r="L4" i="67"/>
  <c r="K4" i="67"/>
  <c r="J4" i="67"/>
  <c r="I4" i="67"/>
  <c r="H4" i="67" s="1"/>
  <c r="G4" i="67"/>
  <c r="F4" i="67" s="1"/>
  <c r="E4" i="67"/>
  <c r="B4" i="67"/>
  <c r="N3" i="67" s="1"/>
  <c r="M3" i="67"/>
  <c r="L3" i="67"/>
  <c r="K3" i="67"/>
  <c r="J3" i="67" s="1"/>
  <c r="I3" i="67"/>
  <c r="H3" i="67"/>
  <c r="G3" i="67"/>
  <c r="F3" i="67" s="1"/>
  <c r="E3" i="67"/>
  <c r="B3" i="67"/>
  <c r="A2" i="67"/>
  <c r="M4" i="16" l="1"/>
  <c r="G270" i="67"/>
  <c r="F270" i="67" s="1"/>
  <c r="AN20" i="87"/>
  <c r="AO4" i="87"/>
  <c r="G195" i="67"/>
  <c r="F195" i="67" s="1"/>
  <c r="J195" i="67" s="1"/>
  <c r="AN13" i="87"/>
  <c r="G120" i="67"/>
  <c r="F120" i="67" s="1"/>
  <c r="AN11" i="87"/>
  <c r="G174" i="67"/>
  <c r="F174" i="67" s="1"/>
  <c r="AN12" i="87"/>
  <c r="G210" i="67"/>
  <c r="I210" i="67" s="1"/>
  <c r="AN16" i="87"/>
  <c r="AO16" i="87" s="1"/>
  <c r="AP16" i="87" s="1"/>
  <c r="G207" i="67"/>
  <c r="AN15" i="87"/>
  <c r="AO15" i="87" s="1"/>
  <c r="AP15" i="87" s="1"/>
  <c r="E77" i="67"/>
  <c r="I77" i="67" s="1"/>
  <c r="AM8" i="87"/>
  <c r="AO8" i="87" s="1"/>
  <c r="AP8" i="87" s="1"/>
  <c r="E204" i="67"/>
  <c r="AM14" i="87"/>
  <c r="AO14" i="87" s="1"/>
  <c r="AP14" i="87" s="1"/>
  <c r="G230" i="67"/>
  <c r="I230" i="67" s="1"/>
  <c r="AN19" i="87"/>
  <c r="AO19" i="87" s="1"/>
  <c r="AP19" i="87" s="1"/>
  <c r="G38" i="67"/>
  <c r="I38" i="67" s="1"/>
  <c r="AN5" i="87"/>
  <c r="AO5" i="87" s="1"/>
  <c r="AP5" i="87" s="1"/>
  <c r="G204" i="67"/>
  <c r="AN14" i="87"/>
  <c r="E223" i="67"/>
  <c r="AM17" i="87"/>
  <c r="E227" i="67"/>
  <c r="AM18" i="87"/>
  <c r="AO18" i="87" s="1"/>
  <c r="AP18" i="87" s="1"/>
  <c r="G51" i="67"/>
  <c r="F51" i="67" s="1"/>
  <c r="J51" i="67" s="1"/>
  <c r="AN6" i="87"/>
  <c r="G70" i="67"/>
  <c r="F70" i="67" s="1"/>
  <c r="AN7" i="87"/>
  <c r="G91" i="67"/>
  <c r="F91" i="67" s="1"/>
  <c r="AN9" i="87"/>
  <c r="G223" i="67"/>
  <c r="I223" i="67" s="1"/>
  <c r="AN17" i="87"/>
  <c r="G227" i="67"/>
  <c r="AN18" i="87"/>
  <c r="L4" i="16"/>
  <c r="J23" i="88"/>
  <c r="L5" i="88"/>
  <c r="L23" i="88" s="1"/>
  <c r="G118" i="67"/>
  <c r="I118" i="67" s="1"/>
  <c r="AN10" i="87"/>
  <c r="AO10" i="87" s="1"/>
  <c r="AP10" i="87" s="1"/>
  <c r="O4" i="16"/>
  <c r="AF4" i="16"/>
  <c r="AX4" i="16"/>
  <c r="O6" i="41"/>
  <c r="O9" i="2"/>
  <c r="J82" i="67"/>
  <c r="I46" i="67"/>
  <c r="J56" i="67"/>
  <c r="I59" i="67"/>
  <c r="I65" i="67"/>
  <c r="I66" i="67"/>
  <c r="I74" i="67"/>
  <c r="J96" i="67"/>
  <c r="J102" i="67"/>
  <c r="J164" i="67"/>
  <c r="I180" i="67"/>
  <c r="I181" i="67"/>
  <c r="I184" i="67"/>
  <c r="R84" i="16"/>
  <c r="R83" i="16" s="1"/>
  <c r="I55" i="67"/>
  <c r="I58" i="67"/>
  <c r="J116" i="67"/>
  <c r="I124" i="67"/>
  <c r="I157" i="67"/>
  <c r="I165" i="67"/>
  <c r="I272" i="67"/>
  <c r="O397" i="38"/>
  <c r="O394" i="38" s="1"/>
  <c r="I268" i="67"/>
  <c r="I37" i="67"/>
  <c r="I176" i="67"/>
  <c r="I177" i="67"/>
  <c r="J181" i="67"/>
  <c r="I183" i="67"/>
  <c r="I187" i="67"/>
  <c r="I200" i="67"/>
  <c r="J215" i="67"/>
  <c r="I218" i="67"/>
  <c r="J222" i="67"/>
  <c r="I192" i="67"/>
  <c r="I95" i="67"/>
  <c r="AY4" i="16"/>
  <c r="O10" i="68"/>
  <c r="O118" i="16"/>
  <c r="I22" i="67"/>
  <c r="J108" i="67"/>
  <c r="I111" i="67"/>
  <c r="I114" i="67"/>
  <c r="J115" i="67"/>
  <c r="I144" i="67"/>
  <c r="J145" i="67"/>
  <c r="I56" i="67"/>
  <c r="J61" i="67"/>
  <c r="J63" i="67"/>
  <c r="I67" i="67"/>
  <c r="J109" i="67"/>
  <c r="I145" i="67"/>
  <c r="J146" i="67"/>
  <c r="J151" i="67"/>
  <c r="J154" i="67"/>
  <c r="I202" i="67"/>
  <c r="J21" i="67"/>
  <c r="J25" i="67"/>
  <c r="R67" i="16"/>
  <c r="R60" i="16" s="1"/>
  <c r="I154" i="67"/>
  <c r="I158" i="67"/>
  <c r="I170" i="67"/>
  <c r="I100" i="67"/>
  <c r="J192" i="67"/>
  <c r="I253" i="67"/>
  <c r="I190" i="67"/>
  <c r="I127" i="67"/>
  <c r="I163" i="67"/>
  <c r="J50" i="67"/>
  <c r="J86" i="67"/>
  <c r="I20" i="67"/>
  <c r="I34" i="67"/>
  <c r="J132" i="67"/>
  <c r="I194" i="67"/>
  <c r="J198" i="67"/>
  <c r="I263" i="67"/>
  <c r="I21" i="67"/>
  <c r="I198" i="67"/>
  <c r="I33" i="67"/>
  <c r="I169" i="67"/>
  <c r="I172" i="67"/>
  <c r="J176" i="67"/>
  <c r="I259" i="67"/>
  <c r="I50" i="67"/>
  <c r="J78" i="67"/>
  <c r="J87" i="67"/>
  <c r="J93" i="67"/>
  <c r="J94" i="67"/>
  <c r="J104" i="67"/>
  <c r="I109" i="67"/>
  <c r="J118" i="67"/>
  <c r="I125" i="67"/>
  <c r="I143" i="67"/>
  <c r="I162" i="67"/>
  <c r="J210" i="67"/>
  <c r="I222" i="67"/>
  <c r="J234" i="67"/>
  <c r="J240" i="67"/>
  <c r="I240" i="67" s="1"/>
  <c r="I249" i="67"/>
  <c r="I255" i="67"/>
  <c r="I256" i="67"/>
  <c r="R21" i="16"/>
  <c r="R8" i="16" s="1"/>
  <c r="J8" i="67"/>
  <c r="J11" i="67"/>
  <c r="J13" i="67"/>
  <c r="J14" i="67"/>
  <c r="J16" i="67"/>
  <c r="I16" i="67" s="1"/>
  <c r="J17" i="67"/>
  <c r="J71" i="67"/>
  <c r="J74" i="67"/>
  <c r="J79" i="67"/>
  <c r="J81" i="67"/>
  <c r="J89" i="67"/>
  <c r="J103" i="67"/>
  <c r="I103" i="67" s="1"/>
  <c r="J105" i="67"/>
  <c r="I117" i="67"/>
  <c r="J139" i="67"/>
  <c r="I208" i="67"/>
  <c r="J212" i="67"/>
  <c r="I212" i="67" s="1"/>
  <c r="J228" i="67"/>
  <c r="J241" i="67"/>
  <c r="J242" i="67"/>
  <c r="J246" i="67"/>
  <c r="I261" i="67"/>
  <c r="J271" i="67"/>
  <c r="O104" i="16"/>
  <c r="I71" i="67"/>
  <c r="I166" i="67"/>
  <c r="I128" i="67"/>
  <c r="I86" i="67"/>
  <c r="I81" i="67"/>
  <c r="I79" i="67"/>
  <c r="O200" i="38"/>
  <c r="O25" i="16"/>
  <c r="I214" i="67"/>
  <c r="O290" i="38"/>
  <c r="O29" i="16"/>
  <c r="O205" i="38"/>
  <c r="O71" i="16"/>
  <c r="O212" i="38"/>
  <c r="O211" i="38" s="1"/>
  <c r="O19" i="2"/>
  <c r="H4" i="2"/>
  <c r="O21" i="38"/>
  <c r="O20" i="38" s="1"/>
  <c r="F4" i="2"/>
  <c r="O33" i="2"/>
  <c r="O32" i="2" s="1"/>
  <c r="O344" i="38"/>
  <c r="O342" i="38" s="1"/>
  <c r="O16" i="16"/>
  <c r="I14" i="67"/>
  <c r="J152" i="67"/>
  <c r="J156" i="67"/>
  <c r="I156" i="67" s="1"/>
  <c r="I234" i="67"/>
  <c r="L4" i="2"/>
  <c r="O8" i="68"/>
  <c r="O6" i="68" s="1"/>
  <c r="F3" i="68" s="1"/>
  <c r="O101" i="16"/>
  <c r="O9" i="53"/>
  <c r="O6" i="53" s="1"/>
  <c r="F3" i="53" s="1"/>
  <c r="O46" i="16"/>
  <c r="J9" i="67"/>
  <c r="J12" i="67"/>
  <c r="J15" i="67"/>
  <c r="I15" i="67" s="1"/>
  <c r="J85" i="67"/>
  <c r="J125" i="67"/>
  <c r="J129" i="67"/>
  <c r="I227" i="67"/>
  <c r="J272" i="67"/>
  <c r="AJ4" i="16"/>
  <c r="M10" i="45"/>
  <c r="O16" i="2"/>
  <c r="AF4" i="2" s="1"/>
  <c r="M9" i="72"/>
  <c r="M8" i="72" s="1"/>
  <c r="S4" i="2"/>
  <c r="O349" i="38"/>
  <c r="O348" i="38" s="1"/>
  <c r="J4" i="2"/>
  <c r="O90" i="16"/>
  <c r="O292" i="38" s="1"/>
  <c r="I19" i="67"/>
  <c r="J45" i="67"/>
  <c r="I45" i="67" s="1"/>
  <c r="J49" i="67"/>
  <c r="I110" i="67"/>
  <c r="J141" i="67"/>
  <c r="I173" i="67"/>
  <c r="I201" i="67"/>
  <c r="AK4" i="16"/>
  <c r="J14" i="38"/>
  <c r="O8" i="30"/>
  <c r="O6" i="30" s="1"/>
  <c r="O32" i="16"/>
  <c r="O203" i="38"/>
  <c r="O68" i="16"/>
  <c r="I17" i="67"/>
  <c r="AL4" i="16"/>
  <c r="O18" i="38"/>
  <c r="O63" i="16"/>
  <c r="M11" i="72"/>
  <c r="M10" i="72" s="1"/>
  <c r="H10" i="72" s="1"/>
  <c r="O12" i="2"/>
  <c r="O7" i="31"/>
  <c r="O6" i="31" s="1"/>
  <c r="F3" i="31" s="1"/>
  <c r="AP4" i="2"/>
  <c r="I271" i="67"/>
  <c r="G4" i="16"/>
  <c r="AM4" i="16"/>
  <c r="O434" i="38"/>
  <c r="O433" i="38" s="1"/>
  <c r="O432" i="38" s="1"/>
  <c r="J36" i="82"/>
  <c r="O35" i="82"/>
  <c r="AP4" i="82"/>
  <c r="J171" i="67"/>
  <c r="I171" i="67" s="1"/>
  <c r="J138" i="67"/>
  <c r="H4" i="16"/>
  <c r="AT4" i="16"/>
  <c r="O41" i="16"/>
  <c r="J69" i="67"/>
  <c r="J76" i="67"/>
  <c r="I80" i="67"/>
  <c r="J83" i="67"/>
  <c r="I213" i="67"/>
  <c r="I239" i="67"/>
  <c r="AU4" i="16"/>
  <c r="O198" i="38"/>
  <c r="O22" i="16"/>
  <c r="O21" i="16" s="1"/>
  <c r="O102" i="38"/>
  <c r="O101" i="38" s="1"/>
  <c r="O10" i="20"/>
  <c r="O6" i="20" s="1"/>
  <c r="F3" i="20" s="1"/>
  <c r="O12" i="30"/>
  <c r="O11" i="30" s="1"/>
  <c r="AJ4" i="2"/>
  <c r="O295" i="38"/>
  <c r="O294" i="38" s="1"/>
  <c r="I4" i="2"/>
  <c r="I47" i="67"/>
  <c r="J62" i="67"/>
  <c r="J80" i="67"/>
  <c r="J90" i="67"/>
  <c r="I94" i="67"/>
  <c r="I112" i="67"/>
  <c r="I116" i="67"/>
  <c r="J119" i="67"/>
  <c r="J167" i="67"/>
  <c r="J199" i="67"/>
  <c r="I203" i="67"/>
  <c r="J213" i="67"/>
  <c r="I266" i="67"/>
  <c r="J270" i="67"/>
  <c r="J4" i="16"/>
  <c r="O6" i="44"/>
  <c r="O6" i="24"/>
  <c r="F3" i="24" s="1"/>
  <c r="I167" i="67"/>
  <c r="I141" i="67"/>
  <c r="I138" i="67"/>
  <c r="I152" i="67"/>
  <c r="I40" i="67"/>
  <c r="I68" i="67"/>
  <c r="J84" i="67"/>
  <c r="I84" i="67" s="1"/>
  <c r="I87" i="67"/>
  <c r="I101" i="67"/>
  <c r="I133" i="67"/>
  <c r="I135" i="67"/>
  <c r="I139" i="67"/>
  <c r="I146" i="67"/>
  <c r="I155" i="67"/>
  <c r="I168" i="67"/>
  <c r="I182" i="67"/>
  <c r="I193" i="67"/>
  <c r="I228" i="67"/>
  <c r="I264" i="67"/>
  <c r="I267" i="67"/>
  <c r="I273" i="67"/>
  <c r="I11" i="67"/>
  <c r="I18" i="67"/>
  <c r="I23" i="67"/>
  <c r="I35" i="67"/>
  <c r="J41" i="67"/>
  <c r="I41" i="67" s="1"/>
  <c r="I48" i="67"/>
  <c r="I75" i="67"/>
  <c r="I9" i="67"/>
  <c r="I10" i="67"/>
  <c r="I12" i="67"/>
  <c r="I13" i="67"/>
  <c r="I24" i="67"/>
  <c r="J26" i="67"/>
  <c r="J27" i="67"/>
  <c r="J28" i="67"/>
  <c r="J29" i="67"/>
  <c r="I31" i="67"/>
  <c r="J32" i="67"/>
  <c r="I36" i="67"/>
  <c r="J37" i="67"/>
  <c r="J38" i="67"/>
  <c r="I44" i="67"/>
  <c r="J52" i="67"/>
  <c r="I62" i="67"/>
  <c r="I63" i="67"/>
  <c r="I64" i="67"/>
  <c r="I69" i="67"/>
  <c r="I76" i="67"/>
  <c r="I90" i="67"/>
  <c r="I97" i="67"/>
  <c r="J98" i="67"/>
  <c r="I102" i="67"/>
  <c r="J106" i="67"/>
  <c r="I106" i="67" s="1"/>
  <c r="J107" i="67"/>
  <c r="J110" i="67"/>
  <c r="I113" i="67"/>
  <c r="I129" i="67"/>
  <c r="J137" i="67"/>
  <c r="I142" i="67"/>
  <c r="I147" i="67"/>
  <c r="J148" i="67"/>
  <c r="J149" i="67"/>
  <c r="I160" i="67"/>
  <c r="J161" i="67"/>
  <c r="J177" i="67"/>
  <c r="J185" i="67"/>
  <c r="I185" i="67" s="1"/>
  <c r="J188" i="67"/>
  <c r="J189" i="67"/>
  <c r="J191" i="67"/>
  <c r="I191" i="67" s="1"/>
  <c r="J201" i="67"/>
  <c r="J206" i="67"/>
  <c r="I206" i="67" s="1"/>
  <c r="J207" i="67"/>
  <c r="J214" i="67"/>
  <c r="I219" i="67"/>
  <c r="J224" i="67"/>
  <c r="J230" i="67"/>
  <c r="J236" i="67"/>
  <c r="J237" i="67"/>
  <c r="I237" i="67" s="1"/>
  <c r="J238" i="67"/>
  <c r="I241" i="67"/>
  <c r="I242" i="67"/>
  <c r="I243" i="67"/>
  <c r="I246" i="67"/>
  <c r="I247" i="67"/>
  <c r="I248" i="67"/>
  <c r="J252" i="67"/>
  <c r="I252" i="67" s="1"/>
  <c r="J262" i="67"/>
  <c r="I262" i="67" s="1"/>
  <c r="I265" i="67"/>
  <c r="I269" i="67"/>
  <c r="J274" i="67"/>
  <c r="I25" i="67"/>
  <c r="I26" i="67"/>
  <c r="I27" i="67"/>
  <c r="I28" i="67"/>
  <c r="I29" i="67"/>
  <c r="I32" i="67"/>
  <c r="J46" i="67"/>
  <c r="J54" i="67"/>
  <c r="I54" i="67" s="1"/>
  <c r="J59" i="67"/>
  <c r="I60" i="67"/>
  <c r="J65" i="67"/>
  <c r="J66" i="67"/>
  <c r="J67" i="67"/>
  <c r="J72" i="67"/>
  <c r="I78" i="67"/>
  <c r="I98" i="67"/>
  <c r="I107" i="67"/>
  <c r="I108" i="67"/>
  <c r="J117" i="67"/>
  <c r="J122" i="67"/>
  <c r="I122" i="67" s="1"/>
  <c r="J126" i="67"/>
  <c r="J127" i="67"/>
  <c r="I137" i="67"/>
  <c r="I140" i="67"/>
  <c r="I148" i="67"/>
  <c r="I149" i="67"/>
  <c r="J159" i="67"/>
  <c r="I159" i="67" s="1"/>
  <c r="I161" i="67"/>
  <c r="J172" i="67"/>
  <c r="J178" i="67"/>
  <c r="I178" i="67" s="1"/>
  <c r="J180" i="67"/>
  <c r="J184" i="67"/>
  <c r="I188" i="67"/>
  <c r="I189" i="67"/>
  <c r="J196" i="67"/>
  <c r="I196" i="67" s="1"/>
  <c r="J197" i="67"/>
  <c r="I197" i="67" s="1"/>
  <c r="J202" i="67"/>
  <c r="J203" i="67"/>
  <c r="J208" i="67"/>
  <c r="J209" i="67"/>
  <c r="I215" i="67"/>
  <c r="J217" i="67"/>
  <c r="I217" i="67" s="1"/>
  <c r="J220" i="67"/>
  <c r="I224" i="67"/>
  <c r="J227" i="67"/>
  <c r="J232" i="67"/>
  <c r="J233" i="67"/>
  <c r="I233" i="67" s="1"/>
  <c r="I238" i="67"/>
  <c r="J254" i="67"/>
  <c r="I254" i="67" s="1"/>
  <c r="J255" i="67"/>
  <c r="J256" i="67"/>
  <c r="I260" i="67"/>
  <c r="J261" i="67"/>
  <c r="J267" i="67"/>
  <c r="I274" i="67"/>
  <c r="I216" i="67"/>
  <c r="I52" i="67"/>
  <c r="I61" i="67"/>
  <c r="I220" i="67"/>
  <c r="I229" i="67"/>
  <c r="I207" i="67"/>
  <c r="I209" i="67"/>
  <c r="I96" i="67"/>
  <c r="F4" i="16"/>
  <c r="O9" i="16"/>
  <c r="J20" i="67"/>
  <c r="J33" i="67"/>
  <c r="J42" i="67"/>
  <c r="I42" i="67" s="1"/>
  <c r="J43" i="67"/>
  <c r="I43" i="67" s="1"/>
  <c r="J53" i="67"/>
  <c r="I53" i="67" s="1"/>
  <c r="J55" i="67"/>
  <c r="J60" i="67"/>
  <c r="J73" i="67"/>
  <c r="I73" i="67" s="1"/>
  <c r="J95" i="67"/>
  <c r="J99" i="67"/>
  <c r="I99" i="67" s="1"/>
  <c r="J111" i="67"/>
  <c r="J112" i="67"/>
  <c r="J121" i="67"/>
  <c r="I121" i="67" s="1"/>
  <c r="J128" i="67"/>
  <c r="J130" i="67"/>
  <c r="I130" i="67" s="1"/>
  <c r="J144" i="67"/>
  <c r="J153" i="67"/>
  <c r="I153" i="67" s="1"/>
  <c r="J158" i="67"/>
  <c r="J165" i="67"/>
  <c r="J166" i="67"/>
  <c r="J169" i="67"/>
  <c r="J170" i="67"/>
  <c r="J187" i="67"/>
  <c r="J190" i="67"/>
  <c r="J204" i="67"/>
  <c r="J205" i="67"/>
  <c r="I205" i="67" s="1"/>
  <c r="J221" i="67"/>
  <c r="I221" i="67" s="1"/>
  <c r="J225" i="67"/>
  <c r="I225" i="67" s="1"/>
  <c r="J226" i="67"/>
  <c r="I226" i="67" s="1"/>
  <c r="J231" i="67"/>
  <c r="I231" i="67" s="1"/>
  <c r="I232" i="67"/>
  <c r="J247" i="67"/>
  <c r="J250" i="67"/>
  <c r="I250" i="67" s="1"/>
  <c r="J251" i="67"/>
  <c r="I251" i="67" s="1"/>
  <c r="J266" i="67"/>
  <c r="J12" i="81"/>
  <c r="J10" i="81" s="1"/>
  <c r="O10" i="81"/>
  <c r="O9" i="81" s="1"/>
  <c r="J10" i="82"/>
  <c r="J147" i="67"/>
  <c r="J200" i="67"/>
  <c r="J260" i="67"/>
  <c r="J264" i="67"/>
  <c r="J265" i="67"/>
  <c r="J273" i="67"/>
  <c r="J19" i="67"/>
  <c r="J48" i="67"/>
  <c r="I72" i="67"/>
  <c r="J75" i="67"/>
  <c r="I85" i="67"/>
  <c r="I89" i="67"/>
  <c r="I105" i="67"/>
  <c r="J133" i="67"/>
  <c r="J143" i="67"/>
  <c r="J155" i="67"/>
  <c r="J157" i="67"/>
  <c r="J160" i="67"/>
  <c r="I164" i="67"/>
  <c r="J186" i="67"/>
  <c r="J18" i="67"/>
  <c r="J23" i="67"/>
  <c r="J31" i="67"/>
  <c r="J35" i="67"/>
  <c r="J47" i="67"/>
  <c r="J58" i="67"/>
  <c r="J68" i="67"/>
  <c r="I82" i="67"/>
  <c r="J88" i="67"/>
  <c r="I88" i="67" s="1"/>
  <c r="J97" i="67"/>
  <c r="J101" i="67"/>
  <c r="I104" i="67"/>
  <c r="J114" i="67"/>
  <c r="I115" i="67"/>
  <c r="J124" i="67"/>
  <c r="J135" i="67"/>
  <c r="J136" i="67"/>
  <c r="I136" i="67" s="1"/>
  <c r="J142" i="67"/>
  <c r="J150" i="67"/>
  <c r="J179" i="67"/>
  <c r="J183" i="67"/>
  <c r="I186" i="67"/>
  <c r="J211" i="67"/>
  <c r="I211" i="67" s="1"/>
  <c r="J218" i="67"/>
  <c r="J219" i="67"/>
  <c r="J223" i="67"/>
  <c r="J229" i="67"/>
  <c r="J243" i="67"/>
  <c r="J244" i="67"/>
  <c r="I244" i="67" s="1"/>
  <c r="J249" i="67"/>
  <c r="J257" i="67"/>
  <c r="J258" i="67"/>
  <c r="I258" i="67" s="1"/>
  <c r="J259" i="67"/>
  <c r="J263" i="67"/>
  <c r="J269" i="67"/>
  <c r="O72" i="82"/>
  <c r="R71" i="82"/>
  <c r="R7" i="2"/>
  <c r="O34" i="81"/>
  <c r="H4" i="81"/>
  <c r="G4" i="81" s="1"/>
  <c r="J24" i="67"/>
  <c r="J36" i="67"/>
  <c r="I49" i="67"/>
  <c r="I83" i="67"/>
  <c r="I119" i="67"/>
  <c r="I151" i="67"/>
  <c r="J163" i="67"/>
  <c r="J168" i="67"/>
  <c r="J10" i="67"/>
  <c r="J7" i="67"/>
  <c r="I7" i="67" s="1"/>
  <c r="D4" i="67" s="1"/>
  <c r="I8" i="67"/>
  <c r="J22" i="67"/>
  <c r="J30" i="67"/>
  <c r="I30" i="67" s="1"/>
  <c r="J34" i="67"/>
  <c r="J39" i="67"/>
  <c r="I39" i="67" s="1"/>
  <c r="J40" i="67"/>
  <c r="J44" i="67"/>
  <c r="J57" i="67"/>
  <c r="I57" i="67" s="1"/>
  <c r="J64" i="67"/>
  <c r="J77" i="67"/>
  <c r="J92" i="67"/>
  <c r="I92" i="67" s="1"/>
  <c r="I93" i="67"/>
  <c r="J100" i="67"/>
  <c r="J113" i="67"/>
  <c r="J123" i="67"/>
  <c r="I123" i="67" s="1"/>
  <c r="J131" i="67"/>
  <c r="I131" i="67" s="1"/>
  <c r="I132" i="67"/>
  <c r="J134" i="67"/>
  <c r="I134" i="67" s="1"/>
  <c r="J140" i="67"/>
  <c r="J162" i="67"/>
  <c r="J173" i="67"/>
  <c r="J175" i="67"/>
  <c r="I175" i="67" s="1"/>
  <c r="I179" i="67"/>
  <c r="J182" i="67"/>
  <c r="J193" i="67"/>
  <c r="J194" i="67"/>
  <c r="J216" i="67"/>
  <c r="J235" i="67"/>
  <c r="I235" i="67" s="1"/>
  <c r="I236" i="67"/>
  <c r="J239" i="67"/>
  <c r="J245" i="67"/>
  <c r="I245" i="67" s="1"/>
  <c r="J248" i="67"/>
  <c r="J253" i="67"/>
  <c r="J268" i="67"/>
  <c r="AO17" i="87" l="1"/>
  <c r="AP17" i="87" s="1"/>
  <c r="I204" i="67"/>
  <c r="AN22" i="87"/>
  <c r="I174" i="67"/>
  <c r="I91" i="67"/>
  <c r="O67" i="16"/>
  <c r="E70" i="67"/>
  <c r="I70" i="67" s="1"/>
  <c r="AM7" i="87"/>
  <c r="AO7" i="87" s="1"/>
  <c r="AP7" i="87" s="1"/>
  <c r="J174" i="67"/>
  <c r="AM12" i="87"/>
  <c r="AO12" i="87" s="1"/>
  <c r="E51" i="67"/>
  <c r="I51" i="67" s="1"/>
  <c r="AM6" i="87"/>
  <c r="J120" i="67"/>
  <c r="AM11" i="87"/>
  <c r="AO11" i="87" s="1"/>
  <c r="AP11" i="87" s="1"/>
  <c r="E3" i="2"/>
  <c r="R67" i="2"/>
  <c r="I4" i="16"/>
  <c r="E195" i="67"/>
  <c r="I195" i="67" s="1"/>
  <c r="AM13" i="87"/>
  <c r="AO13" i="87" s="1"/>
  <c r="AP13" i="87" s="1"/>
  <c r="J70" i="67"/>
  <c r="AP4" i="87"/>
  <c r="J91" i="67"/>
  <c r="AM9" i="87"/>
  <c r="AO9" i="87" s="1"/>
  <c r="AP9" i="87" s="1"/>
  <c r="I120" i="67"/>
  <c r="E270" i="67"/>
  <c r="I270" i="67" s="1"/>
  <c r="AM20" i="87"/>
  <c r="AO20" i="87" s="1"/>
  <c r="AP20" i="87" s="1"/>
  <c r="O197" i="38"/>
  <c r="O196" i="38" s="1"/>
  <c r="R7" i="16"/>
  <c r="F3" i="30"/>
  <c r="O59" i="16"/>
  <c r="J7" i="2"/>
  <c r="O31" i="2"/>
  <c r="O289" i="38"/>
  <c r="O288" i="38" s="1"/>
  <c r="I36" i="82"/>
  <c r="J35" i="82"/>
  <c r="H8" i="72"/>
  <c r="H7" i="72" s="1"/>
  <c r="M7" i="72"/>
  <c r="M6" i="72" s="1"/>
  <c r="O341" i="38"/>
  <c r="O16" i="38"/>
  <c r="O61" i="16"/>
  <c r="O10" i="45"/>
  <c r="O9" i="45" s="1"/>
  <c r="F3" i="45" s="1"/>
  <c r="O15" i="2"/>
  <c r="O8" i="2" s="1"/>
  <c r="O84" i="16"/>
  <c r="O115" i="16"/>
  <c r="O109" i="16" s="1"/>
  <c r="O8" i="81"/>
  <c r="J72" i="82"/>
  <c r="I10" i="82"/>
  <c r="J9" i="82"/>
  <c r="I10" i="81"/>
  <c r="I9" i="81" s="1"/>
  <c r="J9" i="81"/>
  <c r="D3" i="67"/>
  <c r="E3" i="16" l="1"/>
  <c r="R117" i="16"/>
  <c r="AO6" i="87"/>
  <c r="AM22" i="87"/>
  <c r="H6" i="72"/>
  <c r="H5" i="72" s="1"/>
  <c r="O83" i="16"/>
  <c r="O82" i="16" s="1"/>
  <c r="O78" i="16" s="1"/>
  <c r="O60" i="16" s="1"/>
  <c r="O7" i="2"/>
  <c r="O14" i="38"/>
  <c r="O7" i="38" s="1"/>
  <c r="O6" i="38" s="1"/>
  <c r="F3" i="38" s="1"/>
  <c r="O51" i="16"/>
  <c r="O8" i="16" s="1"/>
  <c r="H36" i="82"/>
  <c r="H35" i="82" s="1"/>
  <c r="R34" i="82" s="1"/>
  <c r="I35" i="82"/>
  <c r="J8" i="81"/>
  <c r="I72" i="82"/>
  <c r="J71" i="82"/>
  <c r="H10" i="82"/>
  <c r="H9" i="82" s="1"/>
  <c r="I9" i="82"/>
  <c r="AP6" i="87" l="1"/>
  <c r="AO22" i="87"/>
  <c r="AH4" i="16"/>
  <c r="H7" i="16"/>
  <c r="J7" i="16"/>
  <c r="O7" i="16"/>
  <c r="E4" i="16" s="1"/>
  <c r="E4" i="2"/>
  <c r="O67" i="2"/>
  <c r="O34" i="82"/>
  <c r="AN3" i="82"/>
  <c r="H72" i="82"/>
  <c r="H71" i="82" s="1"/>
  <c r="R70" i="82" s="1"/>
  <c r="I71" i="82"/>
  <c r="I8" i="81"/>
  <c r="O117" i="16" l="1"/>
  <c r="J34" i="82"/>
  <c r="I34" i="82" s="1"/>
  <c r="H34" i="82" s="1"/>
  <c r="R33" i="82" s="1"/>
  <c r="AN4" i="82"/>
  <c r="P123" i="3"/>
  <c r="P119" i="3" s="1"/>
  <c r="O70" i="82"/>
  <c r="AH3" i="82"/>
  <c r="H8" i="81"/>
  <c r="L58" i="1"/>
  <c r="I58" i="1"/>
  <c r="H58" i="1"/>
  <c r="G58" i="1"/>
  <c r="F58" i="1"/>
  <c r="E58" i="1"/>
  <c r="D58" i="1"/>
  <c r="C58" i="1"/>
  <c r="B58" i="1"/>
  <c r="A58" i="1"/>
  <c r="M57" i="1" s="1"/>
  <c r="E21" i="88" s="1"/>
  <c r="L57" i="1"/>
  <c r="J57" i="1"/>
  <c r="I57" i="1"/>
  <c r="H57" i="1"/>
  <c r="G57" i="1"/>
  <c r="F57" i="1"/>
  <c r="E57" i="1"/>
  <c r="D57" i="1"/>
  <c r="C57" i="1"/>
  <c r="B57" i="1"/>
  <c r="A57" i="1"/>
  <c r="M56" i="1" s="1"/>
  <c r="L56" i="1"/>
  <c r="K56" i="1" s="1"/>
  <c r="I56" i="1"/>
  <c r="H56" i="1"/>
  <c r="G56" i="1"/>
  <c r="F56" i="1"/>
  <c r="K58" i="1" l="1"/>
  <c r="D22" i="88"/>
  <c r="K57" i="1"/>
  <c r="D21" i="88"/>
  <c r="H21" i="88"/>
  <c r="F21" i="88"/>
  <c r="P86" i="3"/>
  <c r="O47" i="81"/>
  <c r="O33" i="82"/>
  <c r="AL3" i="82"/>
  <c r="J70" i="82"/>
  <c r="I70" i="82" s="1"/>
  <c r="H70" i="82" s="1"/>
  <c r="R69" i="82" s="1"/>
  <c r="AH4" i="82"/>
  <c r="E56" i="1"/>
  <c r="D56" i="1"/>
  <c r="C56" i="1"/>
  <c r="B56" i="1"/>
  <c r="A56" i="1"/>
  <c r="M55" i="1" s="1"/>
  <c r="L55" i="1" s="1"/>
  <c r="K55" i="1" s="1"/>
  <c r="J55" i="1"/>
  <c r="I55" i="1"/>
  <c r="H55" i="1"/>
  <c r="G55" i="1"/>
  <c r="F55" i="1"/>
  <c r="E55" i="1"/>
  <c r="D55" i="1"/>
  <c r="C55" i="1"/>
  <c r="B55" i="1"/>
  <c r="A55" i="1"/>
  <c r="M54" i="1" s="1"/>
  <c r="L54" i="1"/>
  <c r="K54" i="1" s="1"/>
  <c r="J54" i="1"/>
  <c r="I54" i="1"/>
  <c r="H54" i="1"/>
  <c r="G54" i="1"/>
  <c r="F54" i="1"/>
  <c r="E54" i="1"/>
  <c r="D54" i="1" s="1"/>
  <c r="C54" i="1"/>
  <c r="B54" i="1"/>
  <c r="A54" i="1"/>
  <c r="M53" i="1" s="1"/>
  <c r="L53" i="1" s="1"/>
  <c r="K53" i="1" s="1"/>
  <c r="G53" i="1"/>
  <c r="F53" i="1"/>
  <c r="C53" i="1"/>
  <c r="B53" i="1"/>
  <c r="A53" i="1"/>
  <c r="M52" i="1" s="1"/>
  <c r="F52" i="1"/>
  <c r="C52" i="1"/>
  <c r="B52" i="1"/>
  <c r="A52" i="1"/>
  <c r="M51" i="1" s="1"/>
  <c r="E19" i="88" s="1"/>
  <c r="L51" i="1"/>
  <c r="J51" i="1"/>
  <c r="I51" i="1"/>
  <c r="H51" i="1"/>
  <c r="G51" i="1"/>
  <c r="F51" i="1" s="1"/>
  <c r="E51" i="1" s="1"/>
  <c r="D51" i="1" s="1"/>
  <c r="C51" i="1"/>
  <c r="B51" i="1"/>
  <c r="A51" i="1"/>
  <c r="M50" i="1" s="1"/>
  <c r="L50" i="1"/>
  <c r="K50" i="1" s="1"/>
  <c r="J50" i="1" s="1"/>
  <c r="I50" i="1"/>
  <c r="H50" i="1"/>
  <c r="G50" i="1"/>
  <c r="F50" i="1"/>
  <c r="E50" i="1"/>
  <c r="D50" i="1" s="1"/>
  <c r="C50" i="1"/>
  <c r="B50" i="1"/>
  <c r="A50" i="1"/>
  <c r="M49" i="1" s="1"/>
  <c r="L49" i="1" s="1"/>
  <c r="K49" i="1" s="1"/>
  <c r="J49" i="1"/>
  <c r="I49" i="1"/>
  <c r="H49" i="1"/>
  <c r="G49" i="1"/>
  <c r="F49" i="1"/>
  <c r="E49" i="1"/>
  <c r="D49" i="1"/>
  <c r="C49" i="1"/>
  <c r="B49" i="1"/>
  <c r="A49" i="1"/>
  <c r="M48" i="1" s="1"/>
  <c r="J48" i="1"/>
  <c r="I48" i="1"/>
  <c r="H48" i="1"/>
  <c r="G48" i="1"/>
  <c r="F48" i="1"/>
  <c r="E48" i="1"/>
  <c r="D48" i="1" s="1"/>
  <c r="C48" i="1"/>
  <c r="B48" i="1"/>
  <c r="A48" i="1"/>
  <c r="M47" i="1" s="1"/>
  <c r="L47" i="1"/>
  <c r="K47" i="1" s="1"/>
  <c r="J47" i="1" s="1"/>
  <c r="G47" i="1"/>
  <c r="F47" i="1"/>
  <c r="E47" i="1"/>
  <c r="D47" i="1"/>
  <c r="C47" i="1"/>
  <c r="B47" i="1"/>
  <c r="A47" i="1"/>
  <c r="M46" i="1" s="1"/>
  <c r="L46" i="1" s="1"/>
  <c r="K46" i="1" s="1"/>
  <c r="J46" i="1" s="1"/>
  <c r="I46" i="1"/>
  <c r="H46" i="1"/>
  <c r="G46" i="1"/>
  <c r="F46" i="1"/>
  <c r="E46" i="1"/>
  <c r="D46" i="1"/>
  <c r="C46" i="1"/>
  <c r="B46" i="1"/>
  <c r="A46" i="1"/>
  <c r="M45" i="1" s="1"/>
  <c r="L45" i="1" s="1"/>
  <c r="K45" i="1" s="1"/>
  <c r="J45" i="1"/>
  <c r="I45" i="1"/>
  <c r="H45" i="1"/>
  <c r="G45" i="1"/>
  <c r="F45" i="1"/>
  <c r="E45" i="1"/>
  <c r="D45" i="1"/>
  <c r="C45" i="1"/>
  <c r="B45" i="1"/>
  <c r="A45" i="1"/>
  <c r="M44" i="1" s="1"/>
  <c r="E17" i="88" s="1"/>
  <c r="L44" i="1"/>
  <c r="G44" i="1"/>
  <c r="F44" i="1"/>
  <c r="E44" i="1"/>
  <c r="D44" i="1"/>
  <c r="C44" i="1"/>
  <c r="B44" i="1"/>
  <c r="A44" i="1"/>
  <c r="M43" i="1" s="1"/>
  <c r="J43" i="1"/>
  <c r="I43" i="1"/>
  <c r="H43" i="1"/>
  <c r="G43" i="1" s="1"/>
  <c r="F43" i="1" s="1"/>
  <c r="E43" i="1" s="1"/>
  <c r="D43" i="1" s="1"/>
  <c r="C43" i="1"/>
  <c r="B43" i="1"/>
  <c r="A43" i="1"/>
  <c r="M42" i="1" s="1"/>
  <c r="J42" i="1"/>
  <c r="I42" i="1"/>
  <c r="H42" i="1"/>
  <c r="G42" i="1" s="1"/>
  <c r="F42" i="1" s="1"/>
  <c r="E42" i="1" s="1"/>
  <c r="D42" i="1" s="1"/>
  <c r="C42" i="1"/>
  <c r="B42" i="1"/>
  <c r="A42" i="1"/>
  <c r="L41" i="1" s="1"/>
  <c r="J41" i="1" s="1"/>
  <c r="F41" i="1"/>
  <c r="E41" i="1"/>
  <c r="D41" i="1"/>
  <c r="C41" i="1"/>
  <c r="A41" i="1"/>
  <c r="M40" i="1" s="1"/>
  <c r="L40" i="1" s="1"/>
  <c r="K40" i="1" s="1"/>
  <c r="J40" i="1" s="1"/>
  <c r="I40" i="1"/>
  <c r="H40" i="1"/>
  <c r="G40" i="1"/>
  <c r="F40" i="1"/>
  <c r="E40" i="1"/>
  <c r="D40" i="1"/>
  <c r="C40" i="1"/>
  <c r="B40" i="1"/>
  <c r="A40" i="1"/>
  <c r="M39" i="1" s="1"/>
  <c r="L39" i="1" s="1"/>
  <c r="K39" i="1" s="1"/>
  <c r="J39" i="1" s="1"/>
  <c r="I39" i="1"/>
  <c r="H39" i="1"/>
  <c r="G39" i="1"/>
  <c r="F39" i="1"/>
  <c r="E39" i="1"/>
  <c r="D39" i="1"/>
  <c r="C39" i="1"/>
  <c r="B39" i="1"/>
  <c r="A39" i="1"/>
  <c r="M38" i="1" s="1"/>
  <c r="L38" i="1" s="1"/>
  <c r="K38" i="1" s="1"/>
  <c r="J38" i="1" s="1"/>
  <c r="I38" i="1"/>
  <c r="H38" i="1"/>
  <c r="G38" i="1"/>
  <c r="F38" i="1"/>
  <c r="E38" i="1"/>
  <c r="D38" i="1" s="1"/>
  <c r="C38" i="1"/>
  <c r="B38" i="1"/>
  <c r="A38" i="1"/>
  <c r="M37" i="1" s="1"/>
  <c r="L37" i="1"/>
  <c r="K37" i="1" s="1"/>
  <c r="J37" i="1"/>
  <c r="I37" i="1"/>
  <c r="H37" i="1"/>
  <c r="G37" i="1"/>
  <c r="F37" i="1"/>
  <c r="E37" i="1"/>
  <c r="D37" i="1"/>
  <c r="C37" i="1"/>
  <c r="B37" i="1"/>
  <c r="A37" i="1"/>
  <c r="M36" i="1" s="1"/>
  <c r="E14" i="88" s="1"/>
  <c r="L36" i="1"/>
  <c r="J36" i="1"/>
  <c r="I36" i="1"/>
  <c r="H36" i="1"/>
  <c r="G36" i="1"/>
  <c r="F36" i="1"/>
  <c r="E36" i="1"/>
  <c r="D36" i="1" s="1"/>
  <c r="C36" i="1"/>
  <c r="B36" i="1"/>
  <c r="A36" i="1"/>
  <c r="M35" i="1" s="1"/>
  <c r="L35" i="1" s="1"/>
  <c r="K35" i="1" s="1"/>
  <c r="J35" i="1" s="1"/>
  <c r="I35" i="1" s="1"/>
  <c r="H35" i="1" s="1"/>
  <c r="G35" i="1" s="1"/>
  <c r="F35" i="1" s="1"/>
  <c r="E35" i="1" s="1"/>
  <c r="D35" i="1" s="1"/>
  <c r="C35" i="1"/>
  <c r="B35" i="1"/>
  <c r="A35" i="1"/>
  <c r="M34" i="1" s="1"/>
  <c r="L34" i="1"/>
  <c r="K34" i="1" s="1"/>
  <c r="J34" i="1"/>
  <c r="I34" i="1"/>
  <c r="H34" i="1"/>
  <c r="G34" i="1" s="1"/>
  <c r="F34" i="1" s="1"/>
  <c r="E34" i="1" s="1"/>
  <c r="D34" i="1" s="1"/>
  <c r="C34" i="1"/>
  <c r="B34" i="1"/>
  <c r="A34" i="1"/>
  <c r="M33" i="1" s="1"/>
  <c r="E13" i="88" s="1"/>
  <c r="L33" i="1"/>
  <c r="C33" i="1"/>
  <c r="B33" i="1"/>
  <c r="A33" i="1"/>
  <c r="M32" i="1"/>
  <c r="L32" i="1" s="1"/>
  <c r="K32" i="1" s="1"/>
  <c r="J32" i="1" s="1"/>
  <c r="I32" i="1"/>
  <c r="H32" i="1"/>
  <c r="G32" i="1" s="1"/>
  <c r="F32" i="1"/>
  <c r="E32" i="1"/>
  <c r="D32" i="1"/>
  <c r="C32" i="1"/>
  <c r="B32" i="1"/>
  <c r="A32" i="1"/>
  <c r="M31" i="1" s="1"/>
  <c r="L31" i="1"/>
  <c r="K31" i="1" s="1"/>
  <c r="J31" i="1" s="1"/>
  <c r="I31" i="1"/>
  <c r="H31" i="1"/>
  <c r="G31" i="1"/>
  <c r="F31" i="1"/>
  <c r="E31" i="1"/>
  <c r="D31" i="1"/>
  <c r="C31" i="1"/>
  <c r="B31" i="1"/>
  <c r="A31" i="1"/>
  <c r="M30" i="1" s="1"/>
  <c r="L30" i="1"/>
  <c r="K30" i="1" s="1"/>
  <c r="I30" i="1"/>
  <c r="H30" i="1"/>
  <c r="G30" i="1"/>
  <c r="F30" i="1"/>
  <c r="E30" i="1"/>
  <c r="D30" i="1"/>
  <c r="C30" i="1"/>
  <c r="B30" i="1"/>
  <c r="A30" i="1"/>
  <c r="M29" i="1" s="1"/>
  <c r="L29" i="1" s="1"/>
  <c r="K29" i="1" s="1"/>
  <c r="F29" i="1"/>
  <c r="E29" i="1"/>
  <c r="D29" i="1"/>
  <c r="C29" i="1"/>
  <c r="B29" i="1"/>
  <c r="A29" i="1"/>
  <c r="M28" i="1" s="1"/>
  <c r="E12" i="88" s="1"/>
  <c r="L28" i="1"/>
  <c r="F28" i="1"/>
  <c r="E28" i="1"/>
  <c r="C28" i="1"/>
  <c r="B28" i="1"/>
  <c r="A28" i="1"/>
  <c r="M27" i="1" s="1"/>
  <c r="E11" i="88" s="1"/>
  <c r="L27" i="1"/>
  <c r="I27" i="1"/>
  <c r="H27" i="1"/>
  <c r="G27" i="1"/>
  <c r="E27" i="1"/>
  <c r="C27" i="1"/>
  <c r="B27" i="1"/>
  <c r="A27" i="1"/>
  <c r="M26" i="1" s="1"/>
  <c r="L26" i="1" s="1"/>
  <c r="K26" i="1" s="1"/>
  <c r="J26" i="1" s="1"/>
  <c r="I26" i="1"/>
  <c r="H26" i="1"/>
  <c r="G26" i="1"/>
  <c r="F26" i="1" s="1"/>
  <c r="E26" i="1" s="1"/>
  <c r="D26" i="1" s="1"/>
  <c r="C26" i="1"/>
  <c r="B26" i="1"/>
  <c r="A26" i="1"/>
  <c r="M25" i="1" s="1"/>
  <c r="I25" i="1"/>
  <c r="H25" i="1"/>
  <c r="G25" i="1"/>
  <c r="C25" i="1"/>
  <c r="B25" i="1"/>
  <c r="A25" i="1"/>
  <c r="M24" i="1" s="1"/>
  <c r="I24" i="1"/>
  <c r="H24" i="1"/>
  <c r="G24" i="1" s="1"/>
  <c r="C24" i="1"/>
  <c r="B24" i="1"/>
  <c r="A24" i="1"/>
  <c r="M23" i="1" s="1"/>
  <c r="E10" i="88" s="1"/>
  <c r="I23" i="1"/>
  <c r="H23" i="1"/>
  <c r="G23" i="1" s="1"/>
  <c r="C23" i="1"/>
  <c r="B23" i="1"/>
  <c r="A23" i="1"/>
  <c r="M22" i="1" s="1"/>
  <c r="L22" i="1" s="1"/>
  <c r="K22" i="1" s="1"/>
  <c r="J22" i="1" s="1"/>
  <c r="I22" i="1"/>
  <c r="H22" i="1"/>
  <c r="G22" i="1" s="1"/>
  <c r="F22" i="1" s="1"/>
  <c r="E22" i="1" s="1"/>
  <c r="D22" i="1" s="1"/>
  <c r="C22" i="1"/>
  <c r="B22" i="1"/>
  <c r="A22" i="1"/>
  <c r="M21" i="1" s="1"/>
  <c r="L21" i="1"/>
  <c r="K21" i="1" s="1"/>
  <c r="J21" i="1" s="1"/>
  <c r="I21" i="1"/>
  <c r="H21" i="1"/>
  <c r="G21" i="1" s="1"/>
  <c r="F21" i="1" s="1"/>
  <c r="E21" i="1" s="1"/>
  <c r="D21" i="1" s="1"/>
  <c r="C21" i="1"/>
  <c r="B21" i="1"/>
  <c r="A21" i="1"/>
  <c r="M20" i="1" s="1"/>
  <c r="L20" i="1" s="1"/>
  <c r="K20" i="1" s="1"/>
  <c r="I20" i="1"/>
  <c r="H20" i="1"/>
  <c r="G20" i="1" s="1"/>
  <c r="F20" i="1" s="1"/>
  <c r="E20" i="1"/>
  <c r="D20" i="1"/>
  <c r="C20" i="1"/>
  <c r="B20" i="1"/>
  <c r="A20" i="1"/>
  <c r="M19" i="1" s="1"/>
  <c r="E9" i="88" s="1"/>
  <c r="L19" i="1"/>
  <c r="I19" i="1"/>
  <c r="H19" i="1"/>
  <c r="G19" i="1" s="1"/>
  <c r="F19" i="1" s="1"/>
  <c r="E19" i="1" s="1"/>
  <c r="D19" i="1" s="1"/>
  <c r="C19" i="1"/>
  <c r="B19" i="1"/>
  <c r="A19" i="1"/>
  <c r="M18" i="1" s="1"/>
  <c r="E8" i="88" s="1"/>
  <c r="L18" i="1"/>
  <c r="J18" i="1"/>
  <c r="I18" i="1"/>
  <c r="H18" i="1"/>
  <c r="G18" i="1" s="1"/>
  <c r="F18" i="1"/>
  <c r="E18" i="1"/>
  <c r="D18" i="1"/>
  <c r="C18" i="1"/>
  <c r="B18" i="1"/>
  <c r="A18" i="1"/>
  <c r="M17" i="1" s="1"/>
  <c r="L17" i="1" s="1"/>
  <c r="K17" i="1" s="1"/>
  <c r="J17" i="1" s="1"/>
  <c r="I17" i="1"/>
  <c r="H17" i="1"/>
  <c r="G17" i="1"/>
  <c r="B17" i="1"/>
  <c r="A17" i="1"/>
  <c r="M16" i="1" s="1"/>
  <c r="I16" i="1"/>
  <c r="H16" i="1"/>
  <c r="G16" i="1" s="1"/>
  <c r="C16" i="1"/>
  <c r="B16" i="1"/>
  <c r="A16" i="1"/>
  <c r="M15" i="1" s="1"/>
  <c r="J15" i="1"/>
  <c r="I15" i="1"/>
  <c r="H15" i="1"/>
  <c r="G15" i="1"/>
  <c r="F15" i="1" s="1"/>
  <c r="E15" i="1" s="1"/>
  <c r="D15" i="1" s="1"/>
  <c r="C15" i="1"/>
  <c r="B15" i="1"/>
  <c r="A15" i="1"/>
  <c r="M14" i="1" s="1"/>
  <c r="E7" i="88" s="1"/>
  <c r="I14" i="1"/>
  <c r="H14" i="1"/>
  <c r="G14" i="1" s="1"/>
  <c r="C14" i="1"/>
  <c r="B14" i="1"/>
  <c r="A14" i="1"/>
  <c r="M13" i="1" s="1"/>
  <c r="L13" i="1" s="1"/>
  <c r="K13" i="1" s="1"/>
  <c r="J13" i="1" s="1"/>
  <c r="I13" i="1"/>
  <c r="H13" i="1"/>
  <c r="G13" i="1" s="1"/>
  <c r="F13" i="1" s="1"/>
  <c r="E13" i="1" s="1"/>
  <c r="D13" i="1" s="1"/>
  <c r="C13" i="1"/>
  <c r="B13" i="1"/>
  <c r="A13" i="1"/>
  <c r="M12" i="1" s="1"/>
  <c r="L12" i="1"/>
  <c r="K12" i="1" s="1"/>
  <c r="J12" i="1" s="1"/>
  <c r="I12" i="1"/>
  <c r="H12" i="1"/>
  <c r="G12" i="1" s="1"/>
  <c r="F12" i="1" s="1"/>
  <c r="E12" i="1" s="1"/>
  <c r="D12" i="1" s="1"/>
  <c r="C12" i="1"/>
  <c r="B12" i="1"/>
  <c r="A12" i="1"/>
  <c r="M11" i="1" s="1"/>
  <c r="L11" i="1" s="1"/>
  <c r="K11" i="1" s="1"/>
  <c r="J11" i="1"/>
  <c r="I11" i="1"/>
  <c r="H11" i="1"/>
  <c r="G11" i="1"/>
  <c r="F11" i="1" s="1"/>
  <c r="E11" i="1" s="1"/>
  <c r="D11" i="1" s="1"/>
  <c r="C11" i="1"/>
  <c r="B11" i="1"/>
  <c r="A11" i="1"/>
  <c r="M10" i="1" s="1"/>
  <c r="J10" i="1"/>
  <c r="I10" i="1"/>
  <c r="H10" i="1"/>
  <c r="G10" i="1" s="1"/>
  <c r="F10" i="1" s="1"/>
  <c r="E10" i="1" s="1"/>
  <c r="D10" i="1" s="1"/>
  <c r="C10" i="1"/>
  <c r="B10" i="1"/>
  <c r="A10" i="1"/>
  <c r="M9" i="1" s="1"/>
  <c r="L9" i="1" s="1"/>
  <c r="K9" i="1" s="1"/>
  <c r="J9" i="1" s="1"/>
  <c r="I9" i="1"/>
  <c r="H9" i="1"/>
  <c r="G9" i="1"/>
  <c r="F9" i="1"/>
  <c r="E9" i="1"/>
  <c r="D9" i="1"/>
  <c r="C9" i="1"/>
  <c r="B9" i="1"/>
  <c r="A9" i="1"/>
  <c r="M8" i="1" s="1"/>
  <c r="L8" i="1" s="1"/>
  <c r="K8" i="1" s="1"/>
  <c r="J8" i="1" s="1"/>
  <c r="I8" i="1"/>
  <c r="H8" i="1"/>
  <c r="G8" i="1"/>
  <c r="F8" i="1"/>
  <c r="E8" i="1"/>
  <c r="D8" i="1"/>
  <c r="C8" i="1"/>
  <c r="B8" i="1"/>
  <c r="A8" i="1"/>
  <c r="M7" i="1" s="1"/>
  <c r="L7" i="1" s="1"/>
  <c r="K7" i="1" s="1"/>
  <c r="J7" i="1" s="1"/>
  <c r="I7" i="1"/>
  <c r="H7" i="1"/>
  <c r="G7" i="1"/>
  <c r="F7" i="1"/>
  <c r="E7" i="1"/>
  <c r="D7" i="1"/>
  <c r="C7" i="1"/>
  <c r="B7" i="1"/>
  <c r="A7" i="1"/>
  <c r="M6" i="1" s="1"/>
  <c r="E5" i="88" s="1"/>
  <c r="L6" i="1"/>
  <c r="D5" i="88" s="1"/>
  <c r="J6" i="1"/>
  <c r="I6" i="1"/>
  <c r="H6" i="1"/>
  <c r="F6" i="1"/>
  <c r="E6" i="1"/>
  <c r="D6" i="1"/>
  <c r="C6" i="1"/>
  <c r="B6" i="1"/>
  <c r="A6" i="1"/>
  <c r="C1" i="1"/>
  <c r="A1" i="1"/>
  <c r="AL61" i="76" s="1"/>
  <c r="AK61" i="76" s="1"/>
  <c r="AH61" i="76" s="1"/>
  <c r="AG61" i="76" s="1"/>
  <c r="AF61" i="76" s="1"/>
  <c r="AE61" i="76" s="1"/>
  <c r="AD61" i="76" s="1"/>
  <c r="AC61" i="76" s="1"/>
  <c r="Z61" i="76" s="1"/>
  <c r="Y61" i="76" s="1"/>
  <c r="X61" i="76" s="1"/>
  <c r="W61" i="76" s="1"/>
  <c r="R61" i="76" s="1"/>
  <c r="Q61" i="76" s="1"/>
  <c r="P61" i="76" s="1"/>
  <c r="O61" i="76" s="1"/>
  <c r="L61" i="76" s="1"/>
  <c r="K61" i="76" s="1"/>
  <c r="H61" i="76" s="1"/>
  <c r="G61" i="76" s="1"/>
  <c r="C61" i="76" s="1"/>
  <c r="AN60" i="76" s="1"/>
  <c r="AM60" i="76" s="1"/>
  <c r="AL60" i="76"/>
  <c r="AK60" i="76" s="1"/>
  <c r="AJ60" i="76" s="1"/>
  <c r="AI60" i="76"/>
  <c r="AH60" i="76" s="1"/>
  <c r="AG60" i="76"/>
  <c r="AF60" i="76"/>
  <c r="AE60" i="76"/>
  <c r="AD60" i="76" s="1"/>
  <c r="AC60" i="76"/>
  <c r="AB60" i="76" s="1"/>
  <c r="AA60" i="76"/>
  <c r="Z60" i="76" s="1"/>
  <c r="Y60" i="76"/>
  <c r="X60" i="76" s="1"/>
  <c r="W60" i="76" s="1"/>
  <c r="V60" i="76" s="1"/>
  <c r="U60" i="76"/>
  <c r="T60" i="76" s="1"/>
  <c r="S60" i="76"/>
  <c r="R60" i="76" s="1"/>
  <c r="Q60" i="76"/>
  <c r="P60" i="76" s="1"/>
  <c r="O60" i="76"/>
  <c r="N60" i="76" s="1"/>
  <c r="M60" i="76"/>
  <c r="L60" i="76" s="1"/>
  <c r="K60" i="76"/>
  <c r="J60" i="76"/>
  <c r="I60" i="76"/>
  <c r="H60" i="76" s="1"/>
  <c r="G60" i="76" s="1"/>
  <c r="F60" i="76" s="1"/>
  <c r="E60" i="76"/>
  <c r="AM59" i="76"/>
  <c r="AL59" i="76"/>
  <c r="AK59" i="76"/>
  <c r="AJ59" i="76"/>
  <c r="AI59" i="76" s="1"/>
  <c r="AH59" i="76"/>
  <c r="AG59" i="76" s="1"/>
  <c r="AF59" i="76"/>
  <c r="AE59" i="76" s="1"/>
  <c r="AD59" i="76"/>
  <c r="AC59" i="76" s="1"/>
  <c r="AB59" i="76"/>
  <c r="AA59" i="76" s="1"/>
  <c r="Z59" i="76"/>
  <c r="Y59" i="76" s="1"/>
  <c r="X59" i="76"/>
  <c r="W59" i="76"/>
  <c r="V59" i="76" s="1"/>
  <c r="U59" i="76" s="1"/>
  <c r="T59" i="76"/>
  <c r="S59" i="76" s="1"/>
  <c r="R59" i="76"/>
  <c r="Q59" i="76"/>
  <c r="P59" i="76"/>
  <c r="O59" i="76" s="1"/>
  <c r="N59" i="76" s="1"/>
  <c r="M59" i="76" s="1"/>
  <c r="L59" i="76"/>
  <c r="K59" i="76" s="1"/>
  <c r="J59" i="76"/>
  <c r="I59" i="76" s="1"/>
  <c r="H59" i="76"/>
  <c r="G59" i="76"/>
  <c r="F59" i="76"/>
  <c r="E59" i="76" s="1"/>
  <c r="AH58" i="76"/>
  <c r="AN57" i="76"/>
  <c r="AM57" i="76"/>
  <c r="AL57" i="76"/>
  <c r="AK57" i="76"/>
  <c r="AJ57" i="76"/>
  <c r="AI57" i="76"/>
  <c r="AH57" i="76"/>
  <c r="AG57" i="76"/>
  <c r="AF57" i="76"/>
  <c r="AE57" i="76"/>
  <c r="AD57" i="76"/>
  <c r="AC57" i="76"/>
  <c r="AB57" i="76"/>
  <c r="AA57" i="76"/>
  <c r="Z57" i="76" s="1"/>
  <c r="X57" i="76"/>
  <c r="W57" i="76"/>
  <c r="V57" i="76"/>
  <c r="U57" i="76"/>
  <c r="T57" i="76"/>
  <c r="S57" i="76"/>
  <c r="R57" i="76" s="1"/>
  <c r="Q57" i="76" s="1"/>
  <c r="P57" i="76"/>
  <c r="O57" i="76"/>
  <c r="N57" i="76"/>
  <c r="M57" i="76"/>
  <c r="L57" i="76" s="1"/>
  <c r="K57" i="76" s="1"/>
  <c r="J57" i="76"/>
  <c r="I57" i="76"/>
  <c r="H57" i="76"/>
  <c r="G57" i="76"/>
  <c r="F57" i="76"/>
  <c r="E57" i="76"/>
  <c r="AN56" i="76"/>
  <c r="AM56" i="76"/>
  <c r="AL56" i="76"/>
  <c r="AK56" i="76"/>
  <c r="AJ56" i="76"/>
  <c r="AI56" i="76"/>
  <c r="AH56" i="76"/>
  <c r="AG56" i="76"/>
  <c r="AF56" i="76" s="1"/>
  <c r="AE56" i="76" s="1"/>
  <c r="AD56" i="76"/>
  <c r="AC56" i="76"/>
  <c r="AB56" i="76"/>
  <c r="AA56" i="76"/>
  <c r="Z56" i="76" s="1"/>
  <c r="V56" i="76"/>
  <c r="U56" i="76"/>
  <c r="T56" i="76"/>
  <c r="S56" i="76"/>
  <c r="R56" i="76" s="1"/>
  <c r="Q56" i="76" s="1"/>
  <c r="P56" i="76" s="1"/>
  <c r="O56" i="76" s="1"/>
  <c r="N56" i="76"/>
  <c r="M56" i="76"/>
  <c r="L56" i="76"/>
  <c r="K56" i="76"/>
  <c r="J56" i="76"/>
  <c r="I56" i="76"/>
  <c r="H56" i="76"/>
  <c r="G56" i="76"/>
  <c r="F56" i="76"/>
  <c r="E56" i="76"/>
  <c r="AN55" i="76"/>
  <c r="AM55" i="76"/>
  <c r="AL55" i="76"/>
  <c r="AK55" i="76"/>
  <c r="AJ55" i="76"/>
  <c r="AI55" i="76"/>
  <c r="AH55" i="76"/>
  <c r="AG55" i="76"/>
  <c r="AF55" i="76" s="1"/>
  <c r="AE55" i="76" s="1"/>
  <c r="AD55" i="76"/>
  <c r="AC55" i="76"/>
  <c r="AB55" i="76"/>
  <c r="AA55" i="76"/>
  <c r="Z55" i="76"/>
  <c r="Y55" i="76"/>
  <c r="X55" i="76"/>
  <c r="W55" i="76"/>
  <c r="V55" i="76"/>
  <c r="U55" i="76"/>
  <c r="T55" i="76"/>
  <c r="S55" i="76"/>
  <c r="R55" i="76" s="1"/>
  <c r="Q55" i="76" s="1"/>
  <c r="P55" i="76" s="1"/>
  <c r="O55" i="76" s="1"/>
  <c r="N55" i="76"/>
  <c r="M55" i="76"/>
  <c r="L55" i="76"/>
  <c r="K55" i="76"/>
  <c r="J55" i="76"/>
  <c r="I55" i="76"/>
  <c r="H55" i="76"/>
  <c r="G55" i="76"/>
  <c r="F55" i="76" s="1"/>
  <c r="E55" i="76" s="1"/>
  <c r="AN54" i="76"/>
  <c r="AM54" i="76"/>
  <c r="AL54" i="76"/>
  <c r="AK54" i="76"/>
  <c r="AJ54" i="76"/>
  <c r="AI54" i="76"/>
  <c r="AH54" i="76"/>
  <c r="AG54" i="76"/>
  <c r="AF54" i="76" s="1"/>
  <c r="AE54" i="76" s="1"/>
  <c r="AD54" i="76"/>
  <c r="AC54" i="76"/>
  <c r="AB54" i="76"/>
  <c r="AA54" i="76"/>
  <c r="Z54" i="76" s="1"/>
  <c r="X54" i="76"/>
  <c r="W54" i="76"/>
  <c r="V54" i="76"/>
  <c r="U54" i="76"/>
  <c r="T54" i="76"/>
  <c r="S54" i="76"/>
  <c r="R54" i="76" s="1"/>
  <c r="Q54" i="76" s="1"/>
  <c r="P54" i="76" s="1"/>
  <c r="O54" i="76" s="1"/>
  <c r="N54" i="76"/>
  <c r="M54" i="76"/>
  <c r="L54" i="76" s="1"/>
  <c r="K54" i="76" s="1"/>
  <c r="J54" i="76"/>
  <c r="I54" i="76"/>
  <c r="H54" i="76"/>
  <c r="G54" i="76"/>
  <c r="F54" i="76" s="1"/>
  <c r="E54" i="76" s="1"/>
  <c r="AN53" i="76"/>
  <c r="AM53" i="76"/>
  <c r="AL53" i="76"/>
  <c r="AK53" i="76"/>
  <c r="AJ53" i="76"/>
  <c r="AI53" i="76"/>
  <c r="AH53" i="76"/>
  <c r="AG53" i="76"/>
  <c r="AF53" i="76"/>
  <c r="AE53" i="76"/>
  <c r="AD53" i="76"/>
  <c r="AC53" i="76"/>
  <c r="AB53" i="76"/>
  <c r="AA53" i="76"/>
  <c r="Z53" i="76" s="1"/>
  <c r="X53" i="76"/>
  <c r="W53" i="76"/>
  <c r="V53" i="76"/>
  <c r="U53" i="76"/>
  <c r="T53" i="76"/>
  <c r="S53" i="76"/>
  <c r="R53" i="76" s="1"/>
  <c r="Q53" i="76" s="1"/>
  <c r="P53" i="76" s="1"/>
  <c r="O53" i="76" s="1"/>
  <c r="N53" i="76"/>
  <c r="M53" i="76"/>
  <c r="L53" i="76" s="1"/>
  <c r="K53" i="76" s="1"/>
  <c r="J53" i="76"/>
  <c r="I53" i="76"/>
  <c r="H53" i="76"/>
  <c r="G53" i="76"/>
  <c r="F53" i="76"/>
  <c r="E53" i="76"/>
  <c r="AN52" i="76"/>
  <c r="AM52" i="76"/>
  <c r="AL52" i="76"/>
  <c r="AK52" i="76"/>
  <c r="AJ52" i="76" s="1"/>
  <c r="AI52" i="76" s="1"/>
  <c r="AH52" i="76"/>
  <c r="AG52" i="76"/>
  <c r="AF52" i="76" s="1"/>
  <c r="AE52" i="76" s="1"/>
  <c r="AD52" i="76"/>
  <c r="AC52" i="76"/>
  <c r="AB52" i="76"/>
  <c r="AA52" i="76"/>
  <c r="Z52" i="76"/>
  <c r="Y52" i="76"/>
  <c r="X52" i="76"/>
  <c r="W52" i="76"/>
  <c r="V52" i="76"/>
  <c r="U52" i="76"/>
  <c r="T52" i="76"/>
  <c r="S52" i="76"/>
  <c r="R52" i="76" s="1"/>
  <c r="Q52" i="76" s="1"/>
  <c r="P52" i="76" s="1"/>
  <c r="O52" i="76" s="1"/>
  <c r="N52" i="76"/>
  <c r="M52" i="76"/>
  <c r="L52" i="76" s="1"/>
  <c r="K52" i="76" s="1"/>
  <c r="J52" i="76" s="1"/>
  <c r="I52" i="76" s="1"/>
  <c r="H52" i="76"/>
  <c r="G52" i="76"/>
  <c r="F52" i="76"/>
  <c r="E52" i="76"/>
  <c r="AN51" i="76"/>
  <c r="AM51" i="76"/>
  <c r="AL51" i="76"/>
  <c r="AK51" i="76"/>
  <c r="AJ51" i="76"/>
  <c r="AI51" i="76"/>
  <c r="AH51" i="76"/>
  <c r="AG51" i="76"/>
  <c r="AF51" i="76" s="1"/>
  <c r="AE51" i="76" s="1"/>
  <c r="AD51" i="76"/>
  <c r="AC51" i="76"/>
  <c r="AB51" i="76"/>
  <c r="AA51" i="76"/>
  <c r="Z51" i="76" s="1"/>
  <c r="Y51" i="76" s="1"/>
  <c r="X51" i="76" s="1"/>
  <c r="W51" i="76" s="1"/>
  <c r="V51" i="76"/>
  <c r="U51" i="76"/>
  <c r="T51" i="76"/>
  <c r="S51" i="76"/>
  <c r="R51" i="76" s="1"/>
  <c r="Q51" i="76" s="1"/>
  <c r="P51" i="76" s="1"/>
  <c r="O51" i="76" s="1"/>
  <c r="N51" i="76"/>
  <c r="M51" i="76"/>
  <c r="L51" i="76"/>
  <c r="K51" i="76"/>
  <c r="J51" i="76"/>
  <c r="I51" i="76"/>
  <c r="H51" i="76"/>
  <c r="G51" i="76"/>
  <c r="F51" i="76" s="1"/>
  <c r="E51" i="76" s="1"/>
  <c r="AN50" i="76"/>
  <c r="AM50" i="76"/>
  <c r="AL50" i="76"/>
  <c r="AK50" i="76"/>
  <c r="AJ50" i="76" s="1"/>
  <c r="AI50" i="76" s="1"/>
  <c r="AH50" i="76"/>
  <c r="AG50" i="76"/>
  <c r="AF50" i="76" s="1"/>
  <c r="AE50" i="76" s="1"/>
  <c r="AD50" i="76"/>
  <c r="AC50" i="76"/>
  <c r="AB50" i="76"/>
  <c r="AA50" i="76"/>
  <c r="Z50" i="76" s="1"/>
  <c r="Y50" i="76" s="1"/>
  <c r="X50" i="76" s="1"/>
  <c r="W50" i="76" s="1"/>
  <c r="V50" i="76"/>
  <c r="U50" i="76"/>
  <c r="T50" i="76"/>
  <c r="S50" i="76"/>
  <c r="R50" i="76" s="1"/>
  <c r="Q50" i="76" s="1"/>
  <c r="P50" i="76" s="1"/>
  <c r="O50" i="76" s="1"/>
  <c r="N50" i="76" s="1"/>
  <c r="J50" i="76"/>
  <c r="I50" i="76"/>
  <c r="H50" i="76" s="1"/>
  <c r="G50" i="76" s="1"/>
  <c r="F50" i="76" s="1"/>
  <c r="E50" i="76" s="1"/>
  <c r="AN49" i="76"/>
  <c r="AM49" i="76"/>
  <c r="AL49" i="76"/>
  <c r="AK49" i="76"/>
  <c r="AJ49" i="76" s="1"/>
  <c r="AI49" i="76" s="1"/>
  <c r="AH49" i="76"/>
  <c r="AG49" i="76"/>
  <c r="AF49" i="76" s="1"/>
  <c r="AE49" i="76" s="1"/>
  <c r="AD49" i="76"/>
  <c r="AC49" i="76"/>
  <c r="AB49" i="76"/>
  <c r="AA49" i="76"/>
  <c r="Z49" i="76" s="1"/>
  <c r="Y49" i="76" s="1"/>
  <c r="X49" i="76"/>
  <c r="W49" i="76"/>
  <c r="V49" i="76"/>
  <c r="U49" i="76"/>
  <c r="T49" i="76"/>
  <c r="S49" i="76"/>
  <c r="R49" i="76" s="1"/>
  <c r="Q49" i="76" s="1"/>
  <c r="P49" i="76" s="1"/>
  <c r="O49" i="76" s="1"/>
  <c r="N49" i="76"/>
  <c r="M49" i="76"/>
  <c r="L49" i="76"/>
  <c r="K49" i="76"/>
  <c r="J49" i="76" s="1"/>
  <c r="I49" i="76" s="1"/>
  <c r="H49" i="76" s="1"/>
  <c r="G49" i="76" s="1"/>
  <c r="F49" i="76"/>
  <c r="E49" i="76"/>
  <c r="AN48" i="76"/>
  <c r="AM48" i="76"/>
  <c r="AL48" i="76"/>
  <c r="AK48" i="76"/>
  <c r="AJ48" i="76" s="1"/>
  <c r="AI48" i="76" s="1"/>
  <c r="AH48" i="76"/>
  <c r="AG48" i="76"/>
  <c r="AF48" i="76" s="1"/>
  <c r="AE48" i="76" s="1"/>
  <c r="AD48" i="76"/>
  <c r="AC48" i="76"/>
  <c r="AB48" i="76"/>
  <c r="AA48" i="76"/>
  <c r="Z48" i="76" s="1"/>
  <c r="Y48" i="76" s="1"/>
  <c r="X48" i="76"/>
  <c r="W48" i="76"/>
  <c r="V48" i="76"/>
  <c r="U48" i="76"/>
  <c r="T48" i="76"/>
  <c r="S48" i="76"/>
  <c r="R48" i="76" s="1"/>
  <c r="Q48" i="76" s="1"/>
  <c r="P48" i="76" s="1"/>
  <c r="O48" i="76" s="1"/>
  <c r="N48" i="76"/>
  <c r="M48" i="76"/>
  <c r="L48" i="76" s="1"/>
  <c r="K48" i="76" s="1"/>
  <c r="J48" i="76"/>
  <c r="I48" i="76"/>
  <c r="H48" i="76" s="1"/>
  <c r="G48" i="76" s="1"/>
  <c r="F48" i="76"/>
  <c r="E48" i="76"/>
  <c r="AN47" i="76"/>
  <c r="AM47" i="76"/>
  <c r="AL47" i="76"/>
  <c r="AK47" i="76"/>
  <c r="AJ47" i="76"/>
  <c r="AI47" i="76"/>
  <c r="AH47" i="76"/>
  <c r="AG47" i="76"/>
  <c r="AF47" i="76" s="1"/>
  <c r="AE47" i="76" s="1"/>
  <c r="AD47" i="76"/>
  <c r="AC47" i="76"/>
  <c r="AB47" i="76"/>
  <c r="AA47" i="76"/>
  <c r="Z47" i="76" s="1"/>
  <c r="Y47" i="76" s="1"/>
  <c r="X47" i="76" s="1"/>
  <c r="W47" i="76" s="1"/>
  <c r="V47" i="76"/>
  <c r="U47" i="76"/>
  <c r="T47" i="76"/>
  <c r="S47" i="76"/>
  <c r="R47" i="76" s="1"/>
  <c r="Q47" i="76" s="1"/>
  <c r="P47" i="76" s="1"/>
  <c r="O47" i="76" s="1"/>
  <c r="N47" i="76" s="1"/>
  <c r="M47" i="76" s="1"/>
  <c r="L47" i="76" s="1"/>
  <c r="K47" i="76" s="1"/>
  <c r="F47" i="76"/>
  <c r="E47" i="76"/>
  <c r="AN46" i="76"/>
  <c r="AM46" i="76"/>
  <c r="AL46" i="76" s="1"/>
  <c r="AK46" i="76" s="1"/>
  <c r="AJ46" i="76" s="1"/>
  <c r="AI46" i="76" s="1"/>
  <c r="AH46" i="76"/>
  <c r="AG46" i="76"/>
  <c r="AF46" i="76" s="1"/>
  <c r="AE46" i="76" s="1"/>
  <c r="AD46" i="76"/>
  <c r="AC46" i="76"/>
  <c r="AB46" i="76"/>
  <c r="AA46" i="76"/>
  <c r="Z46" i="76" s="1"/>
  <c r="Y46" i="76" s="1"/>
  <c r="X46" i="76" s="1"/>
  <c r="W46" i="76" s="1"/>
  <c r="V46" i="76"/>
  <c r="U46" i="76"/>
  <c r="T46" i="76"/>
  <c r="S46" i="76"/>
  <c r="R46" i="76" s="1"/>
  <c r="Q46" i="76" s="1"/>
  <c r="P46" i="76" s="1"/>
  <c r="O46" i="76" s="1"/>
  <c r="N46" i="76"/>
  <c r="M46" i="76"/>
  <c r="L46" i="76" s="1"/>
  <c r="K46" i="76" s="1"/>
  <c r="J46" i="76"/>
  <c r="I46" i="76"/>
  <c r="H46" i="76" s="1"/>
  <c r="G46" i="76" s="1"/>
  <c r="F46" i="76"/>
  <c r="E46" i="76"/>
  <c r="AH45" i="76"/>
  <c r="AG45" i="76" s="1"/>
  <c r="X45" i="76" s="1"/>
  <c r="W45" i="76" s="1"/>
  <c r="AN44" i="76"/>
  <c r="AM44" i="76"/>
  <c r="AL44" i="76"/>
  <c r="AK44" i="76"/>
  <c r="AJ44" i="76"/>
  <c r="AI44" i="76"/>
  <c r="AH44" i="76"/>
  <c r="AG44" i="76"/>
  <c r="AF44" i="76" s="1"/>
  <c r="AE44" i="76" s="1"/>
  <c r="AD44" i="76"/>
  <c r="AC44" i="76"/>
  <c r="AB44" i="76"/>
  <c r="AA44" i="76"/>
  <c r="Z44" i="76" s="1"/>
  <c r="Y44" i="76" s="1"/>
  <c r="X44" i="76"/>
  <c r="W44" i="76"/>
  <c r="V44" i="76"/>
  <c r="U44" i="76"/>
  <c r="T44" i="76"/>
  <c r="S44" i="76"/>
  <c r="R44" i="76" s="1"/>
  <c r="Q44" i="76" s="1"/>
  <c r="P44" i="76" s="1"/>
  <c r="O44" i="76" s="1"/>
  <c r="N44" i="76"/>
  <c r="M44" i="76"/>
  <c r="L44" i="76"/>
  <c r="K44" i="76"/>
  <c r="J44" i="76"/>
  <c r="I44" i="76"/>
  <c r="H44" i="76"/>
  <c r="G44" i="76"/>
  <c r="F44" i="76"/>
  <c r="E44" i="76"/>
  <c r="AN43" i="76"/>
  <c r="AM43" i="76"/>
  <c r="AL43" i="76"/>
  <c r="AK43" i="76"/>
  <c r="AJ43" i="76"/>
  <c r="AI43" i="76"/>
  <c r="AH43" i="76"/>
  <c r="AG43" i="76"/>
  <c r="AF43" i="76" s="1"/>
  <c r="AE43" i="76" s="1"/>
  <c r="AD43" i="76"/>
  <c r="AC43" i="76"/>
  <c r="AB43" i="76"/>
  <c r="AA43" i="76"/>
  <c r="Z43" i="76" s="1"/>
  <c r="Y43" i="76" s="1"/>
  <c r="X43" i="76"/>
  <c r="W43" i="76"/>
  <c r="V43" i="76"/>
  <c r="U43" i="76"/>
  <c r="T43" i="76"/>
  <c r="S43" i="76"/>
  <c r="R43" i="76" s="1"/>
  <c r="Q43" i="76" s="1"/>
  <c r="P43" i="76" s="1"/>
  <c r="O43" i="76" s="1"/>
  <c r="N43" i="76"/>
  <c r="M43" i="76"/>
  <c r="L43" i="76"/>
  <c r="K43" i="76"/>
  <c r="J43" i="76"/>
  <c r="I43" i="76"/>
  <c r="H43" i="76"/>
  <c r="G43" i="76"/>
  <c r="F43" i="76"/>
  <c r="E43" i="76"/>
  <c r="AN42" i="76"/>
  <c r="AM42" i="76"/>
  <c r="AL42" i="76"/>
  <c r="AK42" i="76"/>
  <c r="AJ42" i="76"/>
  <c r="AI42" i="76"/>
  <c r="AH42" i="76"/>
  <c r="AG42" i="76"/>
  <c r="AF42" i="76" s="1"/>
  <c r="AE42" i="76" s="1"/>
  <c r="AD42" i="76"/>
  <c r="AC42" i="76"/>
  <c r="AB42" i="76" s="1"/>
  <c r="AA42" i="76" s="1"/>
  <c r="Z42" i="76" s="1"/>
  <c r="Y42" i="76" s="1"/>
  <c r="X42" i="76" s="1"/>
  <c r="W42" i="76" s="1"/>
  <c r="V42" i="76"/>
  <c r="U42" i="76"/>
  <c r="T42" i="76"/>
  <c r="S42" i="76"/>
  <c r="R42" i="76" s="1"/>
  <c r="Q42" i="76" s="1"/>
  <c r="P42" i="76" s="1"/>
  <c r="O42" i="76" s="1"/>
  <c r="N42" i="76"/>
  <c r="M42" i="76"/>
  <c r="L42" i="76"/>
  <c r="K42" i="76"/>
  <c r="AN41" i="76"/>
  <c r="AM41" i="76"/>
  <c r="AL41" i="76"/>
  <c r="AK41" i="76"/>
  <c r="AJ41" i="76" s="1"/>
  <c r="AI41" i="76" s="1"/>
  <c r="AH41" i="76"/>
  <c r="AG41" i="76"/>
  <c r="AF41" i="76" s="1"/>
  <c r="AE41" i="76" s="1"/>
  <c r="AD41" i="76"/>
  <c r="AC41" i="76"/>
  <c r="AB41" i="76" s="1"/>
  <c r="AA41" i="76" s="1"/>
  <c r="W41" i="76"/>
  <c r="V41" i="76"/>
  <c r="U41" i="76"/>
  <c r="T41" i="76"/>
  <c r="S41" i="76"/>
  <c r="R41" i="76" s="1"/>
  <c r="Q41" i="76" s="1"/>
  <c r="P41" i="76" s="1"/>
  <c r="O41" i="76" s="1"/>
  <c r="N41" i="76" s="1"/>
  <c r="M41" i="76" s="1"/>
  <c r="L41" i="76" s="1"/>
  <c r="K41" i="76" s="1"/>
  <c r="J41" i="76" s="1"/>
  <c r="I41" i="76" s="1"/>
  <c r="H41" i="76" s="1"/>
  <c r="G41" i="76" s="1"/>
  <c r="F41" i="76" s="1"/>
  <c r="E41" i="76" s="1"/>
  <c r="AN40" i="76"/>
  <c r="AM40" i="76"/>
  <c r="AL40" i="76"/>
  <c r="AK40" i="76"/>
  <c r="AJ40" i="76" s="1"/>
  <c r="AI40" i="76" s="1"/>
  <c r="AH40" i="76"/>
  <c r="AG40" i="76"/>
  <c r="AF40" i="76" s="1"/>
  <c r="AE40" i="76" s="1"/>
  <c r="AD40" i="76"/>
  <c r="AC40" i="76"/>
  <c r="AB40" i="76"/>
  <c r="AA40" i="76"/>
  <c r="V40" i="76"/>
  <c r="U40" i="76"/>
  <c r="T40" i="76"/>
  <c r="S40" i="76"/>
  <c r="R40" i="76" s="1"/>
  <c r="Q40" i="76" s="1"/>
  <c r="P40" i="76" s="1"/>
  <c r="O40" i="76" s="1"/>
  <c r="N40" i="76"/>
  <c r="M40" i="76"/>
  <c r="L40" i="76"/>
  <c r="K40" i="76"/>
  <c r="J40" i="76" s="1"/>
  <c r="I40" i="76" s="1"/>
  <c r="H40" i="76" s="1"/>
  <c r="G40" i="76" s="1"/>
  <c r="F40" i="76" s="1"/>
  <c r="E40" i="76" s="1"/>
  <c r="AN39" i="76"/>
  <c r="AM39" i="76"/>
  <c r="AL39" i="76"/>
  <c r="AK39" i="76"/>
  <c r="AJ39" i="76" s="1"/>
  <c r="AI39" i="76" s="1"/>
  <c r="AH39" i="76"/>
  <c r="AG39" i="76"/>
  <c r="AF39" i="76" s="1"/>
  <c r="AE39" i="76" s="1"/>
  <c r="AD39" i="76"/>
  <c r="AC39" i="76"/>
  <c r="AB39" i="76" s="1"/>
  <c r="AA39" i="76" s="1"/>
  <c r="V39" i="76"/>
  <c r="U39" i="76"/>
  <c r="T39" i="76"/>
  <c r="S39" i="76"/>
  <c r="R39" i="76" s="1"/>
  <c r="Q39" i="76" s="1"/>
  <c r="P39" i="76" s="1"/>
  <c r="O39" i="76" s="1"/>
  <c r="N39" i="76"/>
  <c r="M39" i="76"/>
  <c r="L39" i="76" s="1"/>
  <c r="K39" i="76" s="1"/>
  <c r="J39" i="76" s="1"/>
  <c r="I39" i="76" s="1"/>
  <c r="H39" i="76" s="1"/>
  <c r="G39" i="76" s="1"/>
  <c r="F39" i="76" s="1"/>
  <c r="E39" i="76" s="1"/>
  <c r="K19" i="1" l="1"/>
  <c r="D9" i="88"/>
  <c r="H10" i="88"/>
  <c r="K27" i="1"/>
  <c r="D11" i="88"/>
  <c r="K51" i="1"/>
  <c r="D19" i="88"/>
  <c r="H9" i="88"/>
  <c r="F9" i="88"/>
  <c r="H11" i="88"/>
  <c r="L43" i="1"/>
  <c r="E16" i="88"/>
  <c r="H19" i="88"/>
  <c r="H7" i="88"/>
  <c r="L10" i="1"/>
  <c r="E6" i="88"/>
  <c r="L52" i="1"/>
  <c r="E20" i="88"/>
  <c r="K18" i="1"/>
  <c r="D8" i="88"/>
  <c r="K28" i="1"/>
  <c r="D12" i="88"/>
  <c r="F12" i="88" s="1"/>
  <c r="K36" i="1"/>
  <c r="D14" i="88"/>
  <c r="F14" i="88" s="1"/>
  <c r="G5" i="88"/>
  <c r="AQ4" i="87"/>
  <c r="H8" i="88"/>
  <c r="H12" i="88"/>
  <c r="H14" i="88"/>
  <c r="L42" i="1"/>
  <c r="E15" i="88"/>
  <c r="H5" i="88"/>
  <c r="F5" i="88"/>
  <c r="G21" i="88"/>
  <c r="I21" i="88" s="1"/>
  <c r="AQ20" i="87"/>
  <c r="K44" i="1"/>
  <c r="D17" i="88"/>
  <c r="K33" i="1"/>
  <c r="D13" i="88"/>
  <c r="H17" i="88"/>
  <c r="L48" i="1"/>
  <c r="E18" i="88"/>
  <c r="G22" i="88"/>
  <c r="AQ21" i="87"/>
  <c r="H13" i="88"/>
  <c r="Z41" i="76"/>
  <c r="C52" i="76"/>
  <c r="I33" i="1"/>
  <c r="H33" i="1" s="1"/>
  <c r="G33" i="1" s="1"/>
  <c r="F33" i="1" s="1"/>
  <c r="E33" i="1" s="1"/>
  <c r="D33" i="1" s="1"/>
  <c r="D44" i="76"/>
  <c r="C46" i="76"/>
  <c r="AN45" i="76" s="1"/>
  <c r="D45" i="76" s="1"/>
  <c r="C49" i="76"/>
  <c r="C51" i="76"/>
  <c r="J33" i="82"/>
  <c r="I33" i="82" s="1"/>
  <c r="H33" i="82" s="1"/>
  <c r="R32" i="82" s="1"/>
  <c r="D48" i="76"/>
  <c r="D53" i="76"/>
  <c r="J47" i="81"/>
  <c r="I47" i="81" s="1"/>
  <c r="T4" i="81"/>
  <c r="D52" i="76"/>
  <c r="C55" i="76"/>
  <c r="D43" i="76"/>
  <c r="C44" i="76"/>
  <c r="C43" i="76"/>
  <c r="D46" i="76"/>
  <c r="C48" i="76"/>
  <c r="D49" i="76"/>
  <c r="C60" i="76"/>
  <c r="AN59" i="76" s="1"/>
  <c r="D59" i="76" s="1"/>
  <c r="C59" i="76" s="1"/>
  <c r="AN58" i="76" s="1"/>
  <c r="O69" i="82"/>
  <c r="R63" i="82"/>
  <c r="O3" i="82"/>
  <c r="D51" i="76"/>
  <c r="D57" i="76"/>
  <c r="D60" i="76"/>
  <c r="G6" i="1"/>
  <c r="D55" i="76"/>
  <c r="K6" i="1"/>
  <c r="D54" i="76"/>
  <c r="D61" i="76"/>
  <c r="AN38" i="76"/>
  <c r="AM38" i="76"/>
  <c r="AL38" i="76"/>
  <c r="AK38" i="76"/>
  <c r="AJ38" i="76" s="1"/>
  <c r="AI38" i="76" s="1"/>
  <c r="AH38" i="76"/>
  <c r="AG38" i="76"/>
  <c r="AF38" i="76" s="1"/>
  <c r="AE38" i="76" s="1"/>
  <c r="AD38" i="76"/>
  <c r="AC38" i="76"/>
  <c r="AB38" i="76"/>
  <c r="AA38" i="76"/>
  <c r="X38" i="76"/>
  <c r="W38" i="76"/>
  <c r="V38" i="76"/>
  <c r="U38" i="76"/>
  <c r="T38" i="76"/>
  <c r="S38" i="76"/>
  <c r="R38" i="76" s="1"/>
  <c r="Q38" i="76" s="1"/>
  <c r="P38" i="76"/>
  <c r="O38" i="76"/>
  <c r="N38" i="76"/>
  <c r="M38" i="76"/>
  <c r="L38" i="76"/>
  <c r="K38" i="76"/>
  <c r="J38" i="76" s="1"/>
  <c r="I38" i="76" s="1"/>
  <c r="H38" i="76"/>
  <c r="G38" i="76"/>
  <c r="F38" i="76"/>
  <c r="E38" i="76"/>
  <c r="AN37" i="76"/>
  <c r="AM37" i="76"/>
  <c r="AL37" i="76" s="1"/>
  <c r="AK37" i="76" s="1"/>
  <c r="AJ37" i="76" s="1"/>
  <c r="AI37" i="76" s="1"/>
  <c r="AH37" i="76" s="1"/>
  <c r="AG37" i="76" s="1"/>
  <c r="AF37" i="76" s="1"/>
  <c r="AE37" i="76" s="1"/>
  <c r="AD37" i="76"/>
  <c r="AC37" i="76"/>
  <c r="AB37" i="76"/>
  <c r="AA37" i="76" s="1"/>
  <c r="Z37" i="76" s="1"/>
  <c r="Y37" i="76" s="1"/>
  <c r="X37" i="76" s="1"/>
  <c r="W37" i="76" s="1"/>
  <c r="V37" i="76"/>
  <c r="U37" i="76"/>
  <c r="T37" i="76" s="1"/>
  <c r="S37" i="76" s="1"/>
  <c r="R37" i="76" s="1"/>
  <c r="Q37" i="76" s="1"/>
  <c r="P37" i="76"/>
  <c r="O37" i="76"/>
  <c r="N37" i="76"/>
  <c r="M37" i="76"/>
  <c r="L37" i="76"/>
  <c r="K37" i="76"/>
  <c r="J37" i="76" s="1"/>
  <c r="I37" i="76" s="1"/>
  <c r="H37" i="76" s="1"/>
  <c r="G37" i="76" s="1"/>
  <c r="F37" i="76" s="1"/>
  <c r="E37" i="76" s="1"/>
  <c r="AN36" i="76"/>
  <c r="AM36" i="76"/>
  <c r="AL36" i="76"/>
  <c r="AK36" i="76"/>
  <c r="AJ36" i="76"/>
  <c r="AI36" i="76"/>
  <c r="AH36" i="76"/>
  <c r="AG36" i="76"/>
  <c r="AF36" i="76" s="1"/>
  <c r="AE36" i="76" s="1"/>
  <c r="AD36" i="76"/>
  <c r="AC36" i="76"/>
  <c r="AB36" i="76"/>
  <c r="AA36" i="76"/>
  <c r="Z36" i="76" s="1"/>
  <c r="Y36" i="76" s="1"/>
  <c r="X36" i="76"/>
  <c r="W36" i="76"/>
  <c r="V36" i="76"/>
  <c r="U36" i="76"/>
  <c r="T36" i="76"/>
  <c r="S36" i="76"/>
  <c r="R36" i="76"/>
  <c r="Q36" i="76"/>
  <c r="P36" i="76"/>
  <c r="O36" i="76"/>
  <c r="N36" i="76"/>
  <c r="M36" i="76"/>
  <c r="L36" i="76"/>
  <c r="K36" i="76"/>
  <c r="J36" i="76"/>
  <c r="I36" i="76"/>
  <c r="H36" i="76"/>
  <c r="G36" i="76"/>
  <c r="F36" i="76"/>
  <c r="E36" i="76"/>
  <c r="AN35" i="76"/>
  <c r="AM35" i="76"/>
  <c r="AL35" i="76" s="1"/>
  <c r="AK35" i="76" s="1"/>
  <c r="AJ35" i="76"/>
  <c r="AI35" i="76"/>
  <c r="AH35" i="76"/>
  <c r="AG35" i="76"/>
  <c r="AF35" i="76" s="1"/>
  <c r="AE35" i="76" s="1"/>
  <c r="AD35" i="76"/>
  <c r="AC35" i="76"/>
  <c r="AB35" i="76"/>
  <c r="AA35" i="76"/>
  <c r="Z35" i="76" s="1"/>
  <c r="Y35" i="76" s="1"/>
  <c r="X35" i="76"/>
  <c r="W35" i="76"/>
  <c r="V35" i="76"/>
  <c r="U35" i="76"/>
  <c r="T35" i="76"/>
  <c r="S35" i="76"/>
  <c r="R35" i="76" s="1"/>
  <c r="Q35" i="76" s="1"/>
  <c r="P35" i="76" s="1"/>
  <c r="O35" i="76" s="1"/>
  <c r="N35" i="76"/>
  <c r="M35" i="76"/>
  <c r="L35" i="76" s="1"/>
  <c r="K35" i="76" s="1"/>
  <c r="J35" i="76"/>
  <c r="I35" i="76"/>
  <c r="H35" i="76" s="1"/>
  <c r="G35" i="76" s="1"/>
  <c r="F35" i="76" s="1"/>
  <c r="E35" i="76" s="1"/>
  <c r="AN34" i="76"/>
  <c r="AM34" i="76"/>
  <c r="AL34" i="76" s="1"/>
  <c r="AK34" i="76" s="1"/>
  <c r="AJ34" i="76"/>
  <c r="AI34" i="76"/>
  <c r="AH34" i="76" s="1"/>
  <c r="AG34" i="76" s="1"/>
  <c r="AF34" i="76" s="1"/>
  <c r="AE34" i="76" s="1"/>
  <c r="AD34" i="76"/>
  <c r="AC34" i="76"/>
  <c r="AB34" i="76" s="1"/>
  <c r="AA34" i="76" s="1"/>
  <c r="Z34" i="76" s="1"/>
  <c r="Y34" i="76" s="1"/>
  <c r="X34" i="76"/>
  <c r="W34" i="76"/>
  <c r="V34" i="76"/>
  <c r="U34" i="76"/>
  <c r="T34" i="76"/>
  <c r="S34" i="76"/>
  <c r="R34" i="76" s="1"/>
  <c r="Q34" i="76" s="1"/>
  <c r="P34" i="76"/>
  <c r="O34" i="76"/>
  <c r="N34" i="76"/>
  <c r="M34" i="76"/>
  <c r="L34" i="76"/>
  <c r="K34" i="76"/>
  <c r="J34" i="76"/>
  <c r="I34" i="76"/>
  <c r="H34" i="76"/>
  <c r="G34" i="76"/>
  <c r="F34" i="76"/>
  <c r="E34" i="76"/>
  <c r="AL33" i="76"/>
  <c r="AK33" i="76"/>
  <c r="AJ33" i="76"/>
  <c r="AI33" i="76"/>
  <c r="AH33" i="76"/>
  <c r="AG33" i="76"/>
  <c r="AF33" i="76"/>
  <c r="AE33" i="76"/>
  <c r="AD33" i="76"/>
  <c r="AC33" i="76"/>
  <c r="AB33" i="76"/>
  <c r="AA33" i="76"/>
  <c r="Z33" i="76"/>
  <c r="Y33" i="76"/>
  <c r="X33" i="76"/>
  <c r="W33" i="76"/>
  <c r="V33" i="76"/>
  <c r="U33" i="76"/>
  <c r="T33" i="76"/>
  <c r="S33" i="76"/>
  <c r="R33" i="76"/>
  <c r="Q33" i="76"/>
  <c r="P33" i="76"/>
  <c r="O33" i="76"/>
  <c r="N33" i="76"/>
  <c r="M33" i="76"/>
  <c r="L33" i="76"/>
  <c r="K33" i="76"/>
  <c r="J33" i="76"/>
  <c r="I33" i="76"/>
  <c r="H33" i="76"/>
  <c r="G33" i="76"/>
  <c r="F33" i="76"/>
  <c r="E33" i="76"/>
  <c r="AN32" i="76"/>
  <c r="AM32" i="76"/>
  <c r="AL32" i="76"/>
  <c r="AK32" i="76"/>
  <c r="AJ32" i="76"/>
  <c r="AI32" i="76"/>
  <c r="AH32" i="76" s="1"/>
  <c r="AF32" i="76"/>
  <c r="AE32" i="76"/>
  <c r="AD32" i="76"/>
  <c r="AC32" i="76"/>
  <c r="AB32" i="76"/>
  <c r="AA32" i="76"/>
  <c r="Z32" i="76"/>
  <c r="Y32" i="76"/>
  <c r="X32" i="76"/>
  <c r="W32" i="76"/>
  <c r="V32" i="76"/>
  <c r="U32" i="76"/>
  <c r="T32" i="76"/>
  <c r="S32" i="76"/>
  <c r="R32" i="76"/>
  <c r="Q32" i="76"/>
  <c r="P32" i="76"/>
  <c r="O32" i="76"/>
  <c r="N32" i="76"/>
  <c r="M32" i="76"/>
  <c r="L32" i="76"/>
  <c r="K32" i="76"/>
  <c r="J32" i="76"/>
  <c r="I32" i="76"/>
  <c r="H32" i="76"/>
  <c r="G32" i="76"/>
  <c r="F32" i="76"/>
  <c r="E32" i="76"/>
  <c r="AN31" i="76"/>
  <c r="AM31" i="76"/>
  <c r="AL31" i="76"/>
  <c r="AK31" i="76"/>
  <c r="AJ31" i="76"/>
  <c r="AI31" i="76"/>
  <c r="AH31" i="76"/>
  <c r="AG31" i="76"/>
  <c r="AF31" i="76"/>
  <c r="AE31" i="76"/>
  <c r="AD31" i="76"/>
  <c r="AC31" i="76"/>
  <c r="AB31" i="76"/>
  <c r="AA31" i="76"/>
  <c r="Z31" i="76"/>
  <c r="Y31" i="76"/>
  <c r="X31" i="76"/>
  <c r="W31" i="76"/>
  <c r="V31" i="76"/>
  <c r="U31" i="76"/>
  <c r="T31" i="76"/>
  <c r="S31" i="76"/>
  <c r="R31" i="76"/>
  <c r="Q31" i="76"/>
  <c r="P31" i="76"/>
  <c r="O31" i="76"/>
  <c r="N31" i="76"/>
  <c r="M31" i="76"/>
  <c r="L31" i="76"/>
  <c r="K31" i="76"/>
  <c r="J31" i="76"/>
  <c r="I31" i="76"/>
  <c r="H31" i="76"/>
  <c r="G31" i="76"/>
  <c r="F31" i="76"/>
  <c r="E31" i="76"/>
  <c r="AN30" i="76"/>
  <c r="AM30" i="76"/>
  <c r="AL30" i="76"/>
  <c r="AK30" i="76" s="1"/>
  <c r="AJ30" i="76"/>
  <c r="AI30" i="76"/>
  <c r="AH30" i="76"/>
  <c r="AG30" i="76"/>
  <c r="AF30" i="76" s="1"/>
  <c r="AE30" i="76" s="1"/>
  <c r="AD30" i="76" s="1"/>
  <c r="Z30" i="76"/>
  <c r="Y30" i="76"/>
  <c r="X30" i="76"/>
  <c r="W30" i="76"/>
  <c r="V30" i="76"/>
  <c r="U30" i="76"/>
  <c r="T30" i="76"/>
  <c r="S30" i="76"/>
  <c r="R30" i="76"/>
  <c r="Q30" i="76"/>
  <c r="P30" i="76"/>
  <c r="O30" i="76"/>
  <c r="N30" i="76"/>
  <c r="M30" i="76"/>
  <c r="L30" i="76"/>
  <c r="K30" i="76"/>
  <c r="J30" i="76"/>
  <c r="I30" i="76"/>
  <c r="H30" i="76"/>
  <c r="G30" i="76"/>
  <c r="F30" i="76"/>
  <c r="E30" i="76"/>
  <c r="AN29" i="76"/>
  <c r="AM29" i="76"/>
  <c r="AL29" i="76"/>
  <c r="AK29" i="76"/>
  <c r="AJ29" i="76"/>
  <c r="AI29" i="76"/>
  <c r="AH29" i="76"/>
  <c r="AG29" i="76"/>
  <c r="AF29" i="76"/>
  <c r="AE29" i="76"/>
  <c r="AD29" i="76"/>
  <c r="AC29" i="76"/>
  <c r="AB29" i="76"/>
  <c r="AA29" i="76"/>
  <c r="Z29" i="76" s="1"/>
  <c r="Y29" i="76" s="1"/>
  <c r="X29" i="76"/>
  <c r="W29" i="76"/>
  <c r="V29" i="76"/>
  <c r="U29" i="76"/>
  <c r="T29" i="76"/>
  <c r="S29" i="76"/>
  <c r="R29" i="76"/>
  <c r="Q29" i="76"/>
  <c r="P29" i="76" s="1"/>
  <c r="O29" i="76" s="1"/>
  <c r="N29" i="76"/>
  <c r="M29" i="76"/>
  <c r="L29" i="76"/>
  <c r="K29" i="76"/>
  <c r="J29" i="76"/>
  <c r="I29" i="76"/>
  <c r="H29" i="76"/>
  <c r="G29" i="76"/>
  <c r="F29" i="76"/>
  <c r="E29" i="76"/>
  <c r="AN28" i="76"/>
  <c r="AM28" i="76"/>
  <c r="AL28" i="76"/>
  <c r="AK28" i="76"/>
  <c r="AJ28" i="76"/>
  <c r="AI28" i="76"/>
  <c r="AH28" i="76"/>
  <c r="AG28" i="76"/>
  <c r="AF28" i="76"/>
  <c r="AE28" i="76"/>
  <c r="AD28" i="76"/>
  <c r="AC28" i="76"/>
  <c r="AB28" i="76"/>
  <c r="AA28" i="76"/>
  <c r="Z28" i="76" s="1"/>
  <c r="Y28" i="76" s="1"/>
  <c r="X28" i="76"/>
  <c r="W28" i="76"/>
  <c r="V28" i="76"/>
  <c r="U28" i="76"/>
  <c r="T28" i="76"/>
  <c r="S28" i="76"/>
  <c r="R28" i="76"/>
  <c r="Q28" i="76"/>
  <c r="P28" i="76"/>
  <c r="O28" i="76"/>
  <c r="N28" i="76"/>
  <c r="M28" i="76"/>
  <c r="L28" i="76"/>
  <c r="K28" i="76"/>
  <c r="J28" i="76"/>
  <c r="I28" i="76"/>
  <c r="H28" i="76"/>
  <c r="G28" i="76"/>
  <c r="F28" i="76"/>
  <c r="E28" i="76"/>
  <c r="AN27" i="76"/>
  <c r="AM27" i="76"/>
  <c r="AL27" i="76"/>
  <c r="AK27" i="76"/>
  <c r="AJ27" i="76"/>
  <c r="AI27" i="76"/>
  <c r="AH27" i="76"/>
  <c r="AG27" i="76"/>
  <c r="AF27" i="76"/>
  <c r="AE27" i="76"/>
  <c r="AD27" i="76"/>
  <c r="AC27" i="76"/>
  <c r="AB27" i="76"/>
  <c r="AA27" i="76"/>
  <c r="Z27" i="76"/>
  <c r="Y27" i="76"/>
  <c r="X27" i="76"/>
  <c r="W27" i="76"/>
  <c r="V27" i="76"/>
  <c r="U27" i="76"/>
  <c r="T27" i="76"/>
  <c r="S27" i="76"/>
  <c r="R27" i="76"/>
  <c r="Q27" i="76"/>
  <c r="P27" i="76"/>
  <c r="O27" i="76"/>
  <c r="N27" i="76"/>
  <c r="M27" i="76"/>
  <c r="L27" i="76"/>
  <c r="K27" i="76"/>
  <c r="J27" i="76"/>
  <c r="I27" i="76"/>
  <c r="H27" i="76"/>
  <c r="G27" i="76"/>
  <c r="F27" i="76"/>
  <c r="E27" i="76"/>
  <c r="AN26" i="76"/>
  <c r="AM26" i="76"/>
  <c r="AL26" i="76"/>
  <c r="AK26" i="76"/>
  <c r="AJ26" i="76"/>
  <c r="AI26" i="76"/>
  <c r="AH26" i="76"/>
  <c r="AG26" i="76"/>
  <c r="AF26" i="76"/>
  <c r="AE26" i="76"/>
  <c r="AD26" i="76"/>
  <c r="AC26" i="76"/>
  <c r="AB26" i="76"/>
  <c r="AA26" i="76"/>
  <c r="Z26" i="76"/>
  <c r="Y26" i="76"/>
  <c r="X26" i="76"/>
  <c r="W26" i="76"/>
  <c r="V26" i="76"/>
  <c r="U26" i="76" s="1"/>
  <c r="T26" i="76"/>
  <c r="S26" i="76"/>
  <c r="R26" i="76"/>
  <c r="Q26" i="76"/>
  <c r="P26" i="76"/>
  <c r="O26" i="76"/>
  <c r="N26" i="76"/>
  <c r="M26" i="76"/>
  <c r="L26" i="76"/>
  <c r="K26" i="76"/>
  <c r="J26" i="76"/>
  <c r="I26" i="76"/>
  <c r="H26" i="76"/>
  <c r="G26" i="76"/>
  <c r="F26" i="76"/>
  <c r="E26" i="76"/>
  <c r="AN25" i="76"/>
  <c r="AM25" i="76"/>
  <c r="AL25" i="76"/>
  <c r="AK25" i="76"/>
  <c r="AJ25" i="76"/>
  <c r="AI25" i="76"/>
  <c r="AH25" i="76"/>
  <c r="AG25" i="76"/>
  <c r="AF25" i="76"/>
  <c r="AE25" i="76"/>
  <c r="AD25" i="76"/>
  <c r="AC25" i="76"/>
  <c r="AB25" i="76"/>
  <c r="AA25" i="76"/>
  <c r="Z25" i="76"/>
  <c r="Y25" i="76"/>
  <c r="X25" i="76"/>
  <c r="W25" i="76"/>
  <c r="V25" i="76"/>
  <c r="U25" i="76"/>
  <c r="T25" i="76"/>
  <c r="S25" i="76"/>
  <c r="R25" i="76"/>
  <c r="Q25" i="76"/>
  <c r="P25" i="76" s="1"/>
  <c r="O25" i="76" s="1"/>
  <c r="N25" i="76"/>
  <c r="M25" i="76"/>
  <c r="L25" i="76"/>
  <c r="K25" i="76"/>
  <c r="J25" i="76"/>
  <c r="I25" i="76"/>
  <c r="H25" i="76"/>
  <c r="G25" i="76"/>
  <c r="F25" i="76"/>
  <c r="E25" i="76"/>
  <c r="AN24" i="76"/>
  <c r="AM24" i="76"/>
  <c r="AL24" i="76" s="1"/>
  <c r="AK24" i="76" s="1"/>
  <c r="AJ24" i="76"/>
  <c r="AI24" i="76"/>
  <c r="AH24" i="76"/>
  <c r="AG24" i="76"/>
  <c r="AF24" i="76" s="1"/>
  <c r="AE24" i="76" s="1"/>
  <c r="AD24" i="76"/>
  <c r="AC24" i="76"/>
  <c r="AB24" i="76"/>
  <c r="AA24" i="76"/>
  <c r="Z24" i="76"/>
  <c r="Y24" i="76"/>
  <c r="X24" i="76"/>
  <c r="W24" i="76"/>
  <c r="V24" i="76"/>
  <c r="U24" i="76"/>
  <c r="T24" i="76"/>
  <c r="S24" i="76" s="1"/>
  <c r="R24" i="76" s="1"/>
  <c r="Q24" i="76" s="1"/>
  <c r="P24" i="76" s="1"/>
  <c r="O24" i="76" s="1"/>
  <c r="N24" i="76"/>
  <c r="M24" i="76"/>
  <c r="L24" i="76"/>
  <c r="K24" i="76"/>
  <c r="J24" i="76"/>
  <c r="I24" i="76"/>
  <c r="H24" i="76"/>
  <c r="G24" i="76"/>
  <c r="F24" i="76"/>
  <c r="E24" i="76"/>
  <c r="AN23" i="76"/>
  <c r="AM23" i="76"/>
  <c r="AL23" i="76"/>
  <c r="AK23" i="76"/>
  <c r="AJ23" i="76"/>
  <c r="AI23" i="76"/>
  <c r="AH23" i="76"/>
  <c r="AG23" i="76"/>
  <c r="AF23" i="76"/>
  <c r="AE23" i="76"/>
  <c r="AD23" i="76"/>
  <c r="AC23" i="76"/>
  <c r="AB23" i="76"/>
  <c r="AA23" i="76"/>
  <c r="Z23" i="76"/>
  <c r="Y23" i="76"/>
  <c r="X23" i="76"/>
  <c r="W23" i="76"/>
  <c r="V23" i="76"/>
  <c r="U23" i="76"/>
  <c r="T23" i="76"/>
  <c r="S23" i="76"/>
  <c r="R23" i="76"/>
  <c r="Q23" i="76"/>
  <c r="P23" i="76"/>
  <c r="O23" i="76"/>
  <c r="N23" i="76"/>
  <c r="M23" i="76"/>
  <c r="L23" i="76"/>
  <c r="K23" i="76"/>
  <c r="J23" i="76" s="1"/>
  <c r="H23" i="76"/>
  <c r="G23" i="76"/>
  <c r="F23" i="76"/>
  <c r="E23" i="76"/>
  <c r="AN22" i="76"/>
  <c r="AM22" i="76"/>
  <c r="AL22" i="76"/>
  <c r="AK22" i="76"/>
  <c r="AJ22" i="76"/>
  <c r="AI22" i="76"/>
  <c r="AH22" i="76"/>
  <c r="AG22" i="76"/>
  <c r="AF22" i="76"/>
  <c r="AE22" i="76"/>
  <c r="AD22" i="76"/>
  <c r="AC22" i="76"/>
  <c r="AB22" i="76"/>
  <c r="AA22" i="76"/>
  <c r="Z22" i="76"/>
  <c r="Y22" i="76"/>
  <c r="X22" i="76"/>
  <c r="W22" i="76"/>
  <c r="V22" i="76"/>
  <c r="U22" i="76"/>
  <c r="T22" i="76"/>
  <c r="S22" i="76"/>
  <c r="R22" i="76"/>
  <c r="Q22" i="76"/>
  <c r="P22" i="76"/>
  <c r="O22" i="76"/>
  <c r="N22" i="76"/>
  <c r="M22" i="76"/>
  <c r="L22" i="76"/>
  <c r="K22" i="76"/>
  <c r="J22" i="76"/>
  <c r="I22" i="76"/>
  <c r="H22" i="76" s="1"/>
  <c r="G22" i="76" s="1"/>
  <c r="F22" i="76"/>
  <c r="E22" i="76"/>
  <c r="AN21" i="76"/>
  <c r="AM21" i="76"/>
  <c r="AL21" i="76"/>
  <c r="AK21" i="76"/>
  <c r="AJ21" i="76"/>
  <c r="AI21" i="76"/>
  <c r="AH21" i="76"/>
  <c r="AG21" i="76"/>
  <c r="AF21" i="76"/>
  <c r="AE21" i="76"/>
  <c r="AD21" i="76"/>
  <c r="AC21" i="76"/>
  <c r="AB21" i="76"/>
  <c r="AA21" i="76"/>
  <c r="Z21" i="76"/>
  <c r="Y21" i="76"/>
  <c r="X21" i="76"/>
  <c r="W21" i="76"/>
  <c r="V21" i="76"/>
  <c r="U21" i="76"/>
  <c r="T21" i="76"/>
  <c r="S21" i="76"/>
  <c r="R21" i="76"/>
  <c r="Q21" i="76"/>
  <c r="P21" i="76"/>
  <c r="O21" i="76"/>
  <c r="N21" i="76" s="1"/>
  <c r="L21" i="76"/>
  <c r="K21" i="76"/>
  <c r="J21" i="76"/>
  <c r="I21" i="76"/>
  <c r="H21" i="76"/>
  <c r="G21" i="76"/>
  <c r="F21" i="76"/>
  <c r="E21" i="76"/>
  <c r="AN20" i="76"/>
  <c r="AM20" i="76"/>
  <c r="AL20" i="76"/>
  <c r="AK20" i="76"/>
  <c r="AJ20" i="76"/>
  <c r="AI20" i="76"/>
  <c r="AH20" i="76"/>
  <c r="AG20" i="76"/>
  <c r="AF20" i="76"/>
  <c r="AE20" i="76"/>
  <c r="AD20" i="76"/>
  <c r="AC20" i="76"/>
  <c r="AB20" i="76"/>
  <c r="AA20" i="76"/>
  <c r="Z20" i="76"/>
  <c r="Y20" i="76"/>
  <c r="X20" i="76"/>
  <c r="W20" i="76"/>
  <c r="V20" i="76"/>
  <c r="U20" i="76"/>
  <c r="T20" i="76"/>
  <c r="S20" i="76"/>
  <c r="R20" i="76"/>
  <c r="Q20" i="76"/>
  <c r="P20" i="76"/>
  <c r="O20" i="76"/>
  <c r="N20" i="76"/>
  <c r="M20" i="76"/>
  <c r="L20" i="76" s="1"/>
  <c r="J20" i="76"/>
  <c r="I20" i="76"/>
  <c r="H20" i="76"/>
  <c r="G20" i="76"/>
  <c r="F20" i="76"/>
  <c r="E20" i="76"/>
  <c r="AN19" i="76"/>
  <c r="AM19" i="76"/>
  <c r="AL19" i="76"/>
  <c r="AK19" i="76"/>
  <c r="AJ19" i="76"/>
  <c r="AI19" i="76"/>
  <c r="AH19" i="76"/>
  <c r="AG19" i="76"/>
  <c r="AF19" i="76" s="1"/>
  <c r="AE19" i="76" s="1"/>
  <c r="AD19" i="76"/>
  <c r="AC19" i="76"/>
  <c r="AB19" i="76"/>
  <c r="AA19" i="76"/>
  <c r="Z19" i="76" s="1"/>
  <c r="Y19" i="76" s="1"/>
  <c r="X19" i="76"/>
  <c r="W19" i="76"/>
  <c r="V19" i="76"/>
  <c r="U19" i="76"/>
  <c r="T19" i="76"/>
  <c r="S19" i="76"/>
  <c r="R19" i="76" s="1"/>
  <c r="Q19" i="76" s="1"/>
  <c r="P19" i="76" s="1"/>
  <c r="O19" i="76" s="1"/>
  <c r="N19" i="76"/>
  <c r="M19" i="76"/>
  <c r="L19" i="76"/>
  <c r="K19" i="76"/>
  <c r="H19" i="76"/>
  <c r="G19" i="76"/>
  <c r="F19" i="76"/>
  <c r="E19" i="76"/>
  <c r="AN18" i="76"/>
  <c r="AM18" i="76"/>
  <c r="AL18" i="76" s="1"/>
  <c r="AK18" i="76" s="1"/>
  <c r="AJ18" i="76"/>
  <c r="AI18" i="76"/>
  <c r="AH18" i="76"/>
  <c r="AG18" i="76"/>
  <c r="AF18" i="76" s="1"/>
  <c r="AE18" i="76" s="1"/>
  <c r="AD18" i="76" s="1"/>
  <c r="AB18" i="76"/>
  <c r="AA18" i="76"/>
  <c r="V18" i="76"/>
  <c r="U18" i="76"/>
  <c r="T18" i="76"/>
  <c r="S18" i="76"/>
  <c r="R18" i="76" s="1"/>
  <c r="Q18" i="76" s="1"/>
  <c r="P18" i="76" s="1"/>
  <c r="O18" i="76" s="1"/>
  <c r="N18" i="76"/>
  <c r="M18" i="76"/>
  <c r="L18" i="76" s="1"/>
  <c r="K18" i="76" s="1"/>
  <c r="J18" i="76"/>
  <c r="I18" i="76"/>
  <c r="H18" i="76"/>
  <c r="G18" i="76"/>
  <c r="F18" i="76" s="1"/>
  <c r="E18" i="76" s="1"/>
  <c r="AN17" i="76"/>
  <c r="AM17" i="76"/>
  <c r="AL17" i="76"/>
  <c r="AK17" i="76"/>
  <c r="AJ17" i="76" s="1"/>
  <c r="AI17" i="76" s="1"/>
  <c r="AH17" i="76"/>
  <c r="AG17" i="76"/>
  <c r="AF17" i="76"/>
  <c r="AE17" i="76"/>
  <c r="AD17" i="76"/>
  <c r="AC17" i="76"/>
  <c r="AB17" i="76"/>
  <c r="AA17" i="76"/>
  <c r="X17" i="76"/>
  <c r="W17" i="76"/>
  <c r="V17" i="76"/>
  <c r="U17" i="76"/>
  <c r="T17" i="76"/>
  <c r="S17" i="76"/>
  <c r="R17" i="76"/>
  <c r="Q17" i="76"/>
  <c r="P17" i="76" s="1"/>
  <c r="O17" i="76" s="1"/>
  <c r="N17" i="76"/>
  <c r="M17" i="76"/>
  <c r="L17" i="76" s="1"/>
  <c r="K17" i="76" s="1"/>
  <c r="H17" i="76"/>
  <c r="G17" i="76"/>
  <c r="F17" i="76"/>
  <c r="E17" i="76"/>
  <c r="AH16" i="76"/>
  <c r="AG16" i="76" s="1"/>
  <c r="X16" i="76" s="1"/>
  <c r="W16" i="76" s="1"/>
  <c r="AN15" i="76"/>
  <c r="AM15" i="76"/>
  <c r="AL15" i="76"/>
  <c r="AK15" i="76"/>
  <c r="AJ15" i="76"/>
  <c r="AI15" i="76"/>
  <c r="AH15" i="76"/>
  <c r="AG15" i="76"/>
  <c r="AF15" i="76" s="1"/>
  <c r="AE15" i="76" s="1"/>
  <c r="AD15" i="76"/>
  <c r="AC15" i="76"/>
  <c r="AB15" i="76"/>
  <c r="AA15" i="76"/>
  <c r="Z15" i="76"/>
  <c r="Y15" i="76"/>
  <c r="X15" i="76"/>
  <c r="W15" i="76"/>
  <c r="V15" i="76"/>
  <c r="U15" i="76"/>
  <c r="T15" i="76"/>
  <c r="S15" i="76"/>
  <c r="R15" i="76"/>
  <c r="Q15" i="76"/>
  <c r="P15" i="76"/>
  <c r="O15" i="76"/>
  <c r="N15" i="76"/>
  <c r="M15" i="76"/>
  <c r="L15" i="76"/>
  <c r="K15" i="76"/>
  <c r="J15" i="76"/>
  <c r="I15" i="76"/>
  <c r="H15" i="76" s="1"/>
  <c r="G15" i="76" s="1"/>
  <c r="F15" i="76" s="1"/>
  <c r="E15" i="76" s="1"/>
  <c r="AN14" i="76"/>
  <c r="AM14" i="76"/>
  <c r="AL14" i="76"/>
  <c r="AK14" i="76"/>
  <c r="AJ14" i="76"/>
  <c r="AI14" i="76"/>
  <c r="AH14" i="76"/>
  <c r="AG14" i="76"/>
  <c r="AF14" i="76" s="1"/>
  <c r="AE14" i="76" s="1"/>
  <c r="AD14" i="76"/>
  <c r="AC14" i="76"/>
  <c r="AB14" i="76" s="1"/>
  <c r="AA14" i="76" s="1"/>
  <c r="X14" i="76"/>
  <c r="W14" i="76"/>
  <c r="V14" i="76"/>
  <c r="U14" i="76"/>
  <c r="T14" i="76" s="1"/>
  <c r="S14" i="76" s="1"/>
  <c r="R14" i="76" s="1"/>
  <c r="Q14" i="76" s="1"/>
  <c r="P14" i="76" s="1"/>
  <c r="O14" i="76" s="1"/>
  <c r="N14" i="76"/>
  <c r="M14" i="76"/>
  <c r="L14" i="76" s="1"/>
  <c r="K14" i="76" s="1"/>
  <c r="AN13" i="76"/>
  <c r="AM13" i="76"/>
  <c r="AL13" i="76"/>
  <c r="AK13" i="76"/>
  <c r="AJ13" i="76"/>
  <c r="AI13" i="76"/>
  <c r="AH13" i="76" s="1"/>
  <c r="AG13" i="76" s="1"/>
  <c r="AF13" i="76" s="1"/>
  <c r="AE13" i="76" s="1"/>
  <c r="AD13" i="76"/>
  <c r="AC13" i="76"/>
  <c r="AB13" i="76"/>
  <c r="AA13" i="76"/>
  <c r="Z13" i="76"/>
  <c r="Y13" i="76"/>
  <c r="X13" i="76"/>
  <c r="W13" i="76"/>
  <c r="V13" i="76"/>
  <c r="U13" i="76"/>
  <c r="T13" i="76"/>
  <c r="S13" i="76"/>
  <c r="R13" i="76" s="1"/>
  <c r="Q13" i="76" s="1"/>
  <c r="P13" i="76" s="1"/>
  <c r="O13" i="76" s="1"/>
  <c r="N13" i="76"/>
  <c r="M13" i="76"/>
  <c r="L13" i="76"/>
  <c r="K13" i="76"/>
  <c r="J13" i="76"/>
  <c r="I13" i="76"/>
  <c r="H13" i="76"/>
  <c r="G13" i="76"/>
  <c r="F13" i="76"/>
  <c r="E13" i="76"/>
  <c r="AN12" i="76"/>
  <c r="AM12" i="76"/>
  <c r="AL12" i="76"/>
  <c r="AK12" i="76"/>
  <c r="AJ12" i="76"/>
  <c r="AI12" i="76"/>
  <c r="AH12" i="76"/>
  <c r="AG12" i="76"/>
  <c r="AF12" i="76" s="1"/>
  <c r="AE12" i="76" s="1"/>
  <c r="AD12" i="76" s="1"/>
  <c r="AB12" i="76"/>
  <c r="AA12" i="76"/>
  <c r="X12" i="76"/>
  <c r="W12" i="76"/>
  <c r="V12" i="76"/>
  <c r="U12" i="76"/>
  <c r="T12" i="76"/>
  <c r="S12" i="76"/>
  <c r="R12" i="76" s="1"/>
  <c r="Q12" i="76" s="1"/>
  <c r="P12" i="76"/>
  <c r="O12" i="76"/>
  <c r="N12" i="76"/>
  <c r="M12" i="76"/>
  <c r="L12" i="76"/>
  <c r="K12" i="76"/>
  <c r="J12" i="76"/>
  <c r="I12" i="76"/>
  <c r="H12" i="76" s="1"/>
  <c r="G12" i="76" s="1"/>
  <c r="F12" i="76" s="1"/>
  <c r="E12" i="76" s="1"/>
  <c r="AN11" i="76"/>
  <c r="AM11" i="76"/>
  <c r="AL11" i="76"/>
  <c r="AK11" i="76"/>
  <c r="AJ11" i="76"/>
  <c r="AI11" i="76"/>
  <c r="AH11" i="76"/>
  <c r="AG11" i="76"/>
  <c r="AF11" i="76" s="1"/>
  <c r="AE11" i="76" s="1"/>
  <c r="AD11" i="76"/>
  <c r="AC11" i="76"/>
  <c r="AB11" i="76"/>
  <c r="AA11" i="76"/>
  <c r="X11" i="76"/>
  <c r="W11" i="76"/>
  <c r="V11" i="76"/>
  <c r="U11" i="76"/>
  <c r="T11" i="76"/>
  <c r="S11" i="76"/>
  <c r="R11" i="76" s="1"/>
  <c r="Q11" i="76" s="1"/>
  <c r="P11" i="76" s="1"/>
  <c r="O11" i="76" s="1"/>
  <c r="N11" i="76"/>
  <c r="M11" i="76"/>
  <c r="L11" i="76" s="1"/>
  <c r="K11" i="76" s="1"/>
  <c r="AN10" i="76"/>
  <c r="AM10" i="76"/>
  <c r="AL10" i="76"/>
  <c r="AK10" i="76"/>
  <c r="AJ10" i="76"/>
  <c r="AI10" i="76"/>
  <c r="AH10" i="76"/>
  <c r="AG10" i="76"/>
  <c r="AF10" i="76" s="1"/>
  <c r="AE10" i="76" s="1"/>
  <c r="AD10" i="76" s="1"/>
  <c r="AC10" i="76" s="1"/>
  <c r="AB10" i="76" s="1"/>
  <c r="AA10" i="76" s="1"/>
  <c r="V10" i="76"/>
  <c r="U10" i="76"/>
  <c r="T10" i="76"/>
  <c r="S10" i="76"/>
  <c r="R10" i="76" s="1"/>
  <c r="Q10" i="76" s="1"/>
  <c r="P10" i="76" s="1"/>
  <c r="O10" i="76" s="1"/>
  <c r="N10" i="76" s="1"/>
  <c r="M10" i="76" s="1"/>
  <c r="L10" i="76"/>
  <c r="K10" i="76"/>
  <c r="AN9" i="76"/>
  <c r="AM9" i="76"/>
  <c r="AL9" i="76"/>
  <c r="AK9" i="76"/>
  <c r="AJ9" i="76" s="1"/>
  <c r="AI9" i="76" s="1"/>
  <c r="AH9" i="76"/>
  <c r="AG9" i="76"/>
  <c r="AF9" i="76" s="1"/>
  <c r="AE9" i="76" s="1"/>
  <c r="AD9" i="76"/>
  <c r="AC9" i="76"/>
  <c r="AB9" i="76"/>
  <c r="AA9" i="76"/>
  <c r="X9" i="76"/>
  <c r="W9" i="76"/>
  <c r="V9" i="76"/>
  <c r="U9" i="76"/>
  <c r="T9" i="76"/>
  <c r="S9" i="76"/>
  <c r="R9" i="76" s="1"/>
  <c r="Q9" i="76" s="1"/>
  <c r="P9" i="76" s="1"/>
  <c r="O9" i="76" s="1"/>
  <c r="N9" i="76" s="1"/>
  <c r="M9" i="76" s="1"/>
  <c r="L9" i="76" s="1"/>
  <c r="K9" i="76" s="1"/>
  <c r="AN8" i="76"/>
  <c r="AM8" i="76"/>
  <c r="AL8" i="76"/>
  <c r="AK8" i="76"/>
  <c r="AJ8" i="76" s="1"/>
  <c r="AI8" i="76" s="1"/>
  <c r="AH8" i="76"/>
  <c r="AG8" i="76"/>
  <c r="AF8" i="76" s="1"/>
  <c r="AE8" i="76" s="1"/>
  <c r="AD8" i="76"/>
  <c r="AC8" i="76"/>
  <c r="AB8" i="76"/>
  <c r="AA8" i="76"/>
  <c r="X8" i="76"/>
  <c r="W8" i="76"/>
  <c r="V8" i="76"/>
  <c r="U8" i="76"/>
  <c r="T8" i="76"/>
  <c r="S8" i="76"/>
  <c r="R8" i="76" s="1"/>
  <c r="Q8" i="76" s="1"/>
  <c r="P8" i="76" s="1"/>
  <c r="O8" i="76" s="1"/>
  <c r="N8" i="76" s="1"/>
  <c r="M8" i="76" s="1"/>
  <c r="L8" i="76"/>
  <c r="K8" i="76"/>
  <c r="J8" i="76" s="1"/>
  <c r="I8" i="76" s="1"/>
  <c r="H8" i="76"/>
  <c r="G8" i="76" s="1"/>
  <c r="F8" i="76" s="1"/>
  <c r="E8" i="76" s="1"/>
  <c r="AM7" i="76"/>
  <c r="AL7" i="76" s="1"/>
  <c r="AK7" i="76"/>
  <c r="AJ7" i="76"/>
  <c r="AI7" i="76"/>
  <c r="AH7" i="76"/>
  <c r="AG7" i="76"/>
  <c r="AF7" i="76"/>
  <c r="AE7" i="76" s="1"/>
  <c r="AD7" i="76"/>
  <c r="AC7" i="76"/>
  <c r="AB7" i="76"/>
  <c r="AA7" i="76" s="1"/>
  <c r="Z7" i="76"/>
  <c r="Y7" i="76"/>
  <c r="X7" i="76"/>
  <c r="W7" i="76"/>
  <c r="V7" i="76"/>
  <c r="U7" i="76"/>
  <c r="T7" i="76"/>
  <c r="S7" i="76" s="1"/>
  <c r="R7" i="76" s="1"/>
  <c r="Q7" i="76"/>
  <c r="P7" i="76" s="1"/>
  <c r="O7" i="76" s="1"/>
  <c r="N7" i="76"/>
  <c r="M7" i="76" s="1"/>
  <c r="L7" i="76" s="1"/>
  <c r="K7" i="76" s="1"/>
  <c r="J7" i="76" s="1"/>
  <c r="I7" i="76" s="1"/>
  <c r="H7" i="76"/>
  <c r="G7" i="76" s="1"/>
  <c r="F7" i="76"/>
  <c r="E7" i="76"/>
  <c r="A3" i="76"/>
  <c r="A2" i="76"/>
  <c r="R59" i="80"/>
  <c r="Q59" i="80"/>
  <c r="P59" i="80" s="1"/>
  <c r="O59" i="80" s="1"/>
  <c r="N59" i="80" s="1"/>
  <c r="M59" i="80" s="1"/>
  <c r="L59" i="80"/>
  <c r="K59" i="80" s="1"/>
  <c r="J59" i="80" s="1"/>
  <c r="I59" i="80" s="1"/>
  <c r="H59" i="80" s="1"/>
  <c r="G59" i="80" s="1"/>
  <c r="F59" i="80"/>
  <c r="E59" i="80" s="1"/>
  <c r="P58" i="80"/>
  <c r="O58" i="80"/>
  <c r="N58" i="80" s="1"/>
  <c r="M58" i="80"/>
  <c r="L58" i="80"/>
  <c r="K58" i="80"/>
  <c r="J58" i="80"/>
  <c r="I58" i="80"/>
  <c r="H58" i="80"/>
  <c r="G58" i="80"/>
  <c r="F58" i="80"/>
  <c r="E58" i="80"/>
  <c r="P57" i="80"/>
  <c r="O57" i="80"/>
  <c r="N57" i="80"/>
  <c r="M57" i="80"/>
  <c r="L57" i="80"/>
  <c r="K57" i="80"/>
  <c r="J57" i="80"/>
  <c r="I57" i="80" s="1"/>
  <c r="H57" i="80"/>
  <c r="G57" i="80"/>
  <c r="F57" i="80"/>
  <c r="E57" i="80"/>
  <c r="P56" i="80"/>
  <c r="O56" i="80"/>
  <c r="N56" i="80" s="1"/>
  <c r="L56" i="80"/>
  <c r="K56" i="80"/>
  <c r="J56" i="80"/>
  <c r="I56" i="80"/>
  <c r="F56" i="80"/>
  <c r="E56" i="80"/>
  <c r="P55" i="80"/>
  <c r="O55" i="80"/>
  <c r="N55" i="80" s="1"/>
  <c r="M55" i="80" s="1"/>
  <c r="L55" i="80"/>
  <c r="K55" i="80"/>
  <c r="J55" i="80" s="1"/>
  <c r="H55" i="80"/>
  <c r="G55" i="80"/>
  <c r="F55" i="80"/>
  <c r="H15" i="88" l="1"/>
  <c r="K10" i="1"/>
  <c r="D6" i="88"/>
  <c r="F6" i="88" s="1"/>
  <c r="G13" i="88"/>
  <c r="I13" i="88" s="1"/>
  <c r="K42" i="1"/>
  <c r="D15" i="88"/>
  <c r="F13" i="88"/>
  <c r="G17" i="88"/>
  <c r="I17" i="88" s="1"/>
  <c r="AQ16" i="87"/>
  <c r="G14" i="88"/>
  <c r="I14" i="88" s="1"/>
  <c r="AQ13" i="87"/>
  <c r="G19" i="88"/>
  <c r="I19" i="88" s="1"/>
  <c r="AQ18" i="87"/>
  <c r="G12" i="88"/>
  <c r="I12" i="88" s="1"/>
  <c r="AQ11" i="87"/>
  <c r="F19" i="88"/>
  <c r="G11" i="88"/>
  <c r="I11" i="88" s="1"/>
  <c r="AQ10" i="87"/>
  <c r="AQ7" i="87"/>
  <c r="G8" i="88"/>
  <c r="I8" i="88" s="1"/>
  <c r="H16" i="88"/>
  <c r="F16" i="88"/>
  <c r="H18" i="88"/>
  <c r="K43" i="1"/>
  <c r="D16" i="88"/>
  <c r="K48" i="1"/>
  <c r="D18" i="88"/>
  <c r="F18" i="88" s="1"/>
  <c r="F8" i="88"/>
  <c r="H20" i="88"/>
  <c r="I5" i="88"/>
  <c r="K52" i="1"/>
  <c r="D20" i="88"/>
  <c r="F11" i="88"/>
  <c r="G9" i="88"/>
  <c r="I9" i="88" s="1"/>
  <c r="AQ8" i="87"/>
  <c r="F17" i="88"/>
  <c r="H6" i="88"/>
  <c r="Z18" i="76"/>
  <c r="AN7" i="76"/>
  <c r="C31" i="76"/>
  <c r="D27" i="76"/>
  <c r="X41" i="76"/>
  <c r="D41" i="76" s="1"/>
  <c r="I23" i="76"/>
  <c r="C23" i="76" s="1"/>
  <c r="H47" i="81"/>
  <c r="I33" i="81"/>
  <c r="C34" i="76"/>
  <c r="AN33" i="76" s="1"/>
  <c r="AM33" i="76" s="1"/>
  <c r="C33" i="76" s="1"/>
  <c r="O32" i="82"/>
  <c r="AK3" i="82"/>
  <c r="Z40" i="76" s="1"/>
  <c r="AI6" i="76"/>
  <c r="C27" i="76"/>
  <c r="Q6" i="76"/>
  <c r="D7" i="76"/>
  <c r="C7" i="76" s="1"/>
  <c r="D31" i="76"/>
  <c r="D32" i="76"/>
  <c r="AH6" i="76"/>
  <c r="D15" i="76"/>
  <c r="C15" i="76" s="1"/>
  <c r="D25" i="76"/>
  <c r="C25" i="76" s="1"/>
  <c r="D22" i="76"/>
  <c r="C22" i="76" s="1"/>
  <c r="D24" i="76"/>
  <c r="C26" i="76"/>
  <c r="D28" i="76"/>
  <c r="C28" i="76" s="1"/>
  <c r="D34" i="76"/>
  <c r="V6" i="76"/>
  <c r="AK6" i="76"/>
  <c r="C36" i="76"/>
  <c r="U6" i="76"/>
  <c r="T6" i="76" s="1"/>
  <c r="D23" i="76"/>
  <c r="AD6" i="76"/>
  <c r="AL6" i="76"/>
  <c r="D26" i="76"/>
  <c r="C35" i="76"/>
  <c r="AE6" i="76"/>
  <c r="C37" i="76"/>
  <c r="S6" i="76"/>
  <c r="C24" i="76"/>
  <c r="C13" i="76"/>
  <c r="P6" i="76"/>
  <c r="O6" i="76" s="1"/>
  <c r="N6" i="76" s="1"/>
  <c r="AF6" i="76"/>
  <c r="AJ6" i="76"/>
  <c r="D13" i="76"/>
  <c r="D20" i="76"/>
  <c r="D21" i="76"/>
  <c r="D29" i="76"/>
  <c r="C29" i="76" s="1"/>
  <c r="D35" i="76"/>
  <c r="J69" i="82"/>
  <c r="O63" i="82"/>
  <c r="O4" i="82"/>
  <c r="Y18" i="76" s="1"/>
  <c r="X18" i="76" s="1"/>
  <c r="D37" i="76"/>
  <c r="D59" i="80"/>
  <c r="C59" i="80" s="1"/>
  <c r="R58" i="80" s="1"/>
  <c r="Q58" i="80" s="1"/>
  <c r="C58" i="80" s="1"/>
  <c r="R57" i="80" s="1"/>
  <c r="R6" i="76"/>
  <c r="D36" i="76"/>
  <c r="E55" i="80"/>
  <c r="R54" i="80"/>
  <c r="Q54" i="80" s="1"/>
  <c r="P54" i="80"/>
  <c r="O54" i="80"/>
  <c r="N54" i="80" s="1"/>
  <c r="M54" i="80" s="1"/>
  <c r="L54" i="80"/>
  <c r="K54" i="80" s="1"/>
  <c r="J54" i="80" s="1"/>
  <c r="F54" i="80"/>
  <c r="E54" i="80" s="1"/>
  <c r="P53" i="80"/>
  <c r="O53" i="80"/>
  <c r="N53" i="80" s="1"/>
  <c r="M53" i="80" s="1"/>
  <c r="L53" i="80"/>
  <c r="K53" i="80" s="1"/>
  <c r="J53" i="80"/>
  <c r="I53" i="80"/>
  <c r="H53" i="80"/>
  <c r="G53" i="80"/>
  <c r="F53" i="80"/>
  <c r="E53" i="80"/>
  <c r="P52" i="80"/>
  <c r="O52" i="80"/>
  <c r="N52" i="80" s="1"/>
  <c r="M52" i="80" s="1"/>
  <c r="L52" i="80"/>
  <c r="K52" i="80" s="1"/>
  <c r="J52" i="80"/>
  <c r="H52" i="80"/>
  <c r="G52" i="80"/>
  <c r="F52" i="80"/>
  <c r="E52" i="80"/>
  <c r="P51" i="80"/>
  <c r="O51" i="80"/>
  <c r="N51" i="80" s="1"/>
  <c r="M51" i="80" s="1"/>
  <c r="L51" i="80"/>
  <c r="K51" i="80"/>
  <c r="J51" i="80" s="1"/>
  <c r="H51" i="80"/>
  <c r="G51" i="80"/>
  <c r="F51" i="80" s="1"/>
  <c r="E51" i="80"/>
  <c r="Q50" i="80"/>
  <c r="P50" i="80"/>
  <c r="O50" i="80" s="1"/>
  <c r="N50" i="80" s="1"/>
  <c r="M50" i="80" s="1"/>
  <c r="L50" i="80" s="1"/>
  <c r="K50" i="80" s="1"/>
  <c r="J50" i="80"/>
  <c r="I50" i="80"/>
  <c r="H50" i="80"/>
  <c r="G50" i="80"/>
  <c r="F50" i="80"/>
  <c r="E50" i="80" s="1"/>
  <c r="P49" i="80"/>
  <c r="O49" i="80"/>
  <c r="N49" i="80" s="1"/>
  <c r="M49" i="80" s="1"/>
  <c r="L49" i="80"/>
  <c r="K49" i="80" s="1"/>
  <c r="J49" i="80"/>
  <c r="I49" i="80" s="1"/>
  <c r="H49" i="80"/>
  <c r="G49" i="80" s="1"/>
  <c r="F49" i="80"/>
  <c r="E49" i="80"/>
  <c r="P48" i="80"/>
  <c r="O48" i="80" s="1"/>
  <c r="N48" i="80" s="1"/>
  <c r="M48" i="80" s="1"/>
  <c r="L48" i="80"/>
  <c r="K48" i="80" s="1"/>
  <c r="J48" i="80"/>
  <c r="I48" i="80" s="1"/>
  <c r="H48" i="80"/>
  <c r="G48" i="80" s="1"/>
  <c r="Q47" i="80"/>
  <c r="P47" i="80" s="1"/>
  <c r="O47" i="80"/>
  <c r="N47" i="80" s="1"/>
  <c r="M47" i="80" s="1"/>
  <c r="L47" i="80" s="1"/>
  <c r="K47" i="80" s="1"/>
  <c r="J47" i="80" s="1"/>
  <c r="I47" i="80" s="1"/>
  <c r="H47" i="80"/>
  <c r="G47" i="80"/>
  <c r="F47" i="80"/>
  <c r="E47" i="80"/>
  <c r="P46" i="80"/>
  <c r="O46" i="80" s="1"/>
  <c r="N46" i="80" s="1"/>
  <c r="M46" i="80" s="1"/>
  <c r="L46" i="80" s="1"/>
  <c r="K46" i="80" s="1"/>
  <c r="J46" i="80" s="1"/>
  <c r="I46" i="80" s="1"/>
  <c r="H46" i="80"/>
  <c r="G46" i="80"/>
  <c r="F46" i="80"/>
  <c r="E46" i="80"/>
  <c r="P45" i="80"/>
  <c r="O45" i="80"/>
  <c r="N45" i="80" s="1"/>
  <c r="M45" i="80" s="1"/>
  <c r="L45" i="80"/>
  <c r="K45" i="80" s="1"/>
  <c r="J45" i="80" s="1"/>
  <c r="I45" i="80"/>
  <c r="H45" i="80"/>
  <c r="G45" i="80" s="1"/>
  <c r="P44" i="80"/>
  <c r="O44" i="80" s="1"/>
  <c r="N44" i="80" s="1"/>
  <c r="M44" i="80" s="1"/>
  <c r="L44" i="80"/>
  <c r="K44" i="80" s="1"/>
  <c r="J44" i="80"/>
  <c r="I44" i="80" s="1"/>
  <c r="H44" i="80" s="1"/>
  <c r="G44" i="80" s="1"/>
  <c r="F44" i="80"/>
  <c r="E44" i="80" s="1"/>
  <c r="R43" i="80"/>
  <c r="P43" i="80"/>
  <c r="O43" i="80"/>
  <c r="N43" i="80" s="1"/>
  <c r="M43" i="80"/>
  <c r="L43" i="80"/>
  <c r="K43" i="80" s="1"/>
  <c r="J43" i="80"/>
  <c r="I43" i="80"/>
  <c r="H43" i="80" s="1"/>
  <c r="G43" i="80"/>
  <c r="F43" i="80"/>
  <c r="E43" i="80"/>
  <c r="P42" i="80"/>
  <c r="O42" i="80"/>
  <c r="N42" i="80" s="1"/>
  <c r="M42" i="80" s="1"/>
  <c r="L42" i="80"/>
  <c r="K42" i="80" s="1"/>
  <c r="J42" i="80"/>
  <c r="I42" i="80"/>
  <c r="H42" i="80"/>
  <c r="G42" i="80"/>
  <c r="F42" i="80"/>
  <c r="E42" i="80" s="1"/>
  <c r="P41" i="80"/>
  <c r="O41" i="80"/>
  <c r="N41" i="80" s="1"/>
  <c r="M41" i="80" s="1"/>
  <c r="L41" i="80"/>
  <c r="K41" i="80" s="1"/>
  <c r="J41" i="80"/>
  <c r="I41" i="80"/>
  <c r="H41" i="80"/>
  <c r="G41" i="80"/>
  <c r="F41" i="80"/>
  <c r="E41" i="80" s="1"/>
  <c r="P40" i="80"/>
  <c r="O40" i="80"/>
  <c r="N40" i="80" s="1"/>
  <c r="M40" i="80" s="1"/>
  <c r="L40" i="80"/>
  <c r="K40" i="80" s="1"/>
  <c r="J40" i="80" s="1"/>
  <c r="I40" i="80"/>
  <c r="H40" i="80" s="1"/>
  <c r="G40" i="80"/>
  <c r="J39" i="80"/>
  <c r="F39" i="80"/>
  <c r="E39" i="80"/>
  <c r="P38" i="80"/>
  <c r="O38" i="80" s="1"/>
  <c r="N38" i="80" s="1"/>
  <c r="M38" i="80" s="1"/>
  <c r="L38" i="80" s="1"/>
  <c r="K38" i="80" s="1"/>
  <c r="F38" i="80"/>
  <c r="E38" i="80"/>
  <c r="P37" i="80"/>
  <c r="O37" i="80" s="1"/>
  <c r="N37" i="80" s="1"/>
  <c r="M37" i="80" s="1"/>
  <c r="L37" i="80" s="1"/>
  <c r="K37" i="80" s="1"/>
  <c r="E37" i="80"/>
  <c r="H36" i="80"/>
  <c r="G36" i="80"/>
  <c r="F36" i="80"/>
  <c r="E36" i="80"/>
  <c r="P35" i="80"/>
  <c r="O35" i="80" s="1"/>
  <c r="N35" i="80" s="1"/>
  <c r="M35" i="80" s="1"/>
  <c r="L35" i="80" s="1"/>
  <c r="K35" i="80" s="1"/>
  <c r="J35" i="80" s="1"/>
  <c r="I35" i="80"/>
  <c r="H35" i="80"/>
  <c r="G35" i="80" s="1"/>
  <c r="F35" i="80"/>
  <c r="E35" i="80"/>
  <c r="P34" i="80"/>
  <c r="O34" i="80"/>
  <c r="N34" i="80" s="1"/>
  <c r="M34" i="80" s="1"/>
  <c r="L34" i="80" s="1"/>
  <c r="K34" i="80"/>
  <c r="J34" i="80"/>
  <c r="I34" i="80" s="1"/>
  <c r="H34" i="80"/>
  <c r="G34" i="80"/>
  <c r="F34" i="80"/>
  <c r="E34" i="80"/>
  <c r="H33" i="80"/>
  <c r="G33" i="80"/>
  <c r="F33" i="80"/>
  <c r="E33" i="80"/>
  <c r="P32" i="80"/>
  <c r="O32" i="80" s="1"/>
  <c r="N32" i="80"/>
  <c r="M32" i="80" s="1"/>
  <c r="L32" i="80" s="1"/>
  <c r="K32" i="80" s="1"/>
  <c r="J32" i="80"/>
  <c r="I32" i="80" s="1"/>
  <c r="H32" i="80"/>
  <c r="G32" i="80"/>
  <c r="F32" i="80" s="1"/>
  <c r="E32" i="80" s="1"/>
  <c r="P31" i="80"/>
  <c r="O31" i="80" s="1"/>
  <c r="N31" i="80" s="1"/>
  <c r="M31" i="80" s="1"/>
  <c r="L31" i="80"/>
  <c r="K31" i="80"/>
  <c r="J31" i="80"/>
  <c r="I31" i="80"/>
  <c r="H31" i="80"/>
  <c r="G31" i="80"/>
  <c r="F31" i="80"/>
  <c r="E31" i="80"/>
  <c r="P30" i="80"/>
  <c r="O30" i="80"/>
  <c r="N30" i="80"/>
  <c r="L30" i="80"/>
  <c r="K30" i="80"/>
  <c r="J30" i="80"/>
  <c r="I30" i="80"/>
  <c r="H30" i="80"/>
  <c r="G30" i="80"/>
  <c r="F30" i="80"/>
  <c r="E30" i="80"/>
  <c r="P29" i="80"/>
  <c r="O29" i="80"/>
  <c r="N29" i="80" s="1"/>
  <c r="M29" i="80" s="1"/>
  <c r="L29" i="80"/>
  <c r="K29" i="80"/>
  <c r="J29" i="80"/>
  <c r="I29" i="80"/>
  <c r="H29" i="80"/>
  <c r="G29" i="80"/>
  <c r="F29" i="80"/>
  <c r="E29" i="80"/>
  <c r="P28" i="80"/>
  <c r="O28" i="80" s="1"/>
  <c r="N28" i="80" s="1"/>
  <c r="M28" i="80" s="1"/>
  <c r="L28" i="80"/>
  <c r="H28" i="80"/>
  <c r="G28" i="80"/>
  <c r="F28" i="80"/>
  <c r="E28" i="80"/>
  <c r="P27" i="80"/>
  <c r="O27" i="80"/>
  <c r="N27" i="80" s="1"/>
  <c r="M27" i="80" s="1"/>
  <c r="L27" i="80"/>
  <c r="K27" i="80"/>
  <c r="J27" i="80"/>
  <c r="I27" i="80"/>
  <c r="H27" i="80"/>
  <c r="G27" i="80"/>
  <c r="F27" i="80"/>
  <c r="E27" i="80"/>
  <c r="P26" i="80"/>
  <c r="O26" i="80"/>
  <c r="N26" i="80" s="1"/>
  <c r="M26" i="80" s="1"/>
  <c r="L26" i="80"/>
  <c r="K26" i="80"/>
  <c r="J26" i="80"/>
  <c r="I26" i="80"/>
  <c r="H26" i="80"/>
  <c r="G26" i="80"/>
  <c r="F26" i="80"/>
  <c r="E26" i="80"/>
  <c r="P25" i="80"/>
  <c r="O25" i="80"/>
  <c r="N25" i="80" s="1"/>
  <c r="M25" i="80"/>
  <c r="L25" i="80"/>
  <c r="K25" i="80"/>
  <c r="J25" i="80"/>
  <c r="I25" i="80"/>
  <c r="H25" i="80"/>
  <c r="G25" i="80"/>
  <c r="F25" i="80"/>
  <c r="E25" i="80"/>
  <c r="Q24" i="80"/>
  <c r="P24" i="80"/>
  <c r="O24" i="80"/>
  <c r="N24" i="80"/>
  <c r="M24" i="80"/>
  <c r="L24" i="80"/>
  <c r="K24" i="80"/>
  <c r="J24" i="80"/>
  <c r="I24" i="80"/>
  <c r="H24" i="80"/>
  <c r="G24" i="80"/>
  <c r="F24" i="80"/>
  <c r="E24" i="80"/>
  <c r="P23" i="80"/>
  <c r="O23" i="80"/>
  <c r="N23" i="80" s="1"/>
  <c r="M23" i="80" s="1"/>
  <c r="L23" i="80"/>
  <c r="K23" i="80"/>
  <c r="J23" i="80"/>
  <c r="I23" i="80"/>
  <c r="H23" i="80"/>
  <c r="G23" i="80"/>
  <c r="F23" i="80"/>
  <c r="E23" i="80"/>
  <c r="P22" i="80"/>
  <c r="O22" i="80"/>
  <c r="N22" i="80" s="1"/>
  <c r="M22" i="80" s="1"/>
  <c r="L22" i="80"/>
  <c r="K22" i="80" s="1"/>
  <c r="J22" i="80"/>
  <c r="I22" i="80"/>
  <c r="H22" i="80"/>
  <c r="G22" i="80"/>
  <c r="F22" i="80"/>
  <c r="E22" i="80" s="1"/>
  <c r="P21" i="80"/>
  <c r="O21" i="80"/>
  <c r="N21" i="80" s="1"/>
  <c r="M21" i="80" s="1"/>
  <c r="L21" i="80"/>
  <c r="K21" i="80"/>
  <c r="J21" i="80"/>
  <c r="I21" i="80"/>
  <c r="H21" i="80"/>
  <c r="G21" i="80"/>
  <c r="F21" i="80"/>
  <c r="P20" i="80"/>
  <c r="O20" i="80"/>
  <c r="N20" i="80" s="1"/>
  <c r="M20" i="80" s="1"/>
  <c r="L20" i="80"/>
  <c r="K20" i="80"/>
  <c r="J20" i="80"/>
  <c r="I20" i="80"/>
  <c r="H20" i="80" s="1"/>
  <c r="G20" i="80"/>
  <c r="F20" i="80"/>
  <c r="E20" i="80"/>
  <c r="P19" i="80"/>
  <c r="O19" i="80"/>
  <c r="N19" i="80" s="1"/>
  <c r="M19" i="80" s="1"/>
  <c r="L19" i="80"/>
  <c r="K19" i="80"/>
  <c r="J19" i="80"/>
  <c r="I19" i="80"/>
  <c r="H19" i="80"/>
  <c r="G19" i="80"/>
  <c r="F19" i="80"/>
  <c r="P18" i="80"/>
  <c r="O18" i="80"/>
  <c r="N18" i="80" s="1"/>
  <c r="M18" i="80" s="1"/>
  <c r="L18" i="80"/>
  <c r="K18" i="80"/>
  <c r="J18" i="80"/>
  <c r="I18" i="80"/>
  <c r="H18" i="80"/>
  <c r="G18" i="80"/>
  <c r="F18" i="80"/>
  <c r="Q17" i="80"/>
  <c r="P17" i="80"/>
  <c r="O17" i="80"/>
  <c r="N17" i="80" s="1"/>
  <c r="M17" i="80" s="1"/>
  <c r="L17" i="80"/>
  <c r="K17" i="80" s="1"/>
  <c r="J17" i="80"/>
  <c r="I17" i="80"/>
  <c r="H17" i="80"/>
  <c r="G17" i="80"/>
  <c r="P16" i="80"/>
  <c r="O16" i="80"/>
  <c r="N16" i="80" s="1"/>
  <c r="M16" i="80" s="1"/>
  <c r="L16" i="80"/>
  <c r="F16" i="80"/>
  <c r="E16" i="80" s="1"/>
  <c r="P15" i="80"/>
  <c r="O15" i="80" s="1"/>
  <c r="N15" i="80" s="1"/>
  <c r="M15" i="80" s="1"/>
  <c r="L15" i="80"/>
  <c r="K15" i="80"/>
  <c r="G15" i="80"/>
  <c r="P14" i="80"/>
  <c r="O14" i="80"/>
  <c r="N14" i="80" s="1"/>
  <c r="M14" i="80" s="1"/>
  <c r="L14" i="80"/>
  <c r="K14" i="80"/>
  <c r="J14" i="80"/>
  <c r="I14" i="80"/>
  <c r="H14" i="80" s="1"/>
  <c r="G14" i="80"/>
  <c r="F14" i="80"/>
  <c r="E14" i="80"/>
  <c r="P13" i="80"/>
  <c r="O13" i="80"/>
  <c r="N13" i="80" s="1"/>
  <c r="M13" i="80" s="1"/>
  <c r="L13" i="80" s="1"/>
  <c r="K13" i="80" s="1"/>
  <c r="J13" i="80"/>
  <c r="I13" i="80"/>
  <c r="H13" i="80"/>
  <c r="G13" i="80"/>
  <c r="F13" i="80"/>
  <c r="E13" i="80"/>
  <c r="P12" i="80"/>
  <c r="O12" i="80"/>
  <c r="N12" i="80" s="1"/>
  <c r="M12" i="80" s="1"/>
  <c r="L12" i="80"/>
  <c r="K12" i="80" s="1"/>
  <c r="H12" i="80"/>
  <c r="G12" i="80"/>
  <c r="P11" i="80"/>
  <c r="O11" i="80"/>
  <c r="N11" i="80"/>
  <c r="M11" i="80"/>
  <c r="L11" i="80"/>
  <c r="K11" i="80"/>
  <c r="J11" i="80"/>
  <c r="I11" i="80"/>
  <c r="H11" i="80"/>
  <c r="G11" i="80"/>
  <c r="F11" i="80"/>
  <c r="E11" i="80" s="1"/>
  <c r="Q10" i="80"/>
  <c r="P10" i="80"/>
  <c r="O10" i="80"/>
  <c r="N10" i="80" s="1"/>
  <c r="M10" i="80"/>
  <c r="L10" i="80" s="1"/>
  <c r="H10" i="80"/>
  <c r="G10" i="80"/>
  <c r="F10" i="80"/>
  <c r="E10" i="80"/>
  <c r="P9" i="80"/>
  <c r="O9" i="80"/>
  <c r="N9" i="80" s="1"/>
  <c r="M9" i="80" s="1"/>
  <c r="L9" i="80" s="1"/>
  <c r="K9" i="80" s="1"/>
  <c r="H9" i="80"/>
  <c r="G9" i="80"/>
  <c r="P8" i="80"/>
  <c r="O8" i="80"/>
  <c r="N8" i="80" s="1"/>
  <c r="M8" i="80" s="1"/>
  <c r="L8" i="80"/>
  <c r="K8" i="80" s="1"/>
  <c r="Q7" i="80"/>
  <c r="P7" i="80"/>
  <c r="O7" i="80" s="1"/>
  <c r="N7" i="80" s="1"/>
  <c r="M7" i="80" s="1"/>
  <c r="L7" i="80"/>
  <c r="K7" i="80" s="1"/>
  <c r="H7" i="80"/>
  <c r="G7" i="80"/>
  <c r="P6" i="80"/>
  <c r="O6" i="80"/>
  <c r="N6" i="80" s="1"/>
  <c r="M6" i="80" s="1"/>
  <c r="L6" i="80"/>
  <c r="K6" i="80"/>
  <c r="H6" i="80"/>
  <c r="G6" i="80"/>
  <c r="F6" i="80"/>
  <c r="E6" i="80" s="1"/>
  <c r="N5" i="80"/>
  <c r="M5" i="80" s="1"/>
  <c r="L5" i="80" s="1"/>
  <c r="K5" i="80"/>
  <c r="J5" i="80" s="1"/>
  <c r="I5" i="80" s="1"/>
  <c r="H5" i="80" s="1"/>
  <c r="G5" i="80" s="1"/>
  <c r="F5" i="80"/>
  <c r="E5" i="80"/>
  <c r="J38" i="80" l="1"/>
  <c r="G20" i="88"/>
  <c r="I20" i="88" s="1"/>
  <c r="AQ19" i="87"/>
  <c r="G15" i="88"/>
  <c r="I15" i="88" s="1"/>
  <c r="AQ14" i="87"/>
  <c r="F20" i="88"/>
  <c r="G6" i="88"/>
  <c r="I6" i="88" s="1"/>
  <c r="AQ5" i="87"/>
  <c r="G18" i="88"/>
  <c r="I18" i="88" s="1"/>
  <c r="AQ17" i="87"/>
  <c r="F15" i="88"/>
  <c r="G16" i="88"/>
  <c r="I16" i="88" s="1"/>
  <c r="AQ15" i="87"/>
  <c r="H39" i="80"/>
  <c r="G39" i="80" s="1"/>
  <c r="E21" i="80"/>
  <c r="R46" i="81"/>
  <c r="H33" i="81"/>
  <c r="D33" i="76"/>
  <c r="J32" i="82"/>
  <c r="I32" i="82" s="1"/>
  <c r="H32" i="82" s="1"/>
  <c r="R31" i="82" s="1"/>
  <c r="AK4" i="82"/>
  <c r="Y40" i="76" s="1"/>
  <c r="D58" i="80"/>
  <c r="C47" i="80"/>
  <c r="R46" i="80" s="1"/>
  <c r="Q46" i="80" s="1"/>
  <c r="Q57" i="80"/>
  <c r="R5" i="80"/>
  <c r="D57" i="80"/>
  <c r="W18" i="76"/>
  <c r="H16" i="80"/>
  <c r="D18" i="76"/>
  <c r="I69" i="82"/>
  <c r="J63" i="82"/>
  <c r="D43" i="80"/>
  <c r="I16" i="80"/>
  <c r="B2" i="80"/>
  <c r="A2" i="80"/>
  <c r="H42" i="78"/>
  <c r="I42" i="78" s="1"/>
  <c r="G42" i="78"/>
  <c r="F42" i="78"/>
  <c r="E42" i="78"/>
  <c r="D42" i="78"/>
  <c r="D5" i="80" l="1"/>
  <c r="G16" i="80"/>
  <c r="X40" i="76"/>
  <c r="I38" i="80"/>
  <c r="R32" i="81"/>
  <c r="O31" i="82"/>
  <c r="AJ3" i="82"/>
  <c r="Z39" i="76" s="1"/>
  <c r="O46" i="81"/>
  <c r="R45" i="81"/>
  <c r="R33" i="81" s="1"/>
  <c r="L16" i="1" s="1"/>
  <c r="K16" i="1" s="1"/>
  <c r="AQ3" i="81"/>
  <c r="D46" i="80"/>
  <c r="C46" i="80" s="1"/>
  <c r="R45" i="80" s="1"/>
  <c r="Q45" i="80"/>
  <c r="H69" i="82"/>
  <c r="H63" i="82" s="1"/>
  <c r="R62" i="82" s="1"/>
  <c r="I63" i="82"/>
  <c r="C57" i="80"/>
  <c r="Q5" i="80"/>
  <c r="P5" i="80" s="1"/>
  <c r="O5" i="80" s="1"/>
  <c r="C42" i="78"/>
  <c r="I41" i="78"/>
  <c r="I40" i="78"/>
  <c r="I39" i="78"/>
  <c r="I38" i="78"/>
  <c r="I37" i="78"/>
  <c r="I36" i="78"/>
  <c r="I35" i="78"/>
  <c r="I34" i="78"/>
  <c r="I33" i="78"/>
  <c r="I32" i="78"/>
  <c r="I31" i="78"/>
  <c r="I30" i="78"/>
  <c r="I29" i="78"/>
  <c r="I28" i="78"/>
  <c r="I27" i="78"/>
  <c r="I26" i="78"/>
  <c r="I25" i="78"/>
  <c r="I24" i="78"/>
  <c r="I23" i="78"/>
  <c r="I22" i="78"/>
  <c r="I21" i="78"/>
  <c r="I20" i="78"/>
  <c r="I19" i="78"/>
  <c r="I18" i="78"/>
  <c r="I17" i="78"/>
  <c r="I16" i="78"/>
  <c r="I15" i="78"/>
  <c r="I14" i="78"/>
  <c r="I13" i="78"/>
  <c r="I12" i="78"/>
  <c r="I11" i="78"/>
  <c r="I10" i="78"/>
  <c r="I9" i="78"/>
  <c r="I8" i="78"/>
  <c r="I7" i="78"/>
  <c r="I6" i="78"/>
  <c r="I5" i="78"/>
  <c r="AM3" i="81" l="1"/>
  <c r="J42" i="76" s="1"/>
  <c r="I42" i="76" s="1"/>
  <c r="H42" i="76" s="1"/>
  <c r="G42" i="76" s="1"/>
  <c r="F42" i="76" s="1"/>
  <c r="J47" i="76"/>
  <c r="O45" i="81"/>
  <c r="AQ4" i="81"/>
  <c r="J31" i="82"/>
  <c r="O29" i="82"/>
  <c r="AJ4" i="82"/>
  <c r="Y39" i="76" s="1"/>
  <c r="X39" i="76" s="1"/>
  <c r="J37" i="80"/>
  <c r="R29" i="81"/>
  <c r="R8" i="81" s="1"/>
  <c r="P3" i="81"/>
  <c r="W40" i="76"/>
  <c r="C40" i="76" s="1"/>
  <c r="D40" i="76"/>
  <c r="H38" i="80"/>
  <c r="R56" i="80"/>
  <c r="C5" i="80"/>
  <c r="O62" i="82"/>
  <c r="N3" i="82"/>
  <c r="Z17" i="76" s="1"/>
  <c r="Q40" i="80"/>
  <c r="C1" i="77"/>
  <c r="B1" i="77"/>
  <c r="A1" i="77"/>
  <c r="H39" i="69"/>
  <c r="H38" i="69"/>
  <c r="H37" i="69"/>
  <c r="H36" i="69"/>
  <c r="H35" i="69"/>
  <c r="H34" i="69"/>
  <c r="H33" i="69"/>
  <c r="H32" i="69"/>
  <c r="H31" i="69"/>
  <c r="H30" i="69"/>
  <c r="H29" i="69"/>
  <c r="H28" i="69"/>
  <c r="H26" i="69"/>
  <c r="H25" i="69"/>
  <c r="D25" i="69"/>
  <c r="H24" i="69"/>
  <c r="D24" i="69"/>
  <c r="H23" i="69"/>
  <c r="G38" i="80" l="1"/>
  <c r="J24" i="1"/>
  <c r="I37" i="80"/>
  <c r="W39" i="76"/>
  <c r="C39" i="76" s="1"/>
  <c r="D39" i="76"/>
  <c r="H37" i="80"/>
  <c r="I31" i="82"/>
  <c r="J29" i="82"/>
  <c r="J8" i="82" s="1"/>
  <c r="F24" i="1" s="1"/>
  <c r="R7" i="81"/>
  <c r="L15" i="1"/>
  <c r="K15" i="1" s="1"/>
  <c r="J45" i="81"/>
  <c r="J33" i="81" s="1"/>
  <c r="I47" i="76"/>
  <c r="H47" i="76" s="1"/>
  <c r="N3" i="81"/>
  <c r="J19" i="76"/>
  <c r="E42" i="76"/>
  <c r="D42" i="76"/>
  <c r="F40" i="80"/>
  <c r="K39" i="80"/>
  <c r="J62" i="82"/>
  <c r="I62" i="82" s="1"/>
  <c r="H62" i="82" s="1"/>
  <c r="R61" i="82" s="1"/>
  <c r="N4" i="82"/>
  <c r="Y17" i="76" s="1"/>
  <c r="Q44" i="80"/>
  <c r="C44" i="80" s="1"/>
  <c r="J15" i="80"/>
  <c r="D23" i="69"/>
  <c r="H22" i="69"/>
  <c r="D22" i="69"/>
  <c r="H21" i="69"/>
  <c r="D21" i="69"/>
  <c r="H20" i="69"/>
  <c r="D20" i="69"/>
  <c r="D19" i="69"/>
  <c r="H18" i="69"/>
  <c r="D18" i="69"/>
  <c r="H17" i="69"/>
  <c r="D17" i="69"/>
  <c r="H16" i="69"/>
  <c r="D16" i="69"/>
  <c r="H15" i="69"/>
  <c r="D15" i="69"/>
  <c r="H14" i="69"/>
  <c r="D14" i="69"/>
  <c r="D13" i="69"/>
  <c r="H12" i="69"/>
  <c r="D12" i="69"/>
  <c r="H11" i="69"/>
  <c r="D11" i="69"/>
  <c r="H10" i="69"/>
  <c r="D10" i="69"/>
  <c r="H9" i="69"/>
  <c r="D9" i="69"/>
  <c r="H8" i="69"/>
  <c r="D8" i="69"/>
  <c r="H7" i="69"/>
  <c r="D7" i="69"/>
  <c r="B7" i="69"/>
  <c r="H6" i="69"/>
  <c r="D6" i="69"/>
  <c r="B6" i="69"/>
  <c r="H5" i="69"/>
  <c r="D5" i="69"/>
  <c r="B5" i="69"/>
  <c r="H4" i="69"/>
  <c r="D4" i="69"/>
  <c r="B4" i="69"/>
  <c r="H3" i="69"/>
  <c r="F3" i="69"/>
  <c r="D3" i="69"/>
  <c r="B3" i="69"/>
  <c r="F2" i="69"/>
  <c r="D2" i="69"/>
  <c r="B2" i="69"/>
  <c r="G37" i="80" l="1"/>
  <c r="F37" i="80" s="1"/>
  <c r="F16" i="1"/>
  <c r="E16" i="1" s="1"/>
  <c r="D16" i="1" s="1"/>
  <c r="E3" i="81"/>
  <c r="L14" i="1"/>
  <c r="G47" i="76"/>
  <c r="D47" i="76"/>
  <c r="F45" i="80"/>
  <c r="D45" i="80" s="1"/>
  <c r="H31" i="82"/>
  <c r="I29" i="82"/>
  <c r="I8" i="82" s="1"/>
  <c r="E24" i="1" s="1"/>
  <c r="L3" i="81"/>
  <c r="J17" i="76"/>
  <c r="C42" i="76"/>
  <c r="E40" i="80"/>
  <c r="C40" i="80" s="1"/>
  <c r="R39" i="80" s="1"/>
  <c r="Q39" i="80" s="1"/>
  <c r="P39" i="80" s="1"/>
  <c r="O39" i="80" s="1"/>
  <c r="N39" i="80" s="1"/>
  <c r="M39" i="80" s="1"/>
  <c r="L39" i="80" s="1"/>
  <c r="D39" i="80" s="1"/>
  <c r="F17" i="80"/>
  <c r="D19" i="76"/>
  <c r="O61" i="82"/>
  <c r="J61" i="82" s="1"/>
  <c r="I61" i="82" s="1"/>
  <c r="H61" i="82" s="1"/>
  <c r="R60" i="82" s="1"/>
  <c r="O60" i="82" s="1"/>
  <c r="J60" i="82" s="1"/>
  <c r="I60" i="82" s="1"/>
  <c r="H60" i="82" s="1"/>
  <c r="R59" i="82" s="1"/>
  <c r="L3" i="82"/>
  <c r="AM16" i="76"/>
  <c r="I15" i="80"/>
  <c r="H15" i="80" s="1"/>
  <c r="K14" i="1" l="1"/>
  <c r="D7" i="88"/>
  <c r="R30" i="82"/>
  <c r="H29" i="82"/>
  <c r="C47" i="76"/>
  <c r="E45" i="80"/>
  <c r="C45" i="80" s="1"/>
  <c r="R44" i="80" s="1"/>
  <c r="D44" i="80" s="1"/>
  <c r="L4" i="82"/>
  <c r="F15" i="80"/>
  <c r="D17" i="76"/>
  <c r="I3" i="81"/>
  <c r="J14" i="76"/>
  <c r="I14" i="76" s="1"/>
  <c r="H14" i="76" s="1"/>
  <c r="G14" i="76" s="1"/>
  <c r="F14" i="76" s="1"/>
  <c r="Q55" i="80"/>
  <c r="J3" i="82"/>
  <c r="Z12" i="76" s="1"/>
  <c r="Z14" i="76"/>
  <c r="J4" i="82"/>
  <c r="Q38" i="80"/>
  <c r="O59" i="82"/>
  <c r="J59" i="82" s="1"/>
  <c r="I59" i="82" s="1"/>
  <c r="H59" i="82" s="1"/>
  <c r="R58" i="82" s="1"/>
  <c r="I3" i="82"/>
  <c r="Z11" i="76" s="1"/>
  <c r="Q14" i="80"/>
  <c r="C14" i="80" s="1"/>
  <c r="R13" i="80" s="1"/>
  <c r="C16" i="76"/>
  <c r="G7" i="88" l="1"/>
  <c r="AQ6" i="87"/>
  <c r="F7" i="88"/>
  <c r="H3" i="81"/>
  <c r="J11" i="76"/>
  <c r="I11" i="76" s="1"/>
  <c r="H11" i="76" s="1"/>
  <c r="G11" i="76" s="1"/>
  <c r="F11" i="76" s="1"/>
  <c r="R28" i="82"/>
  <c r="R25" i="82" s="1"/>
  <c r="H8" i="82"/>
  <c r="D24" i="1" s="1"/>
  <c r="E14" i="76"/>
  <c r="E12" i="80" s="1"/>
  <c r="F12" i="80"/>
  <c r="I4" i="82"/>
  <c r="Y11" i="76" s="1"/>
  <c r="R29" i="82"/>
  <c r="AI3" i="82"/>
  <c r="Z38" i="76" s="1"/>
  <c r="Y12" i="76"/>
  <c r="D12" i="76"/>
  <c r="J10" i="80"/>
  <c r="C38" i="80"/>
  <c r="R37" i="80" s="1"/>
  <c r="J9" i="80"/>
  <c r="Q13" i="80"/>
  <c r="D13" i="80"/>
  <c r="O58" i="82"/>
  <c r="J58" i="82" s="1"/>
  <c r="I58" i="82" s="1"/>
  <c r="H58" i="82" s="1"/>
  <c r="R57" i="82" s="1"/>
  <c r="H3" i="82"/>
  <c r="Z10" i="76" s="1"/>
  <c r="Y14" i="76"/>
  <c r="D14" i="76"/>
  <c r="J12" i="80"/>
  <c r="R8" i="82" l="1"/>
  <c r="L24" i="1" s="1"/>
  <c r="K24" i="1" s="1"/>
  <c r="I7" i="88"/>
  <c r="C14" i="76"/>
  <c r="Y38" i="76"/>
  <c r="C38" i="76" s="1"/>
  <c r="D38" i="76"/>
  <c r="E11" i="76"/>
  <c r="E9" i="80" s="1"/>
  <c r="F9" i="80"/>
  <c r="D11" i="76"/>
  <c r="G3" i="81"/>
  <c r="J9" i="76" s="1"/>
  <c r="J10" i="76"/>
  <c r="I10" i="76" s="1"/>
  <c r="H10" i="76" s="1"/>
  <c r="G10" i="76" s="1"/>
  <c r="F10" i="76" s="1"/>
  <c r="H4" i="82"/>
  <c r="Y10" i="76" s="1"/>
  <c r="X10" i="76" s="1"/>
  <c r="I9" i="80"/>
  <c r="Q37" i="80"/>
  <c r="D37" i="80"/>
  <c r="J8" i="80"/>
  <c r="I12" i="80"/>
  <c r="O57" i="82"/>
  <c r="J57" i="82" s="1"/>
  <c r="I57" i="82" s="1"/>
  <c r="H57" i="82" s="1"/>
  <c r="R56" i="82" s="1"/>
  <c r="G3" i="82"/>
  <c r="I10" i="80"/>
  <c r="C13" i="80"/>
  <c r="R12" i="80" s="1"/>
  <c r="Q12" i="80" s="1"/>
  <c r="E10" i="76" l="1"/>
  <c r="E8" i="80" s="1"/>
  <c r="F8" i="80"/>
  <c r="I9" i="76"/>
  <c r="H9" i="76" s="1"/>
  <c r="G9" i="76" s="1"/>
  <c r="J6" i="76"/>
  <c r="C37" i="80"/>
  <c r="R36" i="80" s="1"/>
  <c r="Q36" i="80" s="1"/>
  <c r="P36" i="80" s="1"/>
  <c r="O36" i="80" s="1"/>
  <c r="N36" i="80" s="1"/>
  <c r="M36" i="80" s="1"/>
  <c r="L36" i="80" s="1"/>
  <c r="K36" i="80" s="1"/>
  <c r="J36" i="80" s="1"/>
  <c r="D36" i="80" s="1"/>
  <c r="C11" i="76"/>
  <c r="G4" i="82"/>
  <c r="D12" i="80"/>
  <c r="C12" i="80" s="1"/>
  <c r="R11" i="80" s="1"/>
  <c r="D11" i="80" s="1"/>
  <c r="I36" i="80"/>
  <c r="W10" i="76"/>
  <c r="D10" i="76"/>
  <c r="H8" i="80"/>
  <c r="I8" i="80"/>
  <c r="Q11" i="80"/>
  <c r="C11" i="80" s="1"/>
  <c r="R10" i="80" s="1"/>
  <c r="D10" i="80" s="1"/>
  <c r="O56" i="82"/>
  <c r="R55" i="82"/>
  <c r="F3" i="82"/>
  <c r="Z8" i="76" s="1"/>
  <c r="Z9" i="76"/>
  <c r="C36" i="80" l="1"/>
  <c r="R35" i="80" s="1"/>
  <c r="F9" i="76"/>
  <c r="D9" i="76" s="1"/>
  <c r="G6" i="76"/>
  <c r="Q35" i="80"/>
  <c r="D35" i="80"/>
  <c r="Q9" i="80"/>
  <c r="J56" i="82"/>
  <c r="O55" i="82"/>
  <c r="F4" i="82"/>
  <c r="Y8" i="76" s="1"/>
  <c r="Z6" i="76"/>
  <c r="D8" i="76"/>
  <c r="J6" i="80"/>
  <c r="G8" i="80"/>
  <c r="C10" i="76"/>
  <c r="Y9" i="76"/>
  <c r="J7" i="80"/>
  <c r="E9" i="76" l="1"/>
  <c r="F7" i="80"/>
  <c r="F6" i="76"/>
  <c r="C35" i="80"/>
  <c r="R34" i="80" s="1"/>
  <c r="I56" i="82"/>
  <c r="J55" i="82"/>
  <c r="J54" i="82" s="1"/>
  <c r="C8" i="76"/>
  <c r="I6" i="80"/>
  <c r="I7" i="80"/>
  <c r="C9" i="80"/>
  <c r="R8" i="80" s="1"/>
  <c r="E7" i="80" l="1"/>
  <c r="E6" i="76"/>
  <c r="C9" i="76"/>
  <c r="Q8" i="80"/>
  <c r="C8" i="80" s="1"/>
  <c r="R7" i="80" s="1"/>
  <c r="D7" i="80" s="1"/>
  <c r="D8" i="80"/>
  <c r="H56" i="82"/>
  <c r="H55" i="82" s="1"/>
  <c r="I55" i="82"/>
  <c r="I54" i="82" s="1"/>
  <c r="I7" i="82" s="1"/>
  <c r="J7" i="82"/>
  <c r="F23" i="1" s="1"/>
  <c r="F25" i="1"/>
  <c r="Q34" i="80"/>
  <c r="D34" i="80"/>
  <c r="C7" i="80" l="1"/>
  <c r="R6" i="80" s="1"/>
  <c r="D6" i="80" s="1"/>
  <c r="R54" i="82"/>
  <c r="H54" i="82"/>
  <c r="H7" i="82" s="1"/>
  <c r="BA4" i="82" s="1"/>
  <c r="Q6" i="80"/>
  <c r="C6" i="80" s="1"/>
  <c r="E23" i="1"/>
  <c r="C34" i="80"/>
  <c r="R33" i="80" s="1"/>
  <c r="Q33" i="80" s="1"/>
  <c r="P33" i="80" s="1"/>
  <c r="O33" i="80" s="1"/>
  <c r="E25" i="1"/>
  <c r="D25" i="1" l="1"/>
  <c r="AZ4" i="82"/>
  <c r="Y57" i="76"/>
  <c r="N33" i="80"/>
  <c r="O4" i="80"/>
  <c r="R7" i="82"/>
  <c r="L25" i="1"/>
  <c r="K25" i="1" s="1"/>
  <c r="D23" i="1"/>
  <c r="AX4" i="82" l="1"/>
  <c r="Y56" i="76"/>
  <c r="E3" i="82"/>
  <c r="L23" i="1"/>
  <c r="D10" i="88" s="1"/>
  <c r="C57" i="76"/>
  <c r="I55" i="80"/>
  <c r="C55" i="80" s="1"/>
  <c r="M33" i="80"/>
  <c r="N4" i="80"/>
  <c r="G10" i="88" l="1"/>
  <c r="AQ9" i="87"/>
  <c r="F10" i="88"/>
  <c r="D23" i="88"/>
  <c r="AW4" i="82"/>
  <c r="Y53" i="76" s="1"/>
  <c r="Y54" i="76"/>
  <c r="X56" i="76"/>
  <c r="I54" i="80"/>
  <c r="L33" i="80"/>
  <c r="K23" i="1"/>
  <c r="L59" i="1"/>
  <c r="M21" i="88" l="1"/>
  <c r="M22" i="88"/>
  <c r="M5" i="88"/>
  <c r="M8" i="88"/>
  <c r="M9" i="88"/>
  <c r="M12" i="88"/>
  <c r="M17" i="88"/>
  <c r="M13" i="88"/>
  <c r="M11" i="88"/>
  <c r="M14" i="88"/>
  <c r="M19" i="88"/>
  <c r="M20" i="88"/>
  <c r="M16" i="88"/>
  <c r="M6" i="88"/>
  <c r="M18" i="88"/>
  <c r="M15" i="88"/>
  <c r="M7" i="88"/>
  <c r="M10" i="88"/>
  <c r="I10" i="88"/>
  <c r="G23" i="88"/>
  <c r="K59" i="1"/>
  <c r="C53" i="76"/>
  <c r="I51" i="80"/>
  <c r="C54" i="76"/>
  <c r="I52" i="80"/>
  <c r="W56" i="76"/>
  <c r="D56" i="76"/>
  <c r="H54" i="80"/>
  <c r="K33" i="80"/>
  <c r="L4" i="80"/>
  <c r="M23" i="88" l="1"/>
  <c r="C56" i="76"/>
  <c r="J33" i="80"/>
  <c r="G54" i="80"/>
  <c r="D54" i="80"/>
  <c r="I33" i="80" l="1"/>
  <c r="D33" i="80"/>
  <c r="C54" i="80"/>
  <c r="R53" i="80" s="1"/>
  <c r="C33" i="80" l="1"/>
  <c r="R32" i="80" s="1"/>
  <c r="Q53" i="80"/>
  <c r="D53" i="80"/>
  <c r="C53" i="80" l="1"/>
  <c r="R52" i="80" s="1"/>
  <c r="D52" i="80" s="1"/>
  <c r="Q32" i="80"/>
  <c r="D32" i="80"/>
  <c r="Q52" i="80"/>
  <c r="C32" i="80" l="1"/>
  <c r="R31" i="80" s="1"/>
  <c r="C52" i="80"/>
  <c r="R51" i="80" s="1"/>
  <c r="Q31" i="80" l="1"/>
  <c r="C31" i="80" s="1"/>
  <c r="R30" i="80" s="1"/>
  <c r="D31" i="80"/>
  <c r="Q51" i="80"/>
  <c r="D51" i="80"/>
  <c r="Q30" i="80" l="1"/>
  <c r="D30" i="80"/>
  <c r="C51" i="80"/>
  <c r="R50" i="80" s="1"/>
  <c r="D50" i="80" s="1"/>
  <c r="C50" i="80" s="1"/>
  <c r="R49" i="80" s="1"/>
  <c r="Q49" i="80" l="1"/>
  <c r="C49" i="80" s="1"/>
  <c r="R48" i="80" s="1"/>
  <c r="D49" i="80"/>
  <c r="Q29" i="80" l="1"/>
  <c r="C29" i="80" s="1"/>
  <c r="R28" i="80" s="1"/>
  <c r="Q48" i="80"/>
  <c r="Q28" i="80" l="1"/>
  <c r="Q27" i="80" l="1"/>
  <c r="C27" i="80" l="1"/>
  <c r="R26" i="80" s="1"/>
  <c r="Q26" i="80" l="1"/>
  <c r="D26" i="80"/>
  <c r="C26" i="80" l="1"/>
  <c r="R25" i="80" s="1"/>
  <c r="Q25" i="80" l="1"/>
  <c r="C25" i="80" s="1"/>
  <c r="R24" i="80" s="1"/>
  <c r="D24" i="80" s="1"/>
  <c r="C24" i="80" s="1"/>
  <c r="R23" i="80" s="1"/>
  <c r="D25" i="80"/>
  <c r="Q23" i="80" l="1"/>
  <c r="D23" i="80"/>
  <c r="C23" i="80" l="1"/>
  <c r="R22" i="80" s="1"/>
  <c r="Q22" i="80" l="1"/>
  <c r="D22" i="80"/>
  <c r="C22" i="80" l="1"/>
  <c r="R21" i="80" s="1"/>
  <c r="Q21" i="80" l="1"/>
  <c r="C21" i="80" s="1"/>
  <c r="R20" i="80" s="1"/>
  <c r="D21" i="80"/>
  <c r="Q20" i="80" l="1"/>
  <c r="D20" i="80"/>
  <c r="C20" i="80" l="1"/>
  <c r="R19" i="80" s="1"/>
  <c r="Q19" i="80" l="1"/>
  <c r="D19" i="80"/>
  <c r="Q18" i="80" l="1"/>
  <c r="Q16" i="80" l="1"/>
  <c r="Q15" i="80" l="1"/>
  <c r="O29" i="5" l="1"/>
  <c r="R18" i="80"/>
  <c r="D18" i="80" s="1"/>
  <c r="J7" i="5"/>
  <c r="F27" i="1" s="1"/>
  <c r="H7" i="5"/>
  <c r="D27" i="1" s="1"/>
  <c r="AT4" i="5"/>
  <c r="M50" i="76" s="1"/>
  <c r="L50" i="76" s="1"/>
  <c r="O7" i="5" l="1"/>
  <c r="E4" i="5" s="1"/>
  <c r="O33" i="5"/>
  <c r="R4" i="5"/>
  <c r="M21" i="76" s="1"/>
  <c r="C21" i="76" s="1"/>
  <c r="K50" i="76"/>
  <c r="D50" i="76"/>
  <c r="L6" i="76"/>
  <c r="F48" i="80"/>
  <c r="E19" i="80" l="1"/>
  <c r="C19" i="80" s="1"/>
  <c r="M6" i="76"/>
  <c r="J27" i="1"/>
  <c r="O32" i="5"/>
  <c r="F4" i="80"/>
  <c r="D48" i="80"/>
  <c r="C50" i="76"/>
  <c r="E48" i="80"/>
  <c r="C48" i="80" s="1"/>
  <c r="R47" i="80" s="1"/>
  <c r="D47" i="80" s="1"/>
  <c r="R27" i="80"/>
  <c r="AB30" i="76"/>
  <c r="AA30" i="76"/>
  <c r="D28" i="1"/>
  <c r="D30" i="76" l="1"/>
  <c r="AB6" i="76"/>
  <c r="J28" i="80"/>
  <c r="D27" i="80"/>
  <c r="AA6" i="76"/>
  <c r="I28" i="80"/>
  <c r="D28" i="80" l="1"/>
  <c r="O19" i="54"/>
  <c r="J4" i="6"/>
  <c r="AC12" i="76"/>
  <c r="K10" i="80" s="1"/>
  <c r="C10" i="80" s="1"/>
  <c r="N4" i="81"/>
  <c r="I17" i="76" s="1"/>
  <c r="O48" i="81"/>
  <c r="P4" i="81" s="1"/>
  <c r="I19" i="76" s="1"/>
  <c r="O45" i="4"/>
  <c r="Q178" i="49"/>
  <c r="H2" i="49" s="1"/>
  <c r="Q41" i="80"/>
  <c r="C41" i="80" s="1"/>
  <c r="Q42" i="80"/>
  <c r="C42" i="80" s="1"/>
  <c r="O25" i="56"/>
  <c r="O20" i="56" s="1"/>
  <c r="BC4" i="56" s="1"/>
  <c r="AM45" i="76" s="1"/>
  <c r="W58" i="76"/>
  <c r="G56" i="80" s="1"/>
  <c r="G4" i="80" s="1"/>
  <c r="AG58" i="76"/>
  <c r="M56" i="80" s="1"/>
  <c r="O31" i="56"/>
  <c r="O26" i="56" s="1"/>
  <c r="BD4" i="56" s="1"/>
  <c r="AM58" i="76" s="1"/>
  <c r="R9" i="80"/>
  <c r="D9" i="80" s="1"/>
  <c r="AN16" i="76"/>
  <c r="D16" i="76" s="1"/>
  <c r="R15" i="80"/>
  <c r="D15" i="80" s="1"/>
  <c r="J16" i="80"/>
  <c r="J4" i="80" s="1"/>
  <c r="R16" i="80"/>
  <c r="R17" i="80"/>
  <c r="D17" i="80" s="1"/>
  <c r="R29" i="80"/>
  <c r="D29" i="80" s="1"/>
  <c r="R40" i="80"/>
  <c r="D40" i="80" s="1"/>
  <c r="R41" i="80"/>
  <c r="D41" i="80" s="1"/>
  <c r="R42" i="80"/>
  <c r="D42" i="80" s="1"/>
  <c r="R55" i="80"/>
  <c r="D55" i="80" s="1"/>
  <c r="X58" i="76"/>
  <c r="H56" i="80" s="1"/>
  <c r="G28" i="1"/>
  <c r="G52" i="1"/>
  <c r="H28" i="1"/>
  <c r="H44" i="1"/>
  <c r="H52" i="1"/>
  <c r="M58" i="1"/>
  <c r="P4" i="80"/>
  <c r="I56" i="81"/>
  <c r="I49" i="81" s="1"/>
  <c r="I7" i="81" s="1"/>
  <c r="E14" i="1" s="1"/>
  <c r="E52" i="1"/>
  <c r="H49" i="81"/>
  <c r="H7" i="81" s="1"/>
  <c r="D14" i="1" s="1"/>
  <c r="D53" i="1"/>
  <c r="H6" i="76"/>
  <c r="H53" i="1"/>
  <c r="G29" i="1"/>
  <c r="H29" i="1"/>
  <c r="I52" i="1"/>
  <c r="I44" i="1"/>
  <c r="I28" i="1"/>
  <c r="I53" i="1"/>
  <c r="I29" i="1"/>
  <c r="I47" i="1"/>
  <c r="H47" i="1"/>
  <c r="M19" i="54"/>
  <c r="M18" i="54"/>
  <c r="K49" i="72"/>
  <c r="M59" i="1" l="1"/>
  <c r="L61" i="1" s="1"/>
  <c r="E22" i="88"/>
  <c r="D17" i="1"/>
  <c r="O33" i="81"/>
  <c r="O7" i="81" s="1"/>
  <c r="N10" i="47"/>
  <c r="T10" i="47" s="1"/>
  <c r="K2" i="49"/>
  <c r="W6" i="76"/>
  <c r="Q163" i="49"/>
  <c r="J56" i="81"/>
  <c r="J49" i="81" s="1"/>
  <c r="AN6" i="76"/>
  <c r="Q4" i="4"/>
  <c r="K20" i="76" s="1"/>
  <c r="E18" i="80" s="1"/>
  <c r="M49" i="72"/>
  <c r="M40" i="72" s="1"/>
  <c r="M14" i="72" s="1"/>
  <c r="M13" i="72" s="1"/>
  <c r="M12" i="72" s="1"/>
  <c r="M5" i="72" s="1"/>
  <c r="O36" i="4"/>
  <c r="O9" i="4" s="1"/>
  <c r="O8" i="4" s="1"/>
  <c r="J20" i="1" s="1"/>
  <c r="E17" i="1"/>
  <c r="C12" i="76"/>
  <c r="G59" i="1"/>
  <c r="J16" i="1"/>
  <c r="E15" i="80"/>
  <c r="C15" i="80" s="1"/>
  <c r="C17" i="76"/>
  <c r="X6" i="76"/>
  <c r="D58" i="76"/>
  <c r="D6" i="76" s="1"/>
  <c r="E53" i="1"/>
  <c r="H59" i="1"/>
  <c r="D56" i="80"/>
  <c r="H4" i="80"/>
  <c r="I59" i="1"/>
  <c r="D16" i="80"/>
  <c r="R14" i="80"/>
  <c r="Q43" i="80"/>
  <c r="C43" i="80" s="1"/>
  <c r="C45" i="76"/>
  <c r="O7" i="56"/>
  <c r="E17" i="80"/>
  <c r="C17" i="80" s="1"/>
  <c r="C19" i="76"/>
  <c r="I6" i="76"/>
  <c r="E59" i="1"/>
  <c r="D52" i="1"/>
  <c r="D59" i="1" s="1"/>
  <c r="Q56" i="80"/>
  <c r="C58" i="76"/>
  <c r="AM6" i="76"/>
  <c r="O18" i="54"/>
  <c r="O17" i="54" s="1"/>
  <c r="F3" i="54" s="1"/>
  <c r="O4" i="6"/>
  <c r="AC18" i="76" s="1"/>
  <c r="N8" i="47" l="1"/>
  <c r="J14" i="1"/>
  <c r="E4" i="81"/>
  <c r="H22" i="88"/>
  <c r="F22" i="88"/>
  <c r="E23" i="88"/>
  <c r="J53" i="1"/>
  <c r="T8" i="47"/>
  <c r="Q148" i="49"/>
  <c r="V163" i="49"/>
  <c r="K6" i="76"/>
  <c r="C20" i="76"/>
  <c r="O7" i="4"/>
  <c r="J7" i="81"/>
  <c r="F14" i="1" s="1"/>
  <c r="F59" i="1" s="1"/>
  <c r="F17" i="1"/>
  <c r="J58" i="1"/>
  <c r="O35" i="56"/>
  <c r="D14" i="80"/>
  <c r="E4" i="56"/>
  <c r="Q4" i="80"/>
  <c r="C56" i="80"/>
  <c r="K16" i="80"/>
  <c r="C18" i="76"/>
  <c r="P161" i="6"/>
  <c r="J29" i="1"/>
  <c r="C18" i="80"/>
  <c r="E4" i="80"/>
  <c r="E4" i="4"/>
  <c r="N6" i="88" l="1"/>
  <c r="N21" i="88"/>
  <c r="N17" i="88"/>
  <c r="N11" i="88"/>
  <c r="N8" i="88"/>
  <c r="N10" i="88"/>
  <c r="N5" i="88"/>
  <c r="N12" i="88"/>
  <c r="N19" i="88"/>
  <c r="N14" i="88"/>
  <c r="N13" i="88"/>
  <c r="N7" i="88"/>
  <c r="N9" i="88"/>
  <c r="N15" i="88"/>
  <c r="N16" i="88"/>
  <c r="N20" i="88"/>
  <c r="N18" i="88"/>
  <c r="N22" i="88"/>
  <c r="F23" i="88"/>
  <c r="H23" i="88"/>
  <c r="I22" i="88"/>
  <c r="I23" i="88" s="1"/>
  <c r="J19" i="1"/>
  <c r="Q6" i="49"/>
  <c r="V6" i="49" s="1"/>
  <c r="V148" i="49"/>
  <c r="P7" i="6"/>
  <c r="J28" i="1" s="1"/>
  <c r="V161" i="6"/>
  <c r="AA4" i="6"/>
  <c r="AC30" i="76" s="1"/>
  <c r="J30" i="1"/>
  <c r="C16" i="80"/>
  <c r="O21" i="88" l="1"/>
  <c r="O14" i="88"/>
  <c r="O12" i="88"/>
  <c r="O9" i="88"/>
  <c r="O5" i="88"/>
  <c r="O19" i="88"/>
  <c r="O13" i="88"/>
  <c r="O11" i="88"/>
  <c r="O8" i="88"/>
  <c r="O16" i="88"/>
  <c r="O17" i="88"/>
  <c r="O18" i="88"/>
  <c r="O6" i="88"/>
  <c r="O20" i="88"/>
  <c r="O15" i="88"/>
  <c r="O7" i="88"/>
  <c r="O10" i="88"/>
  <c r="N23" i="88"/>
  <c r="O22" i="88"/>
  <c r="K28" i="80"/>
  <c r="C30" i="76"/>
  <c r="AC6" i="76"/>
  <c r="E4" i="6"/>
  <c r="O23" i="88" l="1"/>
  <c r="C28" i="80"/>
  <c r="K4" i="80"/>
  <c r="N140" i="47"/>
  <c r="AC4" i="47" l="1"/>
  <c r="AG32" i="76" s="1"/>
  <c r="T140" i="47"/>
  <c r="N23" i="47"/>
  <c r="T23" i="47" s="1"/>
  <c r="C32" i="76" l="1"/>
  <c r="AG6" i="76"/>
  <c r="M30" i="80"/>
  <c r="J56" i="1"/>
  <c r="N7" i="47"/>
  <c r="T7" i="47" s="1"/>
  <c r="E4" i="47" l="1"/>
  <c r="J52" i="1"/>
  <c r="M4" i="80"/>
  <c r="C30" i="80"/>
  <c r="F2" i="43" l="1"/>
  <c r="T12" i="87"/>
  <c r="T22" i="87" s="1"/>
  <c r="AL12" i="87" l="1"/>
  <c r="AP12" i="87" s="1"/>
  <c r="AP22" i="87" s="1"/>
  <c r="AQ12" i="87" l="1"/>
  <c r="AL22" i="87"/>
  <c r="R38" i="80"/>
  <c r="R4" i="80" s="1"/>
  <c r="D38" i="80"/>
  <c r="D4" i="80" s="1"/>
  <c r="L23" i="41"/>
  <c r="N236" i="15"/>
  <c r="M23" i="41" s="1"/>
  <c r="P236" i="15" l="1"/>
  <c r="P235" i="15" s="1"/>
  <c r="O74" i="82" s="1"/>
  <c r="O71" i="82" s="1"/>
  <c r="O54" i="82" s="1"/>
  <c r="O7" i="82" s="1"/>
  <c r="J23" i="1" s="1"/>
  <c r="O23" i="41" l="1"/>
  <c r="O20" i="41" s="1"/>
  <c r="F3" i="41" s="1"/>
  <c r="AL4" i="82"/>
  <c r="Y41" i="76" s="1"/>
  <c r="C41" i="76" s="1"/>
  <c r="C6" i="76" s="1"/>
  <c r="J25" i="1"/>
  <c r="Y6" i="76" l="1"/>
  <c r="I39" i="80"/>
  <c r="C39" i="80" s="1"/>
  <c r="C4" i="80" s="1"/>
  <c r="J59" i="1"/>
  <c r="J61" i="1" s="1"/>
  <c r="E4" i="82"/>
  <c r="I4" i="80" l="1"/>
  <c r="F3" i="43"/>
  <c r="O9" i="43"/>
</calcChain>
</file>

<file path=xl/sharedStrings.xml><?xml version="1.0" encoding="utf-8"?>
<sst xmlns="http://schemas.openxmlformats.org/spreadsheetml/2006/main" count="15238" uniqueCount="6026">
  <si>
    <t>Budget Summary:</t>
  </si>
  <si>
    <t>Budget Head</t>
  </si>
  <si>
    <t>Committed unspent  balance 
(projected for ________)</t>
  </si>
  <si>
    <t xml:space="preserve">Total Budget
 (Rs. In Lakhs) </t>
  </si>
  <si>
    <t>Service Delivery - Facility Based</t>
  </si>
  <si>
    <t>Service Delivery</t>
  </si>
  <si>
    <t>Service Delivery - Community Based</t>
  </si>
  <si>
    <t>Mobile Units</t>
  </si>
  <si>
    <t>Recurring/ Operational cost</t>
  </si>
  <si>
    <t xml:space="preserve">Outreach activities </t>
  </si>
  <si>
    <t>Community Interventions</t>
  </si>
  <si>
    <t>ASHA Activities</t>
  </si>
  <si>
    <t>Other Community Interventions</t>
  </si>
  <si>
    <t>Panchayati Raj Institutions (PRIs)</t>
  </si>
  <si>
    <t>Infrastructure</t>
  </si>
  <si>
    <t>Upgradation of existing facilities</t>
  </si>
  <si>
    <t xml:space="preserve">New Constructions </t>
  </si>
  <si>
    <t>Other construction/ Civil works</t>
  </si>
  <si>
    <t>Procurement</t>
  </si>
  <si>
    <t>Procurement of Drugs</t>
  </si>
  <si>
    <t>Referral Transport</t>
  </si>
  <si>
    <t>Service Delivery - Human Resource</t>
  </si>
  <si>
    <t>Setting Up &amp; Strengthening of Skill Lab/ Other Training Centres</t>
  </si>
  <si>
    <t>Review, Research, Surveillance &amp; Surveys</t>
  </si>
  <si>
    <t>Reviews</t>
  </si>
  <si>
    <t>Research &amp; Surveys</t>
  </si>
  <si>
    <t>Surveillance</t>
  </si>
  <si>
    <t xml:space="preserve">Other Recurring cost </t>
  </si>
  <si>
    <t>IEC/ BCC</t>
  </si>
  <si>
    <t>Printing</t>
  </si>
  <si>
    <t>Quality Assurance</t>
  </si>
  <si>
    <t>Kayakalp</t>
  </si>
  <si>
    <t>Other Logistics</t>
  </si>
  <si>
    <t>PPP</t>
  </si>
  <si>
    <t>Programme Management</t>
  </si>
  <si>
    <t>Planning Activities</t>
  </si>
  <si>
    <t>Mobility Support</t>
  </si>
  <si>
    <t>Monitoring &amp; Data Management</t>
  </si>
  <si>
    <t>PM HR Increment</t>
  </si>
  <si>
    <t>PM HR EPF</t>
  </si>
  <si>
    <t>Grand Total</t>
  </si>
  <si>
    <t>Human Resources</t>
  </si>
  <si>
    <t>Beneficiary Compensation</t>
  </si>
  <si>
    <t>Procurement (Others)</t>
  </si>
  <si>
    <t>Others (including PMSMA, any other)</t>
  </si>
  <si>
    <t>Operating Expenses</t>
  </si>
  <si>
    <t>3.1.1</t>
  </si>
  <si>
    <t>3.1.2</t>
  </si>
  <si>
    <t>3.1.3</t>
  </si>
  <si>
    <t>1.2.1</t>
  </si>
  <si>
    <t>1.2.2</t>
  </si>
  <si>
    <t>1.2.3</t>
  </si>
  <si>
    <t>Training &amp; Capacity Building</t>
  </si>
  <si>
    <t>New FMR</t>
  </si>
  <si>
    <t>Old FMR</t>
  </si>
  <si>
    <t>Particulars</t>
  </si>
  <si>
    <t>Pool</t>
  </si>
  <si>
    <t>Programme Division</t>
  </si>
  <si>
    <t>Unit of Measure</t>
  </si>
  <si>
    <t xml:space="preserve">Unit Cost 
(Rs)  </t>
  </si>
  <si>
    <t xml:space="preserve">Unit Cost
(Rs. Lakhs) </t>
  </si>
  <si>
    <t>Quantity/ Target</t>
  </si>
  <si>
    <t>Budget 
(Rs. Lakhs)</t>
  </si>
  <si>
    <t>State Remarks</t>
  </si>
  <si>
    <t>2.1.1</t>
  </si>
  <si>
    <t>B11</t>
  </si>
  <si>
    <t>National Mobile Medical Units (MMU)</t>
  </si>
  <si>
    <t>2.1.1.1</t>
  </si>
  <si>
    <t>B11.1.1</t>
  </si>
  <si>
    <t>Capex</t>
  </si>
  <si>
    <t>HSS</t>
  </si>
  <si>
    <t>2.1.1.2</t>
  </si>
  <si>
    <t>B11.1.2</t>
  </si>
  <si>
    <t>Opex</t>
  </si>
  <si>
    <t>2.1.2</t>
  </si>
  <si>
    <t>B11.2</t>
  </si>
  <si>
    <t>National Mobile Medical Vans (smaller vehicles) and specialised Mobile Medical Units</t>
  </si>
  <si>
    <t>2.1.2.1</t>
  </si>
  <si>
    <t>B11.2.1</t>
  </si>
  <si>
    <t>2.1.2.2</t>
  </si>
  <si>
    <t>B11.2.2</t>
  </si>
  <si>
    <t>2.1.3</t>
  </si>
  <si>
    <t>B11.2.4</t>
  </si>
  <si>
    <t>I.2.8</t>
  </si>
  <si>
    <t xml:space="preserve">Grant in aid for Mobile Ophthalmic Units </t>
  </si>
  <si>
    <t>NCD</t>
  </si>
  <si>
    <t>NPCB</t>
  </si>
  <si>
    <t>2.2.1</t>
  </si>
  <si>
    <t>A.3.3</t>
  </si>
  <si>
    <t>POL for Family Planning/ Others (including additional mobility support to surgeon's team if req)</t>
  </si>
  <si>
    <t>RCH</t>
  </si>
  <si>
    <t>FP</t>
  </si>
  <si>
    <t>2.2.2</t>
  </si>
  <si>
    <t>A.4.1.4</t>
  </si>
  <si>
    <t>2.2.3</t>
  </si>
  <si>
    <t>A.5.1.3</t>
  </si>
  <si>
    <t>RBSK</t>
  </si>
  <si>
    <t>2.2.4</t>
  </si>
  <si>
    <t>B11.2.5</t>
  </si>
  <si>
    <t>2.2.5</t>
  </si>
  <si>
    <t>C.1.r</t>
  </si>
  <si>
    <t xml:space="preserve">Teeka Express Operational Cost </t>
  </si>
  <si>
    <t>2.2.6</t>
  </si>
  <si>
    <t>C.1.t</t>
  </si>
  <si>
    <t xml:space="preserve">JE Campaign Operational Cost </t>
  </si>
  <si>
    <t>2.2.7</t>
  </si>
  <si>
    <t>C.6</t>
  </si>
  <si>
    <t>Pulse Polio operating costs</t>
  </si>
  <si>
    <t>2.2.8</t>
  </si>
  <si>
    <t>C.1.s</t>
  </si>
  <si>
    <t>Measles Rubella SIA operational Cost</t>
  </si>
  <si>
    <t>2.2.9</t>
  </si>
  <si>
    <t>F.1.5.c</t>
  </si>
  <si>
    <t>DCP</t>
  </si>
  <si>
    <t>NVBDCP</t>
  </si>
  <si>
    <t>2.3.1</t>
  </si>
  <si>
    <t>A.1.2</t>
  </si>
  <si>
    <t>Integrated outreach RCH services (state should focus on facility based services and outreach camps to be restricted only to areas without functional health facilities)</t>
  </si>
  <si>
    <t>MH</t>
  </si>
  <si>
    <t>2.3.2</t>
  </si>
  <si>
    <t>A.1.2.1</t>
  </si>
  <si>
    <t>Outreach camps</t>
  </si>
  <si>
    <t>2.3.3</t>
  </si>
  <si>
    <t>A.1.2.2</t>
  </si>
  <si>
    <t>Monthly Village Health and Nutrition Days</t>
  </si>
  <si>
    <t>2.3.4</t>
  </si>
  <si>
    <t>A.1.5.1</t>
  </si>
  <si>
    <t>Line listing and follow-up of severely anaemic women</t>
  </si>
  <si>
    <t>A.1.5.2</t>
  </si>
  <si>
    <t>Line listing of the women with blood disorders</t>
  </si>
  <si>
    <t>A.1.5.3</t>
  </si>
  <si>
    <t>CH</t>
  </si>
  <si>
    <t>A.2.7</t>
  </si>
  <si>
    <t>A.2.10.1</t>
  </si>
  <si>
    <t>A.4.2.2</t>
  </si>
  <si>
    <t>Organizing Adolescent Health day</t>
  </si>
  <si>
    <t>A.5.1.5</t>
  </si>
  <si>
    <t>New born screening-  Inborn error of metabolism (please give details per unit cost of screening, number of children to be screened and the delivery points Add details)</t>
  </si>
  <si>
    <t>A.5.1.6</t>
  </si>
  <si>
    <t>A.6.2</t>
  </si>
  <si>
    <t>A.11.2</t>
  </si>
  <si>
    <t>Services for Vulnerable groups</t>
  </si>
  <si>
    <t>B18.2</t>
  </si>
  <si>
    <t>C.1.f</t>
  </si>
  <si>
    <t>Focus on slum &amp; underserved areas in urban areas/alternative vaccinator for slums (only where regular ANM under NUHM not engaged)</t>
  </si>
  <si>
    <t>G.2.5</t>
  </si>
  <si>
    <t>NLEP</t>
  </si>
  <si>
    <t>I.1.3</t>
  </si>
  <si>
    <t>I.1.4</t>
  </si>
  <si>
    <t>J.1.3</t>
  </si>
  <si>
    <t>NMHP</t>
  </si>
  <si>
    <t>M.1.2</t>
  </si>
  <si>
    <t>NTCP</t>
  </si>
  <si>
    <t>M.1.2.1</t>
  </si>
  <si>
    <t>M.1.2.2</t>
  </si>
  <si>
    <t>Coverage of Pvt. School</t>
  </si>
  <si>
    <t>M.1.2.3</t>
  </si>
  <si>
    <t>Coverage of Public School in other's school programme</t>
  </si>
  <si>
    <t>M.1.2.4</t>
  </si>
  <si>
    <t>Coverage of Pvt. School in other's school programme</t>
  </si>
  <si>
    <t>M.1.2.5</t>
  </si>
  <si>
    <t>M.2.1.1</t>
  </si>
  <si>
    <t>Annexure for Community Intervention</t>
  </si>
  <si>
    <t>Performance Incentive/Other Incentive to ASHAs</t>
  </si>
  <si>
    <t>3.1.1.1</t>
  </si>
  <si>
    <t xml:space="preserve">A.1.3.4 </t>
  </si>
  <si>
    <t xml:space="preserve">JSY Incentive to ASHA </t>
  </si>
  <si>
    <t>3.1.1.2</t>
  </si>
  <si>
    <t>A.3.7.1</t>
  </si>
  <si>
    <t>ASHA Incentives under Saas Bahu Sammellan</t>
  </si>
  <si>
    <t>3.1.1.3</t>
  </si>
  <si>
    <t>A.3.7.2</t>
  </si>
  <si>
    <t>ASHA Incentives under Nayi Pehl Kit</t>
  </si>
  <si>
    <t>3.1.1.4</t>
  </si>
  <si>
    <t>B1.1.3.2.1</t>
  </si>
  <si>
    <t>3.1.1.5</t>
  </si>
  <si>
    <t>B1.1.3.2.2</t>
  </si>
  <si>
    <t>B1.1.3.2.4</t>
  </si>
  <si>
    <t>B1.1.3.2.6</t>
  </si>
  <si>
    <t xml:space="preserve">ASHA incentive under MAA programme @ Rs 100 per ASHA for quarterly mother's meeting </t>
  </si>
  <si>
    <t>B1.1.3.2.7</t>
  </si>
  <si>
    <t>Incentive for National Deworming Day  for mobilising out of school children</t>
  </si>
  <si>
    <t>B1.1.3.2.8</t>
  </si>
  <si>
    <t xml:space="preserve">Incentive for IDCF for prophylactic distribution of ORS  to family with under-five children. </t>
  </si>
  <si>
    <t>B1.1.3.3.1</t>
  </si>
  <si>
    <t>ASHA PPIUCD incentive for accompanying the client for PPIUCD insertion (@ Rs. 150/ASHA/insertion)</t>
  </si>
  <si>
    <t>B1.1.3.3.2</t>
  </si>
  <si>
    <t>ASHA PAIUCD incentive for accompanying the client for PAIUCD insertion (@ Rs. 150/ASHA/insertion)</t>
  </si>
  <si>
    <t>B1.1.3.3.3</t>
  </si>
  <si>
    <t>ASHA incentive under ESB scheme for promoting spacing of births</t>
  </si>
  <si>
    <t>B1.1.3.3.4</t>
  </si>
  <si>
    <t>B.1.1.3.4.1</t>
  </si>
  <si>
    <t>Incentive for support to Peer Educator</t>
  </si>
  <si>
    <t>AH</t>
  </si>
  <si>
    <t>B.1.1.3.4.2</t>
  </si>
  <si>
    <t>Incentive for mobilizing adolescents  and community for AHD</t>
  </si>
  <si>
    <t>B1.1.3.5.1</t>
  </si>
  <si>
    <t>National Iron Plus Incentive for mobilizing WRA (non pregnant &amp; non-lactating Women 20-49 years)</t>
  </si>
  <si>
    <t>B1.1.3.5.2</t>
  </si>
  <si>
    <t>National Iron Plus Incentive for mobilizing children and/or ensuring compliance and reporting (6-59 months)</t>
  </si>
  <si>
    <t>B1.1.3.5.3</t>
  </si>
  <si>
    <t>National Iron Plus Others</t>
  </si>
  <si>
    <t>B1.1.3.6.1</t>
  </si>
  <si>
    <t xml:space="preserve">ASHA incentives for routine activities </t>
  </si>
  <si>
    <t>C.5</t>
  </si>
  <si>
    <t>RI</t>
  </si>
  <si>
    <t>D.5</t>
  </si>
  <si>
    <t>ASHA Incentive under NIDDCP</t>
  </si>
  <si>
    <t>NIDDCP</t>
  </si>
  <si>
    <t>F.1.1.b</t>
  </si>
  <si>
    <t>F.1.2.i</t>
  </si>
  <si>
    <t>ASHA Incentive for Dengue and Chikungunya</t>
  </si>
  <si>
    <t>F.1.3.k</t>
  </si>
  <si>
    <t xml:space="preserve">ASHA Incentivization for sensitizing community for AES/JE </t>
  </si>
  <si>
    <t>F.1.3.m</t>
  </si>
  <si>
    <t>ASHA incentive for referral of AES/JE cases to the nearest CHC/DH/Medical College</t>
  </si>
  <si>
    <t>F.1.4.e</t>
  </si>
  <si>
    <t>Honorarium  for Drug Distribution including ASHAs and supervisors involved in MDA</t>
  </si>
  <si>
    <t>F.1.4.i</t>
  </si>
  <si>
    <t>G.1.3.a</t>
  </si>
  <si>
    <t>G.1.3.b.i</t>
  </si>
  <si>
    <t>G.1.3.b.ii</t>
  </si>
  <si>
    <t>G.1.3.b.iii</t>
  </si>
  <si>
    <t>B1.1.1</t>
  </si>
  <si>
    <t>Selection &amp; Training of ASHA</t>
  </si>
  <si>
    <t>3.1.2.1</t>
  </si>
  <si>
    <t>A.3.2.6</t>
  </si>
  <si>
    <t xml:space="preserve">Orientation/review  of ASHAs (as applicable) for New Contraceptives, Post partum and post abortion Family Planning, Scheme for home delivery of contraceptives (HDC), Ensuring spacing at birth (ESB {wherever applicable}), Pregnancy Testing Kits (PTK) </t>
  </si>
  <si>
    <t>3.1.2.2</t>
  </si>
  <si>
    <t>B1.1.1.1</t>
  </si>
  <si>
    <t>Induction training</t>
  </si>
  <si>
    <t>3.1.2.3</t>
  </si>
  <si>
    <t>B1.1.1.2</t>
  </si>
  <si>
    <t xml:space="preserve">Module VI &amp; VII </t>
  </si>
  <si>
    <t>3.1.2.4</t>
  </si>
  <si>
    <t>B1.1.1.3</t>
  </si>
  <si>
    <t>3.1.2.5</t>
  </si>
  <si>
    <t>B1.2</t>
  </si>
  <si>
    <t>Certification of ASHA by NIOS</t>
  </si>
  <si>
    <t>3.1.3.1</t>
  </si>
  <si>
    <t>B1.1.1.4.1</t>
  </si>
  <si>
    <t>Supervision costs  by ASHA facilitators(12 months)</t>
  </si>
  <si>
    <t>3.1.3.2</t>
  </si>
  <si>
    <t>B1.1.3.7</t>
  </si>
  <si>
    <t>3.1.3.3</t>
  </si>
  <si>
    <t>B1.1.4</t>
  </si>
  <si>
    <t>3.1.3.4</t>
  </si>
  <si>
    <t>C.1.g</t>
  </si>
  <si>
    <t>Mobilization of children through ASHA or other mobilizers</t>
  </si>
  <si>
    <t>3.2.1</t>
  </si>
  <si>
    <t>A.3.7.5</t>
  </si>
  <si>
    <t>3.2.2</t>
  </si>
  <si>
    <t>A.4.2.1</t>
  </si>
  <si>
    <t>Incentives for Peer Educators</t>
  </si>
  <si>
    <t>3.2.3</t>
  </si>
  <si>
    <t>B15.1</t>
  </si>
  <si>
    <t>Community Action for Health (Visioning workshops at state, dist., block level, Training of VHSNC, Training of RKS)</t>
  </si>
  <si>
    <t>B15.1.1</t>
  </si>
  <si>
    <t>State level</t>
  </si>
  <si>
    <t>B15.1.2</t>
  </si>
  <si>
    <t>District level</t>
  </si>
  <si>
    <t>B15.1.3</t>
  </si>
  <si>
    <t xml:space="preserve">Block level </t>
  </si>
  <si>
    <t>B15.1.4.1</t>
  </si>
  <si>
    <t>Constitution / Reconstitution of VHSNC</t>
  </si>
  <si>
    <t>3.2.5</t>
  </si>
  <si>
    <t>3.2.5.1</t>
  </si>
  <si>
    <t>F.1.1.c</t>
  </si>
  <si>
    <t>3.2.5.2</t>
  </si>
  <si>
    <t>F.1.1.c.i</t>
  </si>
  <si>
    <t>3.2.5.3</t>
  </si>
  <si>
    <t>F.1.1.c.ii</t>
  </si>
  <si>
    <t>Operational cost for IRS</t>
  </si>
  <si>
    <t>F.1.1.c.iii</t>
  </si>
  <si>
    <t>F.1.1.h</t>
  </si>
  <si>
    <t>Biological and Environmental Management through VHSC</t>
  </si>
  <si>
    <t>F.1.1.i</t>
  </si>
  <si>
    <t>Larvivorous Fish support</t>
  </si>
  <si>
    <t>F.1.2.f</t>
  </si>
  <si>
    <t>F.1.3.g</t>
  </si>
  <si>
    <t>F.1.5.b</t>
  </si>
  <si>
    <t>F.1.5.e</t>
  </si>
  <si>
    <t>3.3.1</t>
  </si>
  <si>
    <t>B8.1</t>
  </si>
  <si>
    <t>Orientation of Community leader &amp; of VHSC,SHC,PHC,CHC etc.</t>
  </si>
  <si>
    <t>3.3.2</t>
  </si>
  <si>
    <t>B8.2</t>
  </si>
  <si>
    <t xml:space="preserve">Orientation Workshops, Trainings and capacity building of PRI  for RKS at District Health Societies, CHC and PHC </t>
  </si>
  <si>
    <t>3.3.3</t>
  </si>
  <si>
    <t>PRI Sensitization/Trainings</t>
  </si>
  <si>
    <t>3.3.3.1</t>
  </si>
  <si>
    <t>E.2.9</t>
  </si>
  <si>
    <t>One day sensitization for PRIs</t>
  </si>
  <si>
    <t>IDSP</t>
  </si>
  <si>
    <t>3.3.3.2</t>
  </si>
  <si>
    <t>M.1.1.4</t>
  </si>
  <si>
    <t>Training of PRI's representatives/ Police personnel/ Teachers/ Transport personnel/ NGO personnel/ other stakeholders</t>
  </si>
  <si>
    <t>Annexure for Infrastructure Strengthening</t>
  </si>
  <si>
    <t>5.1.1</t>
  </si>
  <si>
    <t>B.4.1</t>
  </si>
  <si>
    <t>5.1.1.1</t>
  </si>
  <si>
    <t>District Hospitals (As per the DH Strengthening Guidelines)</t>
  </si>
  <si>
    <t>CHCs</t>
  </si>
  <si>
    <t>PHCs</t>
  </si>
  <si>
    <t>Sub Centres</t>
  </si>
  <si>
    <t>SDH</t>
  </si>
  <si>
    <t>Training Institutions</t>
  </si>
  <si>
    <t>Others</t>
  </si>
  <si>
    <t>5.1.1.2</t>
  </si>
  <si>
    <t>Upgradation/ Renovation</t>
  </si>
  <si>
    <t>B.26.1.1</t>
  </si>
  <si>
    <t xml:space="preserve">Renovation, Dental Chair, Equipment - District Hospitals </t>
  </si>
  <si>
    <t>NOHP</t>
  </si>
  <si>
    <t>B.27.1.4</t>
  </si>
  <si>
    <t>NPPC</t>
  </si>
  <si>
    <t>5.1.1.3</t>
  </si>
  <si>
    <t>5.1.1.4</t>
  </si>
  <si>
    <t>Staff Quarters</t>
  </si>
  <si>
    <t>5.1.2</t>
  </si>
  <si>
    <t>I.2.1.</t>
  </si>
  <si>
    <t>Grant-in-aid for District Hospitals</t>
  </si>
  <si>
    <t>I.2.2.</t>
  </si>
  <si>
    <t>Grant-in-aid for Sub Divisional Hospitals</t>
  </si>
  <si>
    <t>I.2.3</t>
  </si>
  <si>
    <t>I.2.4</t>
  </si>
  <si>
    <t>I.2.5</t>
  </si>
  <si>
    <t>I.2.7</t>
  </si>
  <si>
    <t>Grant-in-aid for construction of Eye Wards and Eye OTS (renamed as  dedicated eye unit)</t>
  </si>
  <si>
    <t>B.4.3</t>
  </si>
  <si>
    <t>Sub Centre Rent and Contingencies</t>
  </si>
  <si>
    <t>5.2.1</t>
  </si>
  <si>
    <t>5.2.1.1</t>
  </si>
  <si>
    <t>5.2.1.2</t>
  </si>
  <si>
    <t>5.2.1.3</t>
  </si>
  <si>
    <t>SHCs/Sub Centres</t>
  </si>
  <si>
    <t>5.2.1.4</t>
  </si>
  <si>
    <t>5.2.1.5</t>
  </si>
  <si>
    <t>B5.5</t>
  </si>
  <si>
    <t>Govt. Dispensaries/ others</t>
  </si>
  <si>
    <t>5.2.1.6</t>
  </si>
  <si>
    <t>5.2.1.7</t>
  </si>
  <si>
    <t>5.2.1.8</t>
  </si>
  <si>
    <t>DH</t>
  </si>
  <si>
    <t>5.2.1.9</t>
  </si>
  <si>
    <t>5.2.1.10</t>
  </si>
  <si>
    <t>5.2.1.11</t>
  </si>
  <si>
    <t>A.4.1.2</t>
  </si>
  <si>
    <t xml:space="preserve">AFHCs at Medical college/ DH/CHC/PHC level  </t>
  </si>
  <si>
    <t>5.2.1.12</t>
  </si>
  <si>
    <t>A.2.5</t>
  </si>
  <si>
    <t>Establishment of NRCs</t>
  </si>
  <si>
    <t>5.2.1.13</t>
  </si>
  <si>
    <t>5.2.2</t>
  </si>
  <si>
    <t>Carry forward of new construction initiated last year, or the year before</t>
  </si>
  <si>
    <t>5.2.2.1</t>
  </si>
  <si>
    <t>5.2.2.2</t>
  </si>
  <si>
    <t>5.2.2.3</t>
  </si>
  <si>
    <t>5.2.2.4</t>
  </si>
  <si>
    <t>5.2.2.5</t>
  </si>
  <si>
    <t>5.2.2.6</t>
  </si>
  <si>
    <t>5.2.2.7</t>
  </si>
  <si>
    <t>5.2.2.8</t>
  </si>
  <si>
    <t>5.2.2.9</t>
  </si>
  <si>
    <t>5.2.2.10</t>
  </si>
  <si>
    <t>5.3.1</t>
  </si>
  <si>
    <t>B4.1.5.4</t>
  </si>
  <si>
    <t>Civil Works</t>
  </si>
  <si>
    <t xml:space="preserve">ASHA Ghar </t>
  </si>
  <si>
    <t>5.3.3</t>
  </si>
  <si>
    <t>B4.1.5.4.1</t>
  </si>
  <si>
    <t>5.3.4</t>
  </si>
  <si>
    <t>B.5.7</t>
  </si>
  <si>
    <t>Operationalization of FRUS</t>
  </si>
  <si>
    <t>5.3.5</t>
  </si>
  <si>
    <t>B.5.8</t>
  </si>
  <si>
    <t>Operationalization of 24 hour services at PHCs</t>
  </si>
  <si>
    <t>5.3.6</t>
  </si>
  <si>
    <t>B.5.9</t>
  </si>
  <si>
    <t>Operationalising Infection Management &amp; Environment Plan at health facilities</t>
  </si>
  <si>
    <t>B.28.1</t>
  </si>
  <si>
    <t>5.3.8</t>
  </si>
  <si>
    <t>C.1.p</t>
  </si>
  <si>
    <t>Safety Pits</t>
  </si>
  <si>
    <t>5.3.9</t>
  </si>
  <si>
    <t>D.2</t>
  </si>
  <si>
    <t>Establishment of IDD Monitoring Lab</t>
  </si>
  <si>
    <t>5.3.10</t>
  </si>
  <si>
    <t>F.1.1.j</t>
  </si>
  <si>
    <t>Construction and maintenance of Hatcheries</t>
  </si>
  <si>
    <t>5.3.11</t>
  </si>
  <si>
    <t>F.2.1.e</t>
  </si>
  <si>
    <t>Infrastructure (INF)</t>
  </si>
  <si>
    <t>5.3.12</t>
  </si>
  <si>
    <t>5.3.13</t>
  </si>
  <si>
    <t>H.1</t>
  </si>
  <si>
    <t>5.3.14</t>
  </si>
  <si>
    <t>J.1.1</t>
  </si>
  <si>
    <t>5.3.15</t>
  </si>
  <si>
    <t>K.2.1.1</t>
  </si>
  <si>
    <t>NPHCE</t>
  </si>
  <si>
    <t>Annexure for Referral Transport</t>
  </si>
  <si>
    <t>A.1.6.4</t>
  </si>
  <si>
    <t>Free Referral Transport - JSSK for Pregnant Women</t>
  </si>
  <si>
    <t>A.2.9.2</t>
  </si>
  <si>
    <t>Free Referral Transport - JSSK for Sick Infants</t>
  </si>
  <si>
    <t>A.5.2</t>
  </si>
  <si>
    <t>Referral Support for Secondary/ Tertiary care (pl give unit cost and unit of measure as per RBSK guidelines) - RBSK</t>
  </si>
  <si>
    <t>B12</t>
  </si>
  <si>
    <t>National Ambulance Service</t>
  </si>
  <si>
    <t>B12.2.9.1</t>
  </si>
  <si>
    <t>Drop back scheme for sterilization clients</t>
  </si>
  <si>
    <t>H.18</t>
  </si>
  <si>
    <t>Patient Support &amp; Transportation Charges</t>
  </si>
  <si>
    <t>O.2.2.1.6</t>
  </si>
  <si>
    <t>Transport of referred cases including home based care</t>
  </si>
  <si>
    <t>NPCDCS</t>
  </si>
  <si>
    <t>O.2.1.6.6.i</t>
  </si>
  <si>
    <t>District NCD Clinic</t>
  </si>
  <si>
    <t>O.2.1.6.6.ii</t>
  </si>
  <si>
    <t>CHC NCD Clinic</t>
  </si>
  <si>
    <t>Annexure for Human Resources - Service Delivery</t>
  </si>
  <si>
    <t>8.1.1</t>
  </si>
  <si>
    <t>B.30.1</t>
  </si>
  <si>
    <t>Nurses and Paramedical Staff</t>
  </si>
  <si>
    <t>8.1.1.1</t>
  </si>
  <si>
    <t>B.30.1.1</t>
  </si>
  <si>
    <t>ANMs</t>
  </si>
  <si>
    <t>8.1.1.2</t>
  </si>
  <si>
    <t>B.30.1.2</t>
  </si>
  <si>
    <t>Staff Nurses</t>
  </si>
  <si>
    <t>8.1.1.3</t>
  </si>
  <si>
    <t>B.30.1.3</t>
  </si>
  <si>
    <t>Health Assistant/ Lady Health Visitor/ Public Health Nurse</t>
  </si>
  <si>
    <t>8.1.1.4</t>
  </si>
  <si>
    <t>B.30.1.4</t>
  </si>
  <si>
    <t>8.1.1.5</t>
  </si>
  <si>
    <t>B.30.1.5</t>
  </si>
  <si>
    <t>OT Technician</t>
  </si>
  <si>
    <t>8.1.1.6</t>
  </si>
  <si>
    <t>B.30.1.6</t>
  </si>
  <si>
    <t>Other Technicians at DH (ECG/ ECO, EEG, Dermatology, Cyto, PFT etc.)</t>
  </si>
  <si>
    <t>8.1.1.7</t>
  </si>
  <si>
    <t>B.30.1.7</t>
  </si>
  <si>
    <t>Pharmacist</t>
  </si>
  <si>
    <t>8.1.1.8</t>
  </si>
  <si>
    <t>B.30.1.8</t>
  </si>
  <si>
    <t>8.1.1.9</t>
  </si>
  <si>
    <t>B.30.1.9</t>
  </si>
  <si>
    <t>Physiotherapist/ Occupational Therapist</t>
  </si>
  <si>
    <t>8.1.1.10</t>
  </si>
  <si>
    <t>B.30.1.10</t>
  </si>
  <si>
    <t>Dietician/ Nutritionist</t>
  </si>
  <si>
    <t>8.1.1.11</t>
  </si>
  <si>
    <t>B.30.1.11</t>
  </si>
  <si>
    <t>8.1.2</t>
  </si>
  <si>
    <t>B.30.2</t>
  </si>
  <si>
    <t>Specialists</t>
  </si>
  <si>
    <t>8.1.2.1</t>
  </si>
  <si>
    <t>B.30.2.1</t>
  </si>
  <si>
    <t>Obstetricians and Gynaecologists</t>
  </si>
  <si>
    <t>8.1.2.2</t>
  </si>
  <si>
    <t>B.30.2.2</t>
  </si>
  <si>
    <t>Paediatricians</t>
  </si>
  <si>
    <t>8.1.2.3</t>
  </si>
  <si>
    <t>B.30.2.3</t>
  </si>
  <si>
    <t>Anaesthetists</t>
  </si>
  <si>
    <t>8.1.2.4</t>
  </si>
  <si>
    <t>8.1.2.5</t>
  </si>
  <si>
    <t>B.30.2.5</t>
  </si>
  <si>
    <t>Surgeons</t>
  </si>
  <si>
    <t>8.1.2.6</t>
  </si>
  <si>
    <t>B.30.2.6</t>
  </si>
  <si>
    <t>Radiologists</t>
  </si>
  <si>
    <t>B.30.2.7</t>
  </si>
  <si>
    <t>B.30.2.8</t>
  </si>
  <si>
    <t>ENT</t>
  </si>
  <si>
    <t>8.1.3</t>
  </si>
  <si>
    <t>B.30.3</t>
  </si>
  <si>
    <t>Other Specialists</t>
  </si>
  <si>
    <t>8.1.3.1</t>
  </si>
  <si>
    <t>8.1.3.2</t>
  </si>
  <si>
    <t>B.30.3.2</t>
  </si>
  <si>
    <t>Psychiatrists</t>
  </si>
  <si>
    <t>8.1.3.3</t>
  </si>
  <si>
    <t>B.30.3.3</t>
  </si>
  <si>
    <t xml:space="preserve">Orthopaedics </t>
  </si>
  <si>
    <t>8.1.3.4</t>
  </si>
  <si>
    <t>B.30.3.4</t>
  </si>
  <si>
    <t>Ophthalmologists</t>
  </si>
  <si>
    <t>8.1.3.5</t>
  </si>
  <si>
    <t>B.30.3.5</t>
  </si>
  <si>
    <t>Dermatologists</t>
  </si>
  <si>
    <t>8.1.3.6</t>
  </si>
  <si>
    <t>B.30.3.6</t>
  </si>
  <si>
    <t>Venereologist</t>
  </si>
  <si>
    <t>8.1.3.7</t>
  </si>
  <si>
    <t>B.30.3.7</t>
  </si>
  <si>
    <t>Microbiologists</t>
  </si>
  <si>
    <t>8.1.3.8</t>
  </si>
  <si>
    <t>B.30.3.8</t>
  </si>
  <si>
    <t>Forensic Specialist</t>
  </si>
  <si>
    <t>8.1.3.9</t>
  </si>
  <si>
    <t>B.30.3.9</t>
  </si>
  <si>
    <t>8.1.4</t>
  </si>
  <si>
    <t>B.30.4</t>
  </si>
  <si>
    <t>Dental Staff</t>
  </si>
  <si>
    <t>8.1.4.1</t>
  </si>
  <si>
    <t>B.30.4.1</t>
  </si>
  <si>
    <t>Dental Surgeons</t>
  </si>
  <si>
    <t>8.1.4.2</t>
  </si>
  <si>
    <t>B.30.4.2</t>
  </si>
  <si>
    <t>Dental MO</t>
  </si>
  <si>
    <t>8.1.4.3</t>
  </si>
  <si>
    <t>B.30.4.3</t>
  </si>
  <si>
    <t>Other Dental Staff</t>
  </si>
  <si>
    <t>B.30.4.3.a</t>
  </si>
  <si>
    <t>Dental Hygienist</t>
  </si>
  <si>
    <t>B.30.4.3.b</t>
  </si>
  <si>
    <t>Dental Technician</t>
  </si>
  <si>
    <t>B.30.4.3.c</t>
  </si>
  <si>
    <t>Dental Assistants</t>
  </si>
  <si>
    <t>B.30.4.4</t>
  </si>
  <si>
    <t>8.1.5</t>
  </si>
  <si>
    <t>B.30.5</t>
  </si>
  <si>
    <t xml:space="preserve">Medical Officers </t>
  </si>
  <si>
    <t>8.1.6</t>
  </si>
  <si>
    <t>B.30.6</t>
  </si>
  <si>
    <t>AYUSH Staff</t>
  </si>
  <si>
    <t>8.1.6.1</t>
  </si>
  <si>
    <t>B.30.6.1</t>
  </si>
  <si>
    <t>AYUSH MOs</t>
  </si>
  <si>
    <t>8.1.6.2</t>
  </si>
  <si>
    <t>B.30.6.2</t>
  </si>
  <si>
    <t>Pharmacist - AYUSH</t>
  </si>
  <si>
    <t>8.1.6.3</t>
  </si>
  <si>
    <t>B.30.6.3</t>
  </si>
  <si>
    <t>8.1.7</t>
  </si>
  <si>
    <t>B.30.7</t>
  </si>
  <si>
    <t>RBSK teams (Exclusive mobile health team &amp; DEIC Staff)</t>
  </si>
  <si>
    <t>8.1.7.1</t>
  </si>
  <si>
    <t>B.30.7.1</t>
  </si>
  <si>
    <t>RBSK mobile teams</t>
  </si>
  <si>
    <t>8.1.7.2</t>
  </si>
  <si>
    <t>B.30.7.1.a</t>
  </si>
  <si>
    <t xml:space="preserve">MOs- AYUSH </t>
  </si>
  <si>
    <t>B.30.7.1.b</t>
  </si>
  <si>
    <t>MOs- MBBS</t>
  </si>
  <si>
    <t>B.30.7.1.c</t>
  </si>
  <si>
    <t>Staff Nurse</t>
  </si>
  <si>
    <t>B.30.7.1.d</t>
  </si>
  <si>
    <t>ANM</t>
  </si>
  <si>
    <t>B.30.7.1.e</t>
  </si>
  <si>
    <t>Pharmacists</t>
  </si>
  <si>
    <t>B.30.7.2</t>
  </si>
  <si>
    <t>DEIC</t>
  </si>
  <si>
    <t>B.30.7.2.a</t>
  </si>
  <si>
    <t>Paediatrician</t>
  </si>
  <si>
    <t>B.30.7.2.b</t>
  </si>
  <si>
    <t>MO, MBBS</t>
  </si>
  <si>
    <t>B.30.7.2.c</t>
  </si>
  <si>
    <t>MO, Dental</t>
  </si>
  <si>
    <t>B.30.7.2.d</t>
  </si>
  <si>
    <t>B.30.7.2.e</t>
  </si>
  <si>
    <t>Physiotherapist</t>
  </si>
  <si>
    <t>B.30.7.2.f</t>
  </si>
  <si>
    <t>Audiologist &amp; speech therapist</t>
  </si>
  <si>
    <t>B.30.7.2.g</t>
  </si>
  <si>
    <t>Psychologist</t>
  </si>
  <si>
    <t>B.30.7.2.h</t>
  </si>
  <si>
    <t>Optometrist</t>
  </si>
  <si>
    <t>B.30.7.2.i</t>
  </si>
  <si>
    <t>Early interventionist cum special educator</t>
  </si>
  <si>
    <t>B.30.7.2.j</t>
  </si>
  <si>
    <t>Social worker</t>
  </si>
  <si>
    <t>B.30.7.2.k</t>
  </si>
  <si>
    <t>Lab technician</t>
  </si>
  <si>
    <t>B.30.7.2.l</t>
  </si>
  <si>
    <t>Dental technician</t>
  </si>
  <si>
    <t>8.1.8</t>
  </si>
  <si>
    <t>B.30.8</t>
  </si>
  <si>
    <t>Staff for NRC</t>
  </si>
  <si>
    <t>8.1.8.1</t>
  </si>
  <si>
    <t>B.30.8.1</t>
  </si>
  <si>
    <t>8.1.8.2</t>
  </si>
  <si>
    <t>B.30.8.2</t>
  </si>
  <si>
    <t>8.1.8.3</t>
  </si>
  <si>
    <t>B.30.8.3</t>
  </si>
  <si>
    <t>Cook cum caretaker</t>
  </si>
  <si>
    <t>8.1.8.4</t>
  </si>
  <si>
    <t>B.30.8.4</t>
  </si>
  <si>
    <t>Medical Social worker for NRC</t>
  </si>
  <si>
    <t>8.1.8.5</t>
  </si>
  <si>
    <t>B.30.17.3</t>
  </si>
  <si>
    <t>Feeding demonstrator for NRC</t>
  </si>
  <si>
    <t>8.1.8.6</t>
  </si>
  <si>
    <t>B.30.8.5</t>
  </si>
  <si>
    <t>8.1.9</t>
  </si>
  <si>
    <t>B.30.9</t>
  </si>
  <si>
    <t>8.1.9.1</t>
  </si>
  <si>
    <t>B.30.9.1</t>
  </si>
  <si>
    <t>8.1.9.2</t>
  </si>
  <si>
    <t>B.30.9.2</t>
  </si>
  <si>
    <t>8.1.9.3</t>
  </si>
  <si>
    <t>B.30.9.3</t>
  </si>
  <si>
    <t>8.1.9.4</t>
  </si>
  <si>
    <t>B.30.9.4</t>
  </si>
  <si>
    <t xml:space="preserve">Others </t>
  </si>
  <si>
    <t>8.1.10</t>
  </si>
  <si>
    <t>B.30.10</t>
  </si>
  <si>
    <t>Staff for MMU/ MHV</t>
  </si>
  <si>
    <t>8.1.10.1</t>
  </si>
  <si>
    <t>B.30.10.1</t>
  </si>
  <si>
    <t>8.1.10.2</t>
  </si>
  <si>
    <t>B.30.10.2</t>
  </si>
  <si>
    <t>Staff Nurse/ ANM</t>
  </si>
  <si>
    <t>8.1.10.3</t>
  </si>
  <si>
    <t>B.30.10.3</t>
  </si>
  <si>
    <t>8.1.10.4</t>
  </si>
  <si>
    <t>B.30.10.4</t>
  </si>
  <si>
    <t>B.30.10.5</t>
  </si>
  <si>
    <t>8.1.11</t>
  </si>
  <si>
    <t>B.30.11</t>
  </si>
  <si>
    <t>Other Staff</t>
  </si>
  <si>
    <t>8.1.11.1</t>
  </si>
  <si>
    <t>B.30.11.1</t>
  </si>
  <si>
    <t xml:space="preserve">Counsellor </t>
  </si>
  <si>
    <t>8.1.11.2</t>
  </si>
  <si>
    <t>B.30.11.2</t>
  </si>
  <si>
    <t>B.30.11.3</t>
  </si>
  <si>
    <t>Multi Rehabilitation worker</t>
  </si>
  <si>
    <t>B.30.11.4</t>
  </si>
  <si>
    <t xml:space="preserve">Social Worker </t>
  </si>
  <si>
    <t>B.30.11.5</t>
  </si>
  <si>
    <t>Rehabilitation Therapist</t>
  </si>
  <si>
    <t>B.30.11.6</t>
  </si>
  <si>
    <t>Biomedical Engineer</t>
  </si>
  <si>
    <t>B.30.11.7</t>
  </si>
  <si>
    <t>Lab Attendant/ Assistant</t>
  </si>
  <si>
    <t>B.30.11.8</t>
  </si>
  <si>
    <t>OT Assistant</t>
  </si>
  <si>
    <t>B.30.11.9</t>
  </si>
  <si>
    <t>B.30.11.10</t>
  </si>
  <si>
    <t>CSSD Asstt.</t>
  </si>
  <si>
    <t>B.30.11.11</t>
  </si>
  <si>
    <t>Darkroom Asstt.</t>
  </si>
  <si>
    <t>B.30.11.12</t>
  </si>
  <si>
    <t>Cold Chain &amp; Vaccine Logistic Assistant</t>
  </si>
  <si>
    <t>B.30.11.13</t>
  </si>
  <si>
    <t>Ophthalmic Assistant/ Refractionist</t>
  </si>
  <si>
    <t>B.30.11.14</t>
  </si>
  <si>
    <t>Audiometrician/ Audiologist</t>
  </si>
  <si>
    <t>B.30.11.15</t>
  </si>
  <si>
    <t>Health Educator</t>
  </si>
  <si>
    <t>B.30.11.16</t>
  </si>
  <si>
    <t>Store Keeper/ Store Asstt</t>
  </si>
  <si>
    <t>B.30.17.2</t>
  </si>
  <si>
    <t>Lactation Counsellors for high case load facilities</t>
  </si>
  <si>
    <t>B.30.11.17</t>
  </si>
  <si>
    <t>8.1.12</t>
  </si>
  <si>
    <t>B.30.12</t>
  </si>
  <si>
    <t>Blood Bank/ BSU/Mobile Blood Vehicle</t>
  </si>
  <si>
    <t>8.1.12.1</t>
  </si>
  <si>
    <t>B.30.12.1</t>
  </si>
  <si>
    <t>Doctor - Pathologist</t>
  </si>
  <si>
    <t>8.1.12.2</t>
  </si>
  <si>
    <t>B.30.12.2</t>
  </si>
  <si>
    <t>B.30.12.3</t>
  </si>
  <si>
    <t>Male/ Female Nursing Attendant</t>
  </si>
  <si>
    <t>B.30.12.4</t>
  </si>
  <si>
    <t>Blood Bank Technician</t>
  </si>
  <si>
    <t>B.30.12.5</t>
  </si>
  <si>
    <t>8.1.13</t>
  </si>
  <si>
    <t>B.30.13</t>
  </si>
  <si>
    <t>Administrative Staff</t>
  </si>
  <si>
    <t>8.1.13.1</t>
  </si>
  <si>
    <t>B.30.13.1</t>
  </si>
  <si>
    <t>Hospital Administrator</t>
  </si>
  <si>
    <t>8.1.13.2</t>
  </si>
  <si>
    <t>B.30.13.2</t>
  </si>
  <si>
    <t>Hospital Superintendent</t>
  </si>
  <si>
    <t>8.1.13.3</t>
  </si>
  <si>
    <t>B.30.13.3</t>
  </si>
  <si>
    <t>Block Medical Officer/ Medical Superintendent</t>
  </si>
  <si>
    <t>8.1.13.4</t>
  </si>
  <si>
    <t>B.30.13.4</t>
  </si>
  <si>
    <t>8.1.13.5</t>
  </si>
  <si>
    <t>B.30.13.5</t>
  </si>
  <si>
    <t>Housekeeper/ Manager</t>
  </si>
  <si>
    <t>B.30.13.6</t>
  </si>
  <si>
    <t>Medical Records Officer</t>
  </si>
  <si>
    <t>B.30.13.7</t>
  </si>
  <si>
    <t>Medical Records Asstt./ Case Registry Asstt.</t>
  </si>
  <si>
    <t>B.30.13.8</t>
  </si>
  <si>
    <t>Accounts/ Finance</t>
  </si>
  <si>
    <t>B.30.13.9</t>
  </si>
  <si>
    <t>Admin Officer/ Asstt</t>
  </si>
  <si>
    <t>B.30.13.10</t>
  </si>
  <si>
    <t>Statistical Asstt.</t>
  </si>
  <si>
    <t>B.30.13.11</t>
  </si>
  <si>
    <t>Office Asstt</t>
  </si>
  <si>
    <t>B.30.13.12</t>
  </si>
  <si>
    <t>B.30.13.13</t>
  </si>
  <si>
    <t>Ambulance Services (1 driver + 2 Tech.)</t>
  </si>
  <si>
    <t>B.30.13.13.a</t>
  </si>
  <si>
    <t>Driver</t>
  </si>
  <si>
    <t>B.30.13.13.b</t>
  </si>
  <si>
    <t>Technician</t>
  </si>
  <si>
    <t>B.30.13.14</t>
  </si>
  <si>
    <t>8.1.14</t>
  </si>
  <si>
    <t>B.30.14</t>
  </si>
  <si>
    <t>Support Staff for Health Facilities on outsourcing basis</t>
  </si>
  <si>
    <t>8.1.14.1</t>
  </si>
  <si>
    <t>8.1.14.2</t>
  </si>
  <si>
    <t>8.1.14.3</t>
  </si>
  <si>
    <t>B.30.14.3</t>
  </si>
  <si>
    <t>B.30.20</t>
  </si>
  <si>
    <t xml:space="preserve">Annual increment for all the existing positions </t>
  </si>
  <si>
    <t>B.30.21</t>
  </si>
  <si>
    <t>EPF (Employer's contribution) @ 13.36% for salaries &lt;= Rs.15,000 pm</t>
  </si>
  <si>
    <t>Incentives and Allowances</t>
  </si>
  <si>
    <t>8.4.1</t>
  </si>
  <si>
    <t>B.30.15</t>
  </si>
  <si>
    <t>Additional Allowances/ Incentives to Medical Officers</t>
  </si>
  <si>
    <t>8.4.2</t>
  </si>
  <si>
    <t>B.30.18</t>
  </si>
  <si>
    <t>Incentive/ Awards etc. to SN, ANMs etc. (Including group/team based incentives at sub-centre/PHC for primary care)</t>
  </si>
  <si>
    <t>8.4.3</t>
  </si>
  <si>
    <t>B.30.16</t>
  </si>
  <si>
    <t>Honorarium for Paediatric ECO, ENT specialist, Orthopediatrician, Ophthalmologist, Psychiatrics</t>
  </si>
  <si>
    <t>8.4.4</t>
  </si>
  <si>
    <t>B.30.17.1</t>
  </si>
  <si>
    <t>8.4.5</t>
  </si>
  <si>
    <t>A.3.5.3</t>
  </si>
  <si>
    <t>Performance reward if any</t>
  </si>
  <si>
    <t>8.4.6</t>
  </si>
  <si>
    <t>A.3.2.2</t>
  </si>
  <si>
    <t>8.4.7</t>
  </si>
  <si>
    <t>A.3.2.3</t>
  </si>
  <si>
    <t>8.4.8</t>
  </si>
  <si>
    <t>A.3.2.4</t>
  </si>
  <si>
    <t>8.4.9</t>
  </si>
  <si>
    <t>Annexure for Training and Capacity Building</t>
  </si>
  <si>
    <t>Training</t>
  </si>
  <si>
    <t>9.1.1</t>
  </si>
  <si>
    <t>A.9.1.2.2</t>
  </si>
  <si>
    <t>Setting up of Skill Lab</t>
  </si>
  <si>
    <t>9.1.2</t>
  </si>
  <si>
    <t>A.9.3.1.1</t>
  </si>
  <si>
    <t>Setting up of SBA Training Centres</t>
  </si>
  <si>
    <t>9.1.3</t>
  </si>
  <si>
    <t>A.9.3.2.1</t>
  </si>
  <si>
    <t>Setting up of EmOC Training Centres</t>
  </si>
  <si>
    <t>9.1.4</t>
  </si>
  <si>
    <t>A.9.3.3.1</t>
  </si>
  <si>
    <t>Setting up of Life saving Anaesthesia skills Training Centres</t>
  </si>
  <si>
    <t>9.1.5</t>
  </si>
  <si>
    <t>A.9.10.1</t>
  </si>
  <si>
    <t>Strengthening of Existing Training Institutions/Nursing School (excluding infrastructure and HR)</t>
  </si>
  <si>
    <t>9.1.6.1</t>
  </si>
  <si>
    <t>A.9.2.1</t>
  </si>
  <si>
    <t>9.1.6.2</t>
  </si>
  <si>
    <t>A.9.6.8</t>
  </si>
  <si>
    <t>Training / Orientation technical manuals</t>
  </si>
  <si>
    <t>9.2.1</t>
  </si>
  <si>
    <t>A.9.1.2.1</t>
  </si>
  <si>
    <t xml:space="preserve">HR for Skill Lab </t>
  </si>
  <si>
    <t>9.5.1</t>
  </si>
  <si>
    <t>Maternal Health Trainings</t>
  </si>
  <si>
    <t>9.5.1.1</t>
  </si>
  <si>
    <t>A.1.4</t>
  </si>
  <si>
    <t xml:space="preserve">Maternal Death Review Trainings </t>
  </si>
  <si>
    <t>9.5.1.2</t>
  </si>
  <si>
    <t>A.9.1.2.3</t>
  </si>
  <si>
    <t>Onsite mentoring at Delivery Points</t>
  </si>
  <si>
    <t>9.5.1.3</t>
  </si>
  <si>
    <t>A.9.3.1.2</t>
  </si>
  <si>
    <t>TOT for SBA</t>
  </si>
  <si>
    <t>9.5.1.4</t>
  </si>
  <si>
    <t>A.9.3.1.3</t>
  </si>
  <si>
    <t>Training of Staff Nurses/ANMs / LHVs in SBA</t>
  </si>
  <si>
    <t>9.5.1.5</t>
  </si>
  <si>
    <t>A.9.3.2.2</t>
  </si>
  <si>
    <t>TOT for EmOC</t>
  </si>
  <si>
    <t>9.5.1.6</t>
  </si>
  <si>
    <t>A.9.3.2.3</t>
  </si>
  <si>
    <t>Training of Medical Officers in EmOC</t>
  </si>
  <si>
    <t>9.5.1.7</t>
  </si>
  <si>
    <t>A.9.3.3.2</t>
  </si>
  <si>
    <t>TOT for Anaesthesia skills training</t>
  </si>
  <si>
    <t>9.5.1.8</t>
  </si>
  <si>
    <t>A.9.3.3.3</t>
  </si>
  <si>
    <t>Training of Medical Officers in life saving Anaesthesia skills</t>
  </si>
  <si>
    <t>9.5.1.9</t>
  </si>
  <si>
    <t>A.9.3.4.1</t>
  </si>
  <si>
    <t>TOT on safe abortion services</t>
  </si>
  <si>
    <t>9.5.1.10</t>
  </si>
  <si>
    <t>A.9.3.4.2, A.1.1</t>
  </si>
  <si>
    <t>Training of Medical Officers in safe abortion</t>
  </si>
  <si>
    <t>9.5.1.11</t>
  </si>
  <si>
    <t>A.9.3.5.1</t>
  </si>
  <si>
    <t>TOT for RTI/STI training</t>
  </si>
  <si>
    <t>9.5.1.12</t>
  </si>
  <si>
    <t>A.9.3.5.2</t>
  </si>
  <si>
    <t>Training of laboratory technicians in RTI/STI</t>
  </si>
  <si>
    <t>9.5.1.13</t>
  </si>
  <si>
    <t>A.9.3.5.3</t>
  </si>
  <si>
    <t>Training of Medical Officers in RTI/STI</t>
  </si>
  <si>
    <t>9.5.1.14</t>
  </si>
  <si>
    <t>A.9.3.6.1</t>
  </si>
  <si>
    <t>TOT for BEmOC training</t>
  </si>
  <si>
    <t>9.5.1.15</t>
  </si>
  <si>
    <t>A.9.3.6.2</t>
  </si>
  <si>
    <t>BEmOC training  for MOs/LMOs</t>
  </si>
  <si>
    <t>9.5.1.16</t>
  </si>
  <si>
    <t>A.9.3.7</t>
  </si>
  <si>
    <t>A.9.3.8</t>
  </si>
  <si>
    <t>Blood Bank/Blood Storage Unit (BSU) Training</t>
  </si>
  <si>
    <t>A.9.4</t>
  </si>
  <si>
    <t>IMEP Training</t>
  </si>
  <si>
    <t>A.9.4.1</t>
  </si>
  <si>
    <t>TOT on IMEP</t>
  </si>
  <si>
    <t>A.9.4.2</t>
  </si>
  <si>
    <t>IMEP training for state and district programme managers</t>
  </si>
  <si>
    <t>A.9.4.3</t>
  </si>
  <si>
    <t>IMEP training for medical officers</t>
  </si>
  <si>
    <t>A.9.4.4</t>
  </si>
  <si>
    <t>9.5.2</t>
  </si>
  <si>
    <t>Child Health Trainings</t>
  </si>
  <si>
    <t>9.5.2.1</t>
  </si>
  <si>
    <t>A.2.1</t>
  </si>
  <si>
    <t>IMNCI (including F-IMNCI; primarily budget for  planning for pre-service IMNCI activities in medical colleges, nursing colleges, and ANMTCs other training)</t>
  </si>
  <si>
    <t>9.5.2.2</t>
  </si>
  <si>
    <t>A.2.6</t>
  </si>
  <si>
    <t>9.5.2.3</t>
  </si>
  <si>
    <t>9.5.2.4</t>
  </si>
  <si>
    <t>A.2.8</t>
  </si>
  <si>
    <t xml:space="preserve">Child Death Review Trainings </t>
  </si>
  <si>
    <t>9.5.2.5</t>
  </si>
  <si>
    <t>A.2.11.1</t>
  </si>
  <si>
    <t>Provision for State &amp; District level (Training and Workshops) (Dissemination to be budgeted under IEC; Meetings/ review meetings to be budgeted under PM)</t>
  </si>
  <si>
    <t>9.5.2.6</t>
  </si>
  <si>
    <t>A.9.5.1.1</t>
  </si>
  <si>
    <t>TOT on IMNCI (pre-service and in-service)</t>
  </si>
  <si>
    <t>9.5.2.7</t>
  </si>
  <si>
    <t>A.9.5.1.2</t>
  </si>
  <si>
    <t>IMNCI Training for ANMs / LHVs</t>
  </si>
  <si>
    <t>9.5.2.8</t>
  </si>
  <si>
    <t>A.9.5.2.1</t>
  </si>
  <si>
    <t>TOT on F-IMNCI</t>
  </si>
  <si>
    <t>9.5.2.9</t>
  </si>
  <si>
    <t>A.9.5.2.2</t>
  </si>
  <si>
    <t>F-IMNCI Training for Medical Officers</t>
  </si>
  <si>
    <t>9.5.2.10</t>
  </si>
  <si>
    <t>A.9.5.2.3</t>
  </si>
  <si>
    <t>F-IMNCI Training for Staff Nurses</t>
  </si>
  <si>
    <t>9.5.2.11</t>
  </si>
  <si>
    <t>9.5.2.12</t>
  </si>
  <si>
    <t>9.5.2.13</t>
  </si>
  <si>
    <t>A.9.5.4.1</t>
  </si>
  <si>
    <t>Training on facility based management of Severe Acute Malnutrition (including refreshers)</t>
  </si>
  <si>
    <t>9.5.2.14</t>
  </si>
  <si>
    <t>A.9.5.5.1.1</t>
  </si>
  <si>
    <t>TOT for NSSK</t>
  </si>
  <si>
    <t>9.5.2.15</t>
  </si>
  <si>
    <t>A.9.5.5.1.2</t>
  </si>
  <si>
    <t>NSSK Training for Medical Officers</t>
  </si>
  <si>
    <t>9.5.2.16</t>
  </si>
  <si>
    <t>A.9.5.5.1.3</t>
  </si>
  <si>
    <t>NSSK Training for SNs</t>
  </si>
  <si>
    <t>9.5.2.17</t>
  </si>
  <si>
    <t>A.9.5.5.1.4</t>
  </si>
  <si>
    <t>NSSK Training for ANMs</t>
  </si>
  <si>
    <t>9.5.2.18</t>
  </si>
  <si>
    <t>A.9.5.5.2.a</t>
  </si>
  <si>
    <t>9.5.2.19</t>
  </si>
  <si>
    <t>A.9.5.5.2.b</t>
  </si>
  <si>
    <t>9.5.2.20</t>
  </si>
  <si>
    <t>A.9.5.5.2.c</t>
  </si>
  <si>
    <t>9.5.2.21</t>
  </si>
  <si>
    <t>A.9.5.5.2.d</t>
  </si>
  <si>
    <t>Orientation on National Deworming Day</t>
  </si>
  <si>
    <t>9.5.3</t>
  </si>
  <si>
    <t>Family Planning Trainings</t>
  </si>
  <si>
    <t>9.5.3.1</t>
  </si>
  <si>
    <t>9.5.3.2</t>
  </si>
  <si>
    <t>A.3.2.7</t>
  </si>
  <si>
    <t>Dissemination of FP manuals and guidelines (workshops only)</t>
  </si>
  <si>
    <t>9.5.3.3</t>
  </si>
  <si>
    <t>A.3.5.1</t>
  </si>
  <si>
    <t>9.5.3.4</t>
  </si>
  <si>
    <t>A.9.6.1.1</t>
  </si>
  <si>
    <t>TOT on laparoscopic sterilization</t>
  </si>
  <si>
    <t>9.5.3.5</t>
  </si>
  <si>
    <t>A.9.6.1.2</t>
  </si>
  <si>
    <t>Laparoscopic sterilization training for doctors (teams of doctor, SN and OT assistant)</t>
  </si>
  <si>
    <t>9.5.3.6</t>
  </si>
  <si>
    <t>A.9.6.1.3</t>
  </si>
  <si>
    <t>Refresher training on laparoscopic sterilization</t>
  </si>
  <si>
    <t>9.5.3.7</t>
  </si>
  <si>
    <t>A.9.6.2.1</t>
  </si>
  <si>
    <t>TOT on Minilap</t>
  </si>
  <si>
    <t>9.5.3.8</t>
  </si>
  <si>
    <t>A.9.6.2.2</t>
  </si>
  <si>
    <t>Minilap training for medical officers</t>
  </si>
  <si>
    <t>9.5.3.9</t>
  </si>
  <si>
    <t>A.9.6.2.3</t>
  </si>
  <si>
    <t>Refresher training on Minilap sterilization</t>
  </si>
  <si>
    <t>9.5.3.10</t>
  </si>
  <si>
    <t>A.9.6.3.1</t>
  </si>
  <si>
    <t>TOT on NSV</t>
  </si>
  <si>
    <t>9.5.3.11</t>
  </si>
  <si>
    <t>A.9.6.3.3</t>
  </si>
  <si>
    <t>Refresher training on NSV sterilization</t>
  </si>
  <si>
    <t>9.5.3.12</t>
  </si>
  <si>
    <t>A.9.6.4.1</t>
  </si>
  <si>
    <t>TOT (IUCD insertion training)</t>
  </si>
  <si>
    <t>9.5.3.13</t>
  </si>
  <si>
    <t>A.9.6.4.2</t>
  </si>
  <si>
    <t>Training of Medical officers  (IUCD insertion training)</t>
  </si>
  <si>
    <t>9.5.3.14</t>
  </si>
  <si>
    <t>A.9.6.4.3</t>
  </si>
  <si>
    <t>Training of AYUSH doctors  (IUCD insertion training)</t>
  </si>
  <si>
    <t>9.5.3.15</t>
  </si>
  <si>
    <t>A.9.6.4.4</t>
  </si>
  <si>
    <t>Training of Nurses (Staff Nurse/LHV/ANM)  (IUCD insertion training)</t>
  </si>
  <si>
    <t>9.5.3.16</t>
  </si>
  <si>
    <t>A.9.6.5.1</t>
  </si>
  <si>
    <t>TOT (PPIUCD insertion training)</t>
  </si>
  <si>
    <t>9.5.3.17</t>
  </si>
  <si>
    <t>A.9.6.5.2</t>
  </si>
  <si>
    <t>Training of Medical officers (PPIUCD insertion training)</t>
  </si>
  <si>
    <t>9.5.3.18</t>
  </si>
  <si>
    <t>A.9.6.5.3</t>
  </si>
  <si>
    <t>Training of AYUSH doctors (PPIUCD insertion training)</t>
  </si>
  <si>
    <t>9.5.3.19</t>
  </si>
  <si>
    <t>A.9.6.5.4</t>
  </si>
  <si>
    <t>Training of Nurses (Staff Nurse/LHV/ANM) (PPIUCD insertion training)</t>
  </si>
  <si>
    <t>9.5.3.20</t>
  </si>
  <si>
    <t>A.9.6.6.1</t>
  </si>
  <si>
    <t xml:space="preserve">Training for Post abortion Family Planning </t>
  </si>
  <si>
    <t>9.5.3.21</t>
  </si>
  <si>
    <t>A.9.6.7</t>
  </si>
  <si>
    <t>Training of RMNCH+A/ FP Counsellors</t>
  </si>
  <si>
    <t>9.5.3.22</t>
  </si>
  <si>
    <t>A.9.6.9.1</t>
  </si>
  <si>
    <t>9.5.3.23</t>
  </si>
  <si>
    <t>A.9.6.9.2</t>
  </si>
  <si>
    <t>9.5.3.24</t>
  </si>
  <si>
    <t>A.9.6.9.3</t>
  </si>
  <si>
    <t>9.5.3.25</t>
  </si>
  <si>
    <t>A.9.6.9.4</t>
  </si>
  <si>
    <t>9.5.3.26</t>
  </si>
  <si>
    <t>A.9.6.10</t>
  </si>
  <si>
    <t>Oral Pills Training</t>
  </si>
  <si>
    <t>9.5.4</t>
  </si>
  <si>
    <t>Adolescent Health Trainings</t>
  </si>
  <si>
    <t>9.5.4.1</t>
  </si>
  <si>
    <t>A.4.1.1</t>
  </si>
  <si>
    <t xml:space="preserve">Dissemination workshops under RKSK </t>
  </si>
  <si>
    <t>9.5.4.2</t>
  </si>
  <si>
    <t>A.9.7.1.1</t>
  </si>
  <si>
    <t xml:space="preserve">TOT for Adolescent Friendly Health Service training </t>
  </si>
  <si>
    <t>9.5.4.3</t>
  </si>
  <si>
    <t>A.9.7.1.2</t>
  </si>
  <si>
    <t xml:space="preserve">AFHS training of Medical Officers </t>
  </si>
  <si>
    <t>9.5.4.4</t>
  </si>
  <si>
    <t>A.9.7.1.3</t>
  </si>
  <si>
    <t>9.5.4.6</t>
  </si>
  <si>
    <t>A.9.7.1.5</t>
  </si>
  <si>
    <t>Training of AH counsellors</t>
  </si>
  <si>
    <t>9.5.4.7</t>
  </si>
  <si>
    <t>A.9.7.2.1</t>
  </si>
  <si>
    <t>Training of Peer Educator (District level)</t>
  </si>
  <si>
    <t>9.5.4.8</t>
  </si>
  <si>
    <t>A.9.7.2.2</t>
  </si>
  <si>
    <t>Training of Peer Educator (Block Level)</t>
  </si>
  <si>
    <t>9.5.4.9</t>
  </si>
  <si>
    <t>A.9.7.2.3</t>
  </si>
  <si>
    <t>Training of Peer Educator (Sub block level)</t>
  </si>
  <si>
    <t>9.5.4.10</t>
  </si>
  <si>
    <t>A.9.7.3.1</t>
  </si>
  <si>
    <t>WIFS trainings (District)</t>
  </si>
  <si>
    <t>9.5.4.11</t>
  </si>
  <si>
    <t>A.9.7.3.2</t>
  </si>
  <si>
    <t>WIFS trainings (Block)</t>
  </si>
  <si>
    <t>9.5.4.12</t>
  </si>
  <si>
    <t>A.9.7.4.1</t>
  </si>
  <si>
    <t>MHS Trainings (District)</t>
  </si>
  <si>
    <t>9.5.4.13</t>
  </si>
  <si>
    <t>A.9.7.4.2</t>
  </si>
  <si>
    <t>MHS Trainings (Block)</t>
  </si>
  <si>
    <t>A.9.7.5</t>
  </si>
  <si>
    <t>9.5.5</t>
  </si>
  <si>
    <t>9.5.5.1</t>
  </si>
  <si>
    <t>A.9.12.1</t>
  </si>
  <si>
    <t>RBSK Training -Training of Mobile health team – technical and managerial (5 days)</t>
  </si>
  <si>
    <t>9.5.5.2</t>
  </si>
  <si>
    <t>A.9.12.2</t>
  </si>
  <si>
    <t>RBSK DEIC Staff training (15 days)</t>
  </si>
  <si>
    <t>9.5.5.3</t>
  </si>
  <si>
    <t>A.9.12.3</t>
  </si>
  <si>
    <t>One day orientation for  MO / other staff Delivery points (RBSK trainings)</t>
  </si>
  <si>
    <t>9.5.5.4</t>
  </si>
  <si>
    <t>A.9.12.4</t>
  </si>
  <si>
    <t>Training/Refresher training -ANM (one day) (RBSK trainings)</t>
  </si>
  <si>
    <t>A.9.12.5</t>
  </si>
  <si>
    <t>Training/Refresher training -ASHA (one day) (RBSK trainings)</t>
  </si>
  <si>
    <t>A.9.12.6</t>
  </si>
  <si>
    <t>A.9.12.6.1</t>
  </si>
  <si>
    <t>A.9.12.6.2</t>
  </si>
  <si>
    <t xml:space="preserve">Training of two nodal teachers per school </t>
  </si>
  <si>
    <t>9.5.6</t>
  </si>
  <si>
    <t>9.5.6.1</t>
  </si>
  <si>
    <t>A.9.11.1</t>
  </si>
  <si>
    <t>Promotional Training of ANMs to lady health visitor etc.</t>
  </si>
  <si>
    <t>A.9.11.2</t>
  </si>
  <si>
    <t>Training of ANMs, Staff nurses, AWW, AWS</t>
  </si>
  <si>
    <t>9.5.7</t>
  </si>
  <si>
    <t>Trainings under NPPCD</t>
  </si>
  <si>
    <t>9.5.7.1</t>
  </si>
  <si>
    <t>NPPCD</t>
  </si>
  <si>
    <t>B.25.2.1.b</t>
  </si>
  <si>
    <t>B.25.2.1.c</t>
  </si>
  <si>
    <t>B.25.2.1.d</t>
  </si>
  <si>
    <t>9.5.8</t>
  </si>
  <si>
    <t>Trainings under NPPC</t>
  </si>
  <si>
    <t>9.5.8.1</t>
  </si>
  <si>
    <t>B.27.1.2</t>
  </si>
  <si>
    <t>Training of PHC Medical Officers, nurses, Paramedical Workers &amp; Other Health Staff under NPPC</t>
  </si>
  <si>
    <t>9.5.9</t>
  </si>
  <si>
    <t>Trainings under NPPCF</t>
  </si>
  <si>
    <t>9.5.9.1</t>
  </si>
  <si>
    <t>B.29.1.4</t>
  </si>
  <si>
    <t>Training of medical and paramedical personnel at district level under NPPCF</t>
  </si>
  <si>
    <t>NPPCF</t>
  </si>
  <si>
    <t>9.5.10</t>
  </si>
  <si>
    <t>Trainings under Routine Immunisation</t>
  </si>
  <si>
    <t>9.5.10.1</t>
  </si>
  <si>
    <t>C.3</t>
  </si>
  <si>
    <t>Training under Immunisation</t>
  </si>
  <si>
    <t>9.5.11</t>
  </si>
  <si>
    <t>Trainings under IDSP</t>
  </si>
  <si>
    <t>9.5.11.1</t>
  </si>
  <si>
    <t>E.2.1</t>
  </si>
  <si>
    <t>Medical Officers (1 day)</t>
  </si>
  <si>
    <t>E.2.2</t>
  </si>
  <si>
    <t>Medical College Doctors (1 day)</t>
  </si>
  <si>
    <t>E.2.3</t>
  </si>
  <si>
    <t>Hospital Pharmacists/Nurses Training (1 day)</t>
  </si>
  <si>
    <t>E.2.4</t>
  </si>
  <si>
    <t>Lab. Technician (3 days)</t>
  </si>
  <si>
    <t>E.2.5</t>
  </si>
  <si>
    <t>Data Managers (2days)</t>
  </si>
  <si>
    <t>E.2.6</t>
  </si>
  <si>
    <t>Date Entry Operators cum Accountant (2 days)</t>
  </si>
  <si>
    <t>E.2.7</t>
  </si>
  <si>
    <t>ASHA &amp; MPWs, AWW &amp; Community volunteers (1 day)</t>
  </si>
  <si>
    <t>E.2.8</t>
  </si>
  <si>
    <t>One day training for Data entry and analysis for Block Health Team (including Block Programme Manager)</t>
  </si>
  <si>
    <t>E.2.10</t>
  </si>
  <si>
    <t>9.5.12</t>
  </si>
  <si>
    <t>Trainings under NVBDCP</t>
  </si>
  <si>
    <t>9.5.12.1</t>
  </si>
  <si>
    <t>F.1.1.f</t>
  </si>
  <si>
    <t>Training / Capacity Building (Malaria)</t>
  </si>
  <si>
    <t>9.5.12.2</t>
  </si>
  <si>
    <t>F.1.2.h</t>
  </si>
  <si>
    <t>Training / Workshop (Dengue and Chikungunya)</t>
  </si>
  <si>
    <t>9.5.12.3</t>
  </si>
  <si>
    <t>F.1.3.b</t>
  </si>
  <si>
    <t>Capacity Building (AES/ JE)</t>
  </si>
  <si>
    <t>9.5.12.4</t>
  </si>
  <si>
    <t>F.1.3.c</t>
  </si>
  <si>
    <t>Training specific for JE prevention and management</t>
  </si>
  <si>
    <t>9.5.12.5</t>
  </si>
  <si>
    <t>F.1.3.l</t>
  </si>
  <si>
    <t>Other Charges for  Training /Workshop Meeting (AES/ JE)</t>
  </si>
  <si>
    <t>9.5.12.6</t>
  </si>
  <si>
    <t>F.1.4.d</t>
  </si>
  <si>
    <t>Training/sensitization of district level officers on ELF and drug distributors including peripheral health workers (AES/ JE)</t>
  </si>
  <si>
    <t>9.5.13</t>
  </si>
  <si>
    <t>Trainings under NLEP</t>
  </si>
  <si>
    <t>9.5.13.1</t>
  </si>
  <si>
    <t>G.3.1</t>
  </si>
  <si>
    <t>Capacity building under NLEP</t>
  </si>
  <si>
    <t>9.5.14</t>
  </si>
  <si>
    <t>9.5.14.1</t>
  </si>
  <si>
    <t>H.6</t>
  </si>
  <si>
    <t>H.10</t>
  </si>
  <si>
    <t>9.5.15</t>
  </si>
  <si>
    <t>Trainings under NPCB</t>
  </si>
  <si>
    <t>9.5.15.1</t>
  </si>
  <si>
    <t>I.1.6</t>
  </si>
  <si>
    <t>Training of PMOA under NPCB</t>
  </si>
  <si>
    <t>9.5.16</t>
  </si>
  <si>
    <t>Trainings under NMHP</t>
  </si>
  <si>
    <t>9.5.16.1</t>
  </si>
  <si>
    <t>J.1.2</t>
  </si>
  <si>
    <t>Training of PHC Medical Officers, Nurses, Paramedical Workers &amp; Other Health Staff working under NMHP</t>
  </si>
  <si>
    <t>9.5.17</t>
  </si>
  <si>
    <t>Trainings under NPHCE</t>
  </si>
  <si>
    <t>9.5.17.1</t>
  </si>
  <si>
    <t>K.1.1.2</t>
  </si>
  <si>
    <t>K.1.2.1</t>
  </si>
  <si>
    <t>K.1.3.1.</t>
  </si>
  <si>
    <t>9.5.18</t>
  </si>
  <si>
    <t>Trainings under NTCP</t>
  </si>
  <si>
    <t>9.5.18.1</t>
  </si>
  <si>
    <t>M.1.1</t>
  </si>
  <si>
    <t>9.5.18.2</t>
  </si>
  <si>
    <t>M.3.1</t>
  </si>
  <si>
    <t>9.5.19</t>
  </si>
  <si>
    <t>O.2.3</t>
  </si>
  <si>
    <t>Trainings under NPCDCS</t>
  </si>
  <si>
    <t>9.5.19.1</t>
  </si>
  <si>
    <t>O.2.3.1</t>
  </si>
  <si>
    <t>State NCD  Cell</t>
  </si>
  <si>
    <t>9.5.19.2</t>
  </si>
  <si>
    <t>O.2.3.2</t>
  </si>
  <si>
    <t>District  NCD Cell</t>
  </si>
  <si>
    <t>9.5.20</t>
  </si>
  <si>
    <t>PMU Trainings</t>
  </si>
  <si>
    <t>9.5.20.1</t>
  </si>
  <si>
    <t>A.9.8.1</t>
  </si>
  <si>
    <t xml:space="preserve">Training of SPMSU staff </t>
  </si>
  <si>
    <t>9.5.20.2</t>
  </si>
  <si>
    <t>A.9.8.2</t>
  </si>
  <si>
    <t xml:space="preserve">Training of DPMSU staff </t>
  </si>
  <si>
    <t>A.9.8.3</t>
  </si>
  <si>
    <t>Training of BPMSU staff</t>
  </si>
  <si>
    <t>9.5.21</t>
  </si>
  <si>
    <t>PNDT Trainings</t>
  </si>
  <si>
    <t>9.5.21.1</t>
  </si>
  <si>
    <t>A.9.9.1</t>
  </si>
  <si>
    <t>PNDT</t>
  </si>
  <si>
    <t>9.5.22</t>
  </si>
  <si>
    <t>9.5.22.1</t>
  </si>
  <si>
    <t>B1.1.1.5.1</t>
  </si>
  <si>
    <t>Training of ASHA facilitator</t>
  </si>
  <si>
    <t>B1.1.1.5.2</t>
  </si>
  <si>
    <t>B1.1.6.1</t>
  </si>
  <si>
    <t>B1.1.6.2</t>
  </si>
  <si>
    <t>B1.1.6.3</t>
  </si>
  <si>
    <t>B11.1.4</t>
  </si>
  <si>
    <t>Training/orientation (MMU)</t>
  </si>
  <si>
    <t>B11.2.3</t>
  </si>
  <si>
    <t>Training/orientation (MMV)</t>
  </si>
  <si>
    <t>B12.2.6</t>
  </si>
  <si>
    <t>Training/orientation (Ambulance)</t>
  </si>
  <si>
    <t>Trainings under AYUSH</t>
  </si>
  <si>
    <t>B9.2</t>
  </si>
  <si>
    <t>Training under AYUSH</t>
  </si>
  <si>
    <t>Quality Assurance Trainings</t>
  </si>
  <si>
    <t>B15.2.3</t>
  </si>
  <si>
    <t>B15.2.6</t>
  </si>
  <si>
    <t>B15.2.7.1</t>
  </si>
  <si>
    <t>Kayakalp Trainings</t>
  </si>
  <si>
    <t>B15.3.1.4.1</t>
  </si>
  <si>
    <t>Training cum review meeting for HMIS &amp; MCTS at State level</t>
  </si>
  <si>
    <t>B15.3.1.4.2</t>
  </si>
  <si>
    <t>Training cum review meeting for HMIS &amp; MCTS at District level</t>
  </si>
  <si>
    <t>B15.3.1.4.3</t>
  </si>
  <si>
    <t>Training cum review meeting for HMIS &amp; MCTS at Block level</t>
  </si>
  <si>
    <t>A.9.11.3.1</t>
  </si>
  <si>
    <t>PGDHM Courses</t>
  </si>
  <si>
    <t>B3.4</t>
  </si>
  <si>
    <t>B6.3</t>
  </si>
  <si>
    <t>Training (Implementation of Clinical Establishment Act)</t>
  </si>
  <si>
    <t>Annexure for Review, Research &amp; Surveys and Surveillance</t>
  </si>
  <si>
    <t>10.1.1</t>
  </si>
  <si>
    <t>Maternal Death Review (both in institutions and community)</t>
  </si>
  <si>
    <t>Child Death Review</t>
  </si>
  <si>
    <t>10.2.1</t>
  </si>
  <si>
    <t>B.20</t>
  </si>
  <si>
    <t>Research, Studies, Analysis</t>
  </si>
  <si>
    <t>10.2.2</t>
  </si>
  <si>
    <t>D.3</t>
  </si>
  <si>
    <t>IDD Surveys/Re-surveys</t>
  </si>
  <si>
    <t>10.2.3</t>
  </si>
  <si>
    <t>F.1.3.h</t>
  </si>
  <si>
    <t>Operational Research - AES/ JE</t>
  </si>
  <si>
    <t>10.2.4</t>
  </si>
  <si>
    <t>F.1.4.b</t>
  </si>
  <si>
    <t>Microfilaria Survey - Lymphatic Filariasis</t>
  </si>
  <si>
    <t>10.2.5</t>
  </si>
  <si>
    <t>F.1.4.c</t>
  </si>
  <si>
    <t>Monitoring  &amp;Evaluation (Post MDA assessment by medical colleges (Govt. &amp; private)/ICMR institutions )</t>
  </si>
  <si>
    <t>10.2.6</t>
  </si>
  <si>
    <t>F.1.4.f</t>
  </si>
  <si>
    <t>Verification and validation for stoppage of MDA in LF endemic districts</t>
  </si>
  <si>
    <t>10.2.7</t>
  </si>
  <si>
    <t>F.1.4.f.i</t>
  </si>
  <si>
    <t>10.2.8</t>
  </si>
  <si>
    <t>F.1.4.f.ii</t>
  </si>
  <si>
    <t>10.2.9</t>
  </si>
  <si>
    <t>F.1.4.g</t>
  </si>
  <si>
    <t>Verification of LF endemicity in non-endemic districts</t>
  </si>
  <si>
    <t>10.2.10</t>
  </si>
  <si>
    <t>F.1.4.g.i</t>
  </si>
  <si>
    <t>10.2.11</t>
  </si>
  <si>
    <t>F.1.4.g.ii</t>
  </si>
  <si>
    <t>F.1.4.g.iii</t>
  </si>
  <si>
    <t>H.14</t>
  </si>
  <si>
    <t>Research &amp; Studies &amp; Consultancy</t>
  </si>
  <si>
    <t>M.1.3.4</t>
  </si>
  <si>
    <t>Baseline/Endline surveys/ Research studies (DTCC)</t>
  </si>
  <si>
    <t>M.3.2.2</t>
  </si>
  <si>
    <t>Baseline/Endline surveys/ Research studies (STCC)</t>
  </si>
  <si>
    <t>O.2.7</t>
  </si>
  <si>
    <t>O.2.7.1</t>
  </si>
  <si>
    <t>State NCD Cell</t>
  </si>
  <si>
    <t>O.2.7.2</t>
  </si>
  <si>
    <t>10.3.1</t>
  </si>
  <si>
    <t>10.3.2</t>
  </si>
  <si>
    <t>F.1.2.a(i)</t>
  </si>
  <si>
    <t xml:space="preserve">Apex Referral Labs recurrent </t>
  </si>
  <si>
    <t>10.3.3</t>
  </si>
  <si>
    <t>F.1.2.a(ii)</t>
  </si>
  <si>
    <t xml:space="preserve">Sentinel surveillance Hospital recurrent </t>
  </si>
  <si>
    <t>F.1.2.a(iii)</t>
  </si>
  <si>
    <t>F.1.4.h</t>
  </si>
  <si>
    <t xml:space="preserve">Post-MDA surveillance </t>
  </si>
  <si>
    <t>10.4.1</t>
  </si>
  <si>
    <t>D.6</t>
  </si>
  <si>
    <t>Management of IDD Monitoring Laboratory</t>
  </si>
  <si>
    <t>10.4.2</t>
  </si>
  <si>
    <t>E.3.2</t>
  </si>
  <si>
    <t>Recurring costs on account of Consumables, kits, communication, misc. expenses etc. at each  district public health lab (applicable only for functional labs having requisite manpower)</t>
  </si>
  <si>
    <t>10.4.3</t>
  </si>
  <si>
    <t>E.3.4</t>
  </si>
  <si>
    <t>Referral Network of laboratories (Govt. Medical College labs) Reimbursement based payment for laboratory tests (to be calculated for already approved labs in previous PIPs of States for corresponding next years)</t>
  </si>
  <si>
    <t>10.4.4</t>
  </si>
  <si>
    <t>E.3.5</t>
  </si>
  <si>
    <t xml:space="preserve">Expenses on account of consumables, operating expenses, office expenses, transport of samples, miscellaneous etc.    </t>
  </si>
  <si>
    <t>10.4.5</t>
  </si>
  <si>
    <t>E.5.1</t>
  </si>
  <si>
    <t>Costs on Account of newly formed districts</t>
  </si>
  <si>
    <t>10.4.6</t>
  </si>
  <si>
    <t>F.1.4.f.iii</t>
  </si>
  <si>
    <t>ICT Cost</t>
  </si>
  <si>
    <t>Annexure for Quality Assurance</t>
  </si>
  <si>
    <t>13.1.1</t>
  </si>
  <si>
    <t>B15.2.4</t>
  </si>
  <si>
    <t>Quality Assurance Implementation (for traversing gaps)</t>
  </si>
  <si>
    <t>13.1.2</t>
  </si>
  <si>
    <t>B15.2.5</t>
  </si>
  <si>
    <t>13.1.3</t>
  </si>
  <si>
    <t>13.2.1</t>
  </si>
  <si>
    <t>B15.2.7. 2</t>
  </si>
  <si>
    <t>Assessments</t>
  </si>
  <si>
    <t>13.2.2</t>
  </si>
  <si>
    <t>B15.2.7.3</t>
  </si>
  <si>
    <t>Kayakalp Awards</t>
  </si>
  <si>
    <t>13.2.3</t>
  </si>
  <si>
    <t>B15.2.7.4</t>
  </si>
  <si>
    <t>Support for Implementation of Kayakalp</t>
  </si>
  <si>
    <t>13.2.4</t>
  </si>
  <si>
    <t>B15.2.7.5</t>
  </si>
  <si>
    <t>Contingencies</t>
  </si>
  <si>
    <t>13.2.5</t>
  </si>
  <si>
    <t>B15.2.7.6</t>
  </si>
  <si>
    <t>Swachh Swasth Sarvatra</t>
  </si>
  <si>
    <t>13.3.1</t>
  </si>
  <si>
    <t>Annexure for Drug Warehouse and Logistics</t>
  </si>
  <si>
    <t>Drug Warehousing and Logistics</t>
  </si>
  <si>
    <t>B.17</t>
  </si>
  <si>
    <t xml:space="preserve">Drug Ware Housing </t>
  </si>
  <si>
    <t>14.1.1</t>
  </si>
  <si>
    <t>B.17.1</t>
  </si>
  <si>
    <t>B.17.1.1</t>
  </si>
  <si>
    <t>14.1.2</t>
  </si>
  <si>
    <t>B.17.2</t>
  </si>
  <si>
    <t>14.2.1</t>
  </si>
  <si>
    <t>B15.3.3.1</t>
  </si>
  <si>
    <t xml:space="preserve">Implementation of DVDMS </t>
  </si>
  <si>
    <t>14.2.2</t>
  </si>
  <si>
    <t>C.1.h</t>
  </si>
  <si>
    <t>Alternative vaccine delivery in hard to reach areas</t>
  </si>
  <si>
    <t>14.2.3</t>
  </si>
  <si>
    <t>C.1.i</t>
  </si>
  <si>
    <t>Alternative Vaccine Delivery in other areas</t>
  </si>
  <si>
    <t>14.2.4</t>
  </si>
  <si>
    <t>C.1.l</t>
  </si>
  <si>
    <t>POL for vaccine delivery from State to district and from district to PHC/CHCs</t>
  </si>
  <si>
    <t>14.2.5</t>
  </si>
  <si>
    <t>C.4</t>
  </si>
  <si>
    <t xml:space="preserve">Cold chain maintenance </t>
  </si>
  <si>
    <t>14.2.6</t>
  </si>
  <si>
    <t>C.1.u</t>
  </si>
  <si>
    <t>14.2.7</t>
  </si>
  <si>
    <t>F.2.1.d</t>
  </si>
  <si>
    <t>14.2.8</t>
  </si>
  <si>
    <t>H.7</t>
  </si>
  <si>
    <t>Vehicle Operation (POL &amp; Maintenance)</t>
  </si>
  <si>
    <t>14.2.9</t>
  </si>
  <si>
    <t>H.8</t>
  </si>
  <si>
    <t>Vehicle hiring</t>
  </si>
  <si>
    <t>10.3.1.1</t>
  </si>
  <si>
    <t>10.3.1.2</t>
  </si>
  <si>
    <t>10.3.1.3</t>
  </si>
  <si>
    <t>10.2.6.1</t>
  </si>
  <si>
    <t>10.2.6.2</t>
  </si>
  <si>
    <t>10.2.7.1</t>
  </si>
  <si>
    <t>10.2.7.2</t>
  </si>
  <si>
    <t>10.2.7.3</t>
  </si>
  <si>
    <t>Annexure for PPP</t>
  </si>
  <si>
    <t>15.1.1</t>
  </si>
  <si>
    <t>A.3.1.5</t>
  </si>
  <si>
    <t xml:space="preserve">Processing accreditation/empanelment for private facilities/providers to provide sterilization services </t>
  </si>
  <si>
    <t xml:space="preserve">RCH </t>
  </si>
  <si>
    <t>Any other (please specify)</t>
  </si>
  <si>
    <t>15.2.1</t>
  </si>
  <si>
    <t>PPP under NVBDCP</t>
  </si>
  <si>
    <t>15.3.1</t>
  </si>
  <si>
    <t xml:space="preserve">PPP / NGO and Intersectoral Convergence </t>
  </si>
  <si>
    <t>NVBDCP - Malaria</t>
  </si>
  <si>
    <t>15.3.2</t>
  </si>
  <si>
    <t>Inter-sectoral convergence</t>
  </si>
  <si>
    <t>NVBDCP - Dengue Chikungunya</t>
  </si>
  <si>
    <t>PPP under NLEP</t>
  </si>
  <si>
    <t>15.4.1</t>
  </si>
  <si>
    <t>NGO -  Scheme</t>
  </si>
  <si>
    <t>15.4.2</t>
  </si>
  <si>
    <t>15.6.2.1</t>
  </si>
  <si>
    <t>15.6.2.2</t>
  </si>
  <si>
    <t>15.6.2.3</t>
  </si>
  <si>
    <t>15.6.2.4</t>
  </si>
  <si>
    <t>15.6.2.5</t>
  </si>
  <si>
    <t>15.6.5</t>
  </si>
  <si>
    <t>15.7.1</t>
  </si>
  <si>
    <t>PPP (NGO, Civil Society, Pvt. Sector) under NPCDCS</t>
  </si>
  <si>
    <t>PPP at State NCD Cell</t>
  </si>
  <si>
    <t>PPP at District NCD Cell / Clinic</t>
  </si>
  <si>
    <t>PPP at CHC NCD Clinic</t>
  </si>
  <si>
    <t>15.8.4</t>
  </si>
  <si>
    <t>Non governmental providers of health care RMPs</t>
  </si>
  <si>
    <t>Public Private Partnerships (Out Sourcing set up, if applicable for State, to be budgeted under this head)</t>
  </si>
  <si>
    <t>NGO Programme/ Grant in Aid to NGO</t>
  </si>
  <si>
    <t>B.13.4</t>
  </si>
  <si>
    <t>Pradhan Mantri National Dialysis Programme</t>
  </si>
  <si>
    <t>Intersectoral convergence</t>
  </si>
  <si>
    <t>Annexure for IEC/BCC</t>
  </si>
  <si>
    <t>IEC/BCC</t>
  </si>
  <si>
    <t>B.10.3.1</t>
  </si>
  <si>
    <t>IEC/BCC activities under MH</t>
  </si>
  <si>
    <t>B.10.3.1.1</t>
  </si>
  <si>
    <t>Media Mix of Mid Media/ Mass Media</t>
  </si>
  <si>
    <t>B.10.3.1.2</t>
  </si>
  <si>
    <t>Inter Personal Communication</t>
  </si>
  <si>
    <t>Any other IEC/BCC activities (please specify)</t>
  </si>
  <si>
    <t>B.10.3.2</t>
  </si>
  <si>
    <t>IEC/BCC activities under CH</t>
  </si>
  <si>
    <t>B.10.3.2.1</t>
  </si>
  <si>
    <t>B.10.3.2.2</t>
  </si>
  <si>
    <t>B.10.3.3</t>
  </si>
  <si>
    <t>IEC/BCC activities under FP</t>
  </si>
  <si>
    <t>B.10.3.3.1</t>
  </si>
  <si>
    <t>B.10.3.3.2</t>
  </si>
  <si>
    <t>A.3.5.4</t>
  </si>
  <si>
    <t>A.3.5.5</t>
  </si>
  <si>
    <t>A.3.7.4</t>
  </si>
  <si>
    <t>IEC activities for Mission Parivar Vikas Campaign (Frequency-at least 4/year)</t>
  </si>
  <si>
    <t>B.10.3.4</t>
  </si>
  <si>
    <t>11.4.1</t>
  </si>
  <si>
    <t>B.10.3.4.1</t>
  </si>
  <si>
    <t>11.4.2</t>
  </si>
  <si>
    <t>B.10.3.4.2</t>
  </si>
  <si>
    <t>11.4.3</t>
  </si>
  <si>
    <t>IEC/BCC activities under PNDT</t>
  </si>
  <si>
    <t>11.5.1</t>
  </si>
  <si>
    <t>B.10.3.5</t>
  </si>
  <si>
    <t>Creating awareness on declining sex ratio issue (PNDT)</t>
  </si>
  <si>
    <t>11.6.1</t>
  </si>
  <si>
    <t>B.10.7.4.5</t>
  </si>
  <si>
    <t>IEC/BCC activities under NPPCD</t>
  </si>
  <si>
    <t>11.7.1</t>
  </si>
  <si>
    <t>B.10.6.5</t>
  </si>
  <si>
    <t>IEC/BCC activities under NPPC</t>
  </si>
  <si>
    <t>11.8.1</t>
  </si>
  <si>
    <t>B.27.1.3</t>
  </si>
  <si>
    <t>IEC for DH</t>
  </si>
  <si>
    <t>11.8.2</t>
  </si>
  <si>
    <t>B.27.2.2</t>
  </si>
  <si>
    <t>IEC for State Palliative care cell</t>
  </si>
  <si>
    <t>IEC/BCC activities under NPPCF</t>
  </si>
  <si>
    <t>11.9.1</t>
  </si>
  <si>
    <t>B.10.6.6</t>
  </si>
  <si>
    <t>Health Education &amp; Publicity for National Programme for Fluorosis (State and District Level)</t>
  </si>
  <si>
    <t>IEC/BCC activities under NIDDCP</t>
  </si>
  <si>
    <t>11.10.1</t>
  </si>
  <si>
    <t>B.10.6.7</t>
  </si>
  <si>
    <t>Health Education &amp; Publicity for NIDDCP</t>
  </si>
  <si>
    <t>IEC/BCC activities under NVBDCP</t>
  </si>
  <si>
    <t>11.11.1</t>
  </si>
  <si>
    <t>B.10.6.9.a</t>
  </si>
  <si>
    <t>IEC/BCC for Malaria</t>
  </si>
  <si>
    <t>B.10.6.9.b</t>
  </si>
  <si>
    <t>IEC/BCC for Social mobilization (Dengue and Chikungunya)</t>
  </si>
  <si>
    <t>B.10.6.9.c</t>
  </si>
  <si>
    <t>IEC/BCC specific to J.E. in endemic areas</t>
  </si>
  <si>
    <t>B.10.6.9.d</t>
  </si>
  <si>
    <t>Specific IEC/BCC for Lymphatic Filariasis at State, District, PHC, Sub-centre and village level including VHSC/GKs for community mobilization efforts to realize the desired drug compliance of 85% during MDA</t>
  </si>
  <si>
    <t>B.10.6.9.e</t>
  </si>
  <si>
    <t>IEC/BCC/Advocacy for Kala-azar</t>
  </si>
  <si>
    <t>B.10.6.9.f</t>
  </si>
  <si>
    <t>IEC/BCC activities as per the GFATM project</t>
  </si>
  <si>
    <t>IEC/BCC activities under NLEP</t>
  </si>
  <si>
    <t>11.12.1</t>
  </si>
  <si>
    <t>B.10.6.10</t>
  </si>
  <si>
    <t>IEC/BCC: Mass media, Outdoor media, Rural media, Advocacy media for NLEP</t>
  </si>
  <si>
    <t>H.4</t>
  </si>
  <si>
    <t>ACSM (State &amp; district)</t>
  </si>
  <si>
    <t>IEC/BCC activities under NPCB</t>
  </si>
  <si>
    <t>11.14.1</t>
  </si>
  <si>
    <t>B.10.6.11</t>
  </si>
  <si>
    <t>B.10.6.12</t>
  </si>
  <si>
    <t>IEC/BCC activities under NMHP</t>
  </si>
  <si>
    <t>11.15.1</t>
  </si>
  <si>
    <t>B.10.6.12.a</t>
  </si>
  <si>
    <t>Translation of IEC material and distribution</t>
  </si>
  <si>
    <t>11.15.2</t>
  </si>
  <si>
    <t>B.10.6.12.b</t>
  </si>
  <si>
    <t>Awareness generation activities in the community, schools, workplaces with community involvement</t>
  </si>
  <si>
    <t>IEC/BCC activities under NPHCE</t>
  </si>
  <si>
    <t>11.16.1</t>
  </si>
  <si>
    <t>B.10.6.13</t>
  </si>
  <si>
    <t>IEC/BCC activities under NTCP</t>
  </si>
  <si>
    <t>B.10.6.14</t>
  </si>
  <si>
    <t>IEC/BCC activities under NPCDCS</t>
  </si>
  <si>
    <t>11.18.1</t>
  </si>
  <si>
    <t>IEC/BCC for State NCD  Cell</t>
  </si>
  <si>
    <t>IEC/BCC for District  NCD Cell</t>
  </si>
  <si>
    <t>Other IEC/BCC activities</t>
  </si>
  <si>
    <t>11.19.1</t>
  </si>
  <si>
    <t>B.10.2</t>
  </si>
  <si>
    <t>Development of State Communication strategy (comprising of district plans)</t>
  </si>
  <si>
    <t>B.10.4</t>
  </si>
  <si>
    <t>Interpersonal Communication Tools for the frontline health workers</t>
  </si>
  <si>
    <t>B.10.5</t>
  </si>
  <si>
    <t>Targeting Naturally Occurring Gathering of People/ Health Mela</t>
  </si>
  <si>
    <t>B.10.6.1</t>
  </si>
  <si>
    <t>B.10.6.14.1</t>
  </si>
  <si>
    <t>B.10.6.14.1.b</t>
  </si>
  <si>
    <t>Places covered with hoardings/ bill boards/ signage etc.</t>
  </si>
  <si>
    <t>B.10.6.14.1.c</t>
  </si>
  <si>
    <t>Usage of Folk media such as Nukkad Natak/ mobile audio visual services/ local radio etc.</t>
  </si>
  <si>
    <t>B.10.6.14.3.a</t>
  </si>
  <si>
    <t>Development of IEC Material</t>
  </si>
  <si>
    <t>B.10.6.14.3.b</t>
  </si>
  <si>
    <t>State-level IEC Campaigns/Other IEC Campaigns</t>
  </si>
  <si>
    <t>Annexure for Printing</t>
  </si>
  <si>
    <t>Printing activities under MH</t>
  </si>
  <si>
    <t>12.1.1</t>
  </si>
  <si>
    <t>Printing of MDR formats</t>
  </si>
  <si>
    <t>12.1.2</t>
  </si>
  <si>
    <t>B.10.7.1</t>
  </si>
  <si>
    <t>Printing of MCP cards,  safe motherhood booklets  etc.</t>
  </si>
  <si>
    <t>12.1.3</t>
  </si>
  <si>
    <t>Printing activities under CH</t>
  </si>
  <si>
    <t>12.2.1</t>
  </si>
  <si>
    <t>12.2.2</t>
  </si>
  <si>
    <t>12.2.3</t>
  </si>
  <si>
    <t>12.2.4</t>
  </si>
  <si>
    <t>Printing of Child Death Review formats</t>
  </si>
  <si>
    <t>12.2.5</t>
  </si>
  <si>
    <t>B.10.7.4.1</t>
  </si>
  <si>
    <t>Printing of compliance cards and reporting formats for National Iron Plus Initiative-for 6-59 months  age group and for 5-10 years age group</t>
  </si>
  <si>
    <t>12.2.6</t>
  </si>
  <si>
    <t>B.10.7.4.7</t>
  </si>
  <si>
    <t>Printing of IEC materials and reporting formats etc.  for National Deworming Day</t>
  </si>
  <si>
    <t>12.2.7</t>
  </si>
  <si>
    <t>B.10.7.4.8</t>
  </si>
  <si>
    <t>Printing of IEC Materials and monitoring formats for IDCF</t>
  </si>
  <si>
    <t>12.2.8</t>
  </si>
  <si>
    <t>B.10.7.4.9</t>
  </si>
  <si>
    <t>Printing cost of IEC materials, monitoring forms etc. for intensification of school health activities</t>
  </si>
  <si>
    <t>12.2.9</t>
  </si>
  <si>
    <t>Printing activities under FP</t>
  </si>
  <si>
    <t>12.3.1</t>
  </si>
  <si>
    <t>Dissemination of FP manuals and guidelines</t>
  </si>
  <si>
    <t>12.3.2</t>
  </si>
  <si>
    <t xml:space="preserve">Printing for Mission Parivar Vikas Campaign </t>
  </si>
  <si>
    <t>12.3.3</t>
  </si>
  <si>
    <t>A.3.5.6.1</t>
  </si>
  <si>
    <t>Printing of FP Manuals, Guidelines, etc.</t>
  </si>
  <si>
    <t>12.3.4</t>
  </si>
  <si>
    <t>B.10.7.3</t>
  </si>
  <si>
    <t>Printing of IUCD cards, MPA Card, FP manuals, guidelines etc.</t>
  </si>
  <si>
    <t>12.3.5</t>
  </si>
  <si>
    <t>Printing activities under AH</t>
  </si>
  <si>
    <t>12.4.1</t>
  </si>
  <si>
    <t>A.4.2.4</t>
  </si>
  <si>
    <t xml:space="preserve">PE Kit and PE Diary  </t>
  </si>
  <si>
    <t>12.4.2</t>
  </si>
  <si>
    <t>B.10.7.2</t>
  </si>
  <si>
    <t>12.4.3</t>
  </si>
  <si>
    <t>B.10.7.4.6</t>
  </si>
  <si>
    <t>12.4.4</t>
  </si>
  <si>
    <t>Printing activities under RBSK</t>
  </si>
  <si>
    <t>12.5.1</t>
  </si>
  <si>
    <t>A.5.1.1</t>
  </si>
  <si>
    <t>Prepare and disseminate guidelines for RBSK</t>
  </si>
  <si>
    <t>12.5.2</t>
  </si>
  <si>
    <t>A 5.3.1</t>
  </si>
  <si>
    <t xml:space="preserve">Training kits for teachers </t>
  </si>
  <si>
    <t>12.5.3</t>
  </si>
  <si>
    <t>A 5.3.2</t>
  </si>
  <si>
    <t>School Kits</t>
  </si>
  <si>
    <t>12.5.4</t>
  </si>
  <si>
    <t>B.10.7.4.3</t>
  </si>
  <si>
    <t>Printing of RBSK card and registers</t>
  </si>
  <si>
    <t>12.5.5</t>
  </si>
  <si>
    <t>B.10.7.4.4</t>
  </si>
  <si>
    <t>Printing cost for DEIC</t>
  </si>
  <si>
    <t>12.5.6</t>
  </si>
  <si>
    <t>Printing activities under Training</t>
  </si>
  <si>
    <t>12.6.1</t>
  </si>
  <si>
    <t>Duplication of training materials</t>
  </si>
  <si>
    <t>12.6.2</t>
  </si>
  <si>
    <t>Printing activities under ASHA</t>
  </si>
  <si>
    <t>12.7.1</t>
  </si>
  <si>
    <t>Printing of ASHA diary</t>
  </si>
  <si>
    <t>12.7.2</t>
  </si>
  <si>
    <t>12.8.1</t>
  </si>
  <si>
    <t>Printing of  cards for screening of  children for hemoglobinopathies</t>
  </si>
  <si>
    <t>12.8.2</t>
  </si>
  <si>
    <t>Printing activities under HMIS/MCTS</t>
  </si>
  <si>
    <t>12.9.1</t>
  </si>
  <si>
    <t>B15.3.1.6</t>
  </si>
  <si>
    <t xml:space="preserve">Printing of HMIS Formats </t>
  </si>
  <si>
    <t>12.9.2</t>
  </si>
  <si>
    <t>B15.3.2.1</t>
  </si>
  <si>
    <t xml:space="preserve">Printing of RCH Registers </t>
  </si>
  <si>
    <t>12.9.3</t>
  </si>
  <si>
    <t>B15.3.2.2</t>
  </si>
  <si>
    <t>Printing of MCTS follow-up formats/ services due list/ work plan</t>
  </si>
  <si>
    <t>12.9.4</t>
  </si>
  <si>
    <t>Printing activities under Immunization</t>
  </si>
  <si>
    <t>12.10.1</t>
  </si>
  <si>
    <t>B.10.7.4.10</t>
  </si>
  <si>
    <t>Printing and dissemination of Immunization cards, tally sheets, monitoring forms etc.</t>
  </si>
  <si>
    <t>12.10.2</t>
  </si>
  <si>
    <t>Printing activities under NVBDCP</t>
  </si>
  <si>
    <t>12.11.1</t>
  </si>
  <si>
    <t>F.1.4.a</t>
  </si>
  <si>
    <t>Printing of forms/registers for Lymphatic Filariasis</t>
  </si>
  <si>
    <t>12.11.2</t>
  </si>
  <si>
    <t>F.2.1.g</t>
  </si>
  <si>
    <t>Communication Material and Publications (CMP) - GFATM</t>
  </si>
  <si>
    <t>NVBDCP - GFATM</t>
  </si>
  <si>
    <t>12.11.3</t>
  </si>
  <si>
    <t>Printing activities under NLEP</t>
  </si>
  <si>
    <t>12.12.1</t>
  </si>
  <si>
    <t>G.1.4</t>
  </si>
  <si>
    <t>Printing works</t>
  </si>
  <si>
    <t>12.13.1</t>
  </si>
  <si>
    <t>Printing (ACSM)</t>
  </si>
  <si>
    <t>12.13.2</t>
  </si>
  <si>
    <t>H.13</t>
  </si>
  <si>
    <t>Printing activities under NTCP</t>
  </si>
  <si>
    <t>12.14.1</t>
  </si>
  <si>
    <t>B.10.7.4.11</t>
  </si>
  <si>
    <t>Printing of Challan Books under NTCP</t>
  </si>
  <si>
    <t>12.14.2</t>
  </si>
  <si>
    <t>Printing activities under NPCDCS</t>
  </si>
  <si>
    <t>12.15.1</t>
  </si>
  <si>
    <t>O.2.2.1.8.i</t>
  </si>
  <si>
    <t>Patient referral cards at PHC Level</t>
  </si>
  <si>
    <t>12.15.2</t>
  </si>
  <si>
    <t>O.2.2.1.8.ii</t>
  </si>
  <si>
    <t>Patient referral cards at Sub-centre level</t>
  </si>
  <si>
    <t>12.15.3</t>
  </si>
  <si>
    <t>12.16.1</t>
  </si>
  <si>
    <t>B.10.6.14.2</t>
  </si>
  <si>
    <t>B2</t>
  </si>
  <si>
    <t>B2.1</t>
  </si>
  <si>
    <t xml:space="preserve">District Hospitals </t>
  </si>
  <si>
    <t>B2.2</t>
  </si>
  <si>
    <t>B2.3</t>
  </si>
  <si>
    <t>B2.4</t>
  </si>
  <si>
    <t>B2.5</t>
  </si>
  <si>
    <t>B2.6</t>
  </si>
  <si>
    <t>VHSC</t>
  </si>
  <si>
    <t>B2.7</t>
  </si>
  <si>
    <t>Annexure for Procurement</t>
  </si>
  <si>
    <t>B.16.1</t>
  </si>
  <si>
    <t>Procurement of Equipment</t>
  </si>
  <si>
    <t>6.1.1</t>
  </si>
  <si>
    <t>6.1.1.1</t>
  </si>
  <si>
    <t>B16.1.1</t>
  </si>
  <si>
    <t>MVA /EVA for Safe Abortion services</t>
  </si>
  <si>
    <t>B16.1.1.3</t>
  </si>
  <si>
    <t>Any other equipment (please specify)</t>
  </si>
  <si>
    <t>6.1.1.2</t>
  </si>
  <si>
    <t>B16.1.2</t>
  </si>
  <si>
    <t>B16.1.2.1</t>
  </si>
  <si>
    <t>B16.1.2.2</t>
  </si>
  <si>
    <t>6.1.1.3</t>
  </si>
  <si>
    <t>B16.1.3</t>
  </si>
  <si>
    <t>B16.1.3.1</t>
  </si>
  <si>
    <t>NSV kits</t>
  </si>
  <si>
    <t>B16.1.3.2</t>
  </si>
  <si>
    <t>IUCD kits</t>
  </si>
  <si>
    <t>B16.1.3.3</t>
  </si>
  <si>
    <t>minilap kits</t>
  </si>
  <si>
    <t>B16.1.3.4</t>
  </si>
  <si>
    <t>laparoscopes</t>
  </si>
  <si>
    <t>B16.1.3.5</t>
  </si>
  <si>
    <t>PPIUCD forceps</t>
  </si>
  <si>
    <t>Nayi Pehl Kit</t>
  </si>
  <si>
    <t>B16.1.3.6</t>
  </si>
  <si>
    <t>6.1.1.4</t>
  </si>
  <si>
    <t>B16.1.6</t>
  </si>
  <si>
    <t>B16.1.6.1</t>
  </si>
  <si>
    <t>B16.1.6.2</t>
  </si>
  <si>
    <t>6.1.1.5</t>
  </si>
  <si>
    <t>B16.1.6.3</t>
  </si>
  <si>
    <t>B16.1.6.3.1</t>
  </si>
  <si>
    <t xml:space="preserve">Equipment for Mobile health teams </t>
  </si>
  <si>
    <t>B16.1.6.3.2</t>
  </si>
  <si>
    <t xml:space="preserve">Equipment for DEIC </t>
  </si>
  <si>
    <t>B16.1.6.3.3</t>
  </si>
  <si>
    <t>Laptop for mobile health teams</t>
  </si>
  <si>
    <t>B16.1.6.3.4</t>
  </si>
  <si>
    <t>Desktop for DEIC</t>
  </si>
  <si>
    <t>6.1.1.6</t>
  </si>
  <si>
    <t>B16.1.7</t>
  </si>
  <si>
    <t>B3.3</t>
  </si>
  <si>
    <t>Equipment for Rollout of B.Sc. (Community Health)</t>
  </si>
  <si>
    <t>6.1.1.7</t>
  </si>
  <si>
    <t>B16.1.8</t>
  </si>
  <si>
    <t>6.1.1.8</t>
  </si>
  <si>
    <t>B16.1.1.1</t>
  </si>
  <si>
    <t>6.1.1.9</t>
  </si>
  <si>
    <t>B16.1.4</t>
  </si>
  <si>
    <t>Procurement of equipment: IMEP</t>
  </si>
  <si>
    <t>C.1.o</t>
  </si>
  <si>
    <t>Hub Cutter</t>
  </si>
  <si>
    <t>6.1.1.10</t>
  </si>
  <si>
    <t>B.25.2.1.a</t>
  </si>
  <si>
    <t>6.1.1.11</t>
  </si>
  <si>
    <t>Dental Chair, Equipment</t>
  </si>
  <si>
    <t>6.1.1.12</t>
  </si>
  <si>
    <t>Equipment</t>
  </si>
  <si>
    <t>6.1.1.13</t>
  </si>
  <si>
    <t>B.28.2</t>
  </si>
  <si>
    <t>6.1.1.14</t>
  </si>
  <si>
    <t>E.3.1</t>
  </si>
  <si>
    <t xml:space="preserve">Non-recurring costs on account of equipment for District Public Health Labs requiring strengthening. </t>
  </si>
  <si>
    <t>6.1.1.15</t>
  </si>
  <si>
    <t>F.2.1.c</t>
  </si>
  <si>
    <t>6.1.1.16</t>
  </si>
  <si>
    <t>6.1.1.17</t>
  </si>
  <si>
    <t>H.17</t>
  </si>
  <si>
    <t>6.1.1.18</t>
  </si>
  <si>
    <t>J.1.4</t>
  </si>
  <si>
    <t>6.1.1.19</t>
  </si>
  <si>
    <t>B16.1.10</t>
  </si>
  <si>
    <t>K.1.1.1</t>
  </si>
  <si>
    <t>K.1.4.1</t>
  </si>
  <si>
    <t>K.2.1.2</t>
  </si>
  <si>
    <t>K.2.2</t>
  </si>
  <si>
    <t>K.2.3</t>
  </si>
  <si>
    <t>6.1.1.20</t>
  </si>
  <si>
    <t>M.1.5.1</t>
  </si>
  <si>
    <t>Non-recurring: Equipment for DTCC</t>
  </si>
  <si>
    <t>M.2.3.1</t>
  </si>
  <si>
    <t>Non-recurring: Equipment for TCC</t>
  </si>
  <si>
    <t>6.1.1.21</t>
  </si>
  <si>
    <t>O1.1.2.1</t>
  </si>
  <si>
    <t>Non-recurring: Equipping Cardiac Care Unit (CCU)/ICU</t>
  </si>
  <si>
    <t>O1.1.2.2</t>
  </si>
  <si>
    <t>O1.1.3.2</t>
  </si>
  <si>
    <t>Non-recurring: Equipment at District NCD clinic</t>
  </si>
  <si>
    <t>O1.1.4.1</t>
  </si>
  <si>
    <t>Non-recurring: Equipment at CHC NCD clinic</t>
  </si>
  <si>
    <t>6.1.1.22</t>
  </si>
  <si>
    <t>6.1.2</t>
  </si>
  <si>
    <t>6.1.2.1</t>
  </si>
  <si>
    <t>6.1.2.2</t>
  </si>
  <si>
    <t>F.1.3.f</t>
  </si>
  <si>
    <t>Fogging Machine</t>
  </si>
  <si>
    <t>NVBDCP - AES/JE</t>
  </si>
  <si>
    <t>F.1.5.a</t>
  </si>
  <si>
    <t>Spray Pumps &amp; accessories</t>
  </si>
  <si>
    <t>NVBDCP - KalaAzar</t>
  </si>
  <si>
    <t>F.2.1.f</t>
  </si>
  <si>
    <t>Non-Health Equipment (NHP) - GFATM</t>
  </si>
  <si>
    <t>6.1.2.3</t>
  </si>
  <si>
    <t>G.2.1</t>
  </si>
  <si>
    <t>MCR</t>
  </si>
  <si>
    <t>G.2.2</t>
  </si>
  <si>
    <t>Aids/Appliance</t>
  </si>
  <si>
    <t>6.1.2.4</t>
  </si>
  <si>
    <t>Non-recurring GIA: Furniture of Geriatrics Unit with 10 beds and OPD facilities at DH</t>
  </si>
  <si>
    <t>6.1.2.5</t>
  </si>
  <si>
    <t>Procurement of any other equipment</t>
  </si>
  <si>
    <t>6.1.3</t>
  </si>
  <si>
    <t>6.1.3.1</t>
  </si>
  <si>
    <t>A.3.4</t>
  </si>
  <si>
    <t>Repairs of Laparoscopes</t>
  </si>
  <si>
    <t>E.3.3</t>
  </si>
  <si>
    <t>Equipment AMC cost (DPHL)</t>
  </si>
  <si>
    <t>H.5</t>
  </si>
  <si>
    <t>Equipment Maintenance</t>
  </si>
  <si>
    <t>I.1.8</t>
  </si>
  <si>
    <t>6.1.3.2</t>
  </si>
  <si>
    <t>B.16.2</t>
  </si>
  <si>
    <t xml:space="preserve">Procurement of Drugs and supplies </t>
  </si>
  <si>
    <t>6.2.1</t>
  </si>
  <si>
    <t>B.16.2.1</t>
  </si>
  <si>
    <t>Drugs &amp; supplies for MH</t>
  </si>
  <si>
    <t>6.2.1.1</t>
  </si>
  <si>
    <t>B.16.2.1.1</t>
  </si>
  <si>
    <t xml:space="preserve">RTI /STI drugs and consumables </t>
  </si>
  <si>
    <t>6.2.1.2</t>
  </si>
  <si>
    <t>B.16.2.1.2</t>
  </si>
  <si>
    <t>6.2.1.3</t>
  </si>
  <si>
    <t>B.16.2.1.4</t>
  </si>
  <si>
    <t>RPR Kits</t>
  </si>
  <si>
    <t>6.2.1.4</t>
  </si>
  <si>
    <t>B.16.2.1.5</t>
  </si>
  <si>
    <t>Whole blood finger prick test for HIV</t>
  </si>
  <si>
    <t>6.2.1.5</t>
  </si>
  <si>
    <t>B.16.2.6.4.a</t>
  </si>
  <si>
    <t xml:space="preserve">IFA tablets for non-pregnant &amp; non-lactating women in Reproductive Age (20-49 years) </t>
  </si>
  <si>
    <t>6.2.1.6</t>
  </si>
  <si>
    <t>B.16.2.6.4.b</t>
  </si>
  <si>
    <t xml:space="preserve">Albendazole Tablets for non-pregnant &amp; non-lactating women in Reproductive Age (20-49 years) </t>
  </si>
  <si>
    <t>6.2.1.7</t>
  </si>
  <si>
    <t>B.16.2.1.3.1</t>
  </si>
  <si>
    <t>JSSK drugs and consumables</t>
  </si>
  <si>
    <t>B.16.2.6.5.a</t>
  </si>
  <si>
    <t>IFA tablets for Pregnant &amp; Lactating Mothers</t>
  </si>
  <si>
    <t>B.16.2.6.5.b</t>
  </si>
  <si>
    <t>Folic Acid Tablets (400 mcg) for Pregnant &amp; Lactating Mothers</t>
  </si>
  <si>
    <t>Other JSSK drugs &amp; consumables</t>
  </si>
  <si>
    <t>6.2.1.8</t>
  </si>
  <si>
    <t>B.16.2.1.3</t>
  </si>
  <si>
    <t>Any other Drugs &amp; Supplies (Please specify)</t>
  </si>
  <si>
    <t>6.2.2</t>
  </si>
  <si>
    <t>B.16.2.2</t>
  </si>
  <si>
    <t>Drugs &amp; supplies for CH</t>
  </si>
  <si>
    <t>6.2.2.1</t>
  </si>
  <si>
    <t>B.16.2.2.1</t>
  </si>
  <si>
    <t>6.2.2.2</t>
  </si>
  <si>
    <t>B.16.2.6</t>
  </si>
  <si>
    <t>Drugs &amp; Supplies for NIPI and National Deworming Day</t>
  </si>
  <si>
    <t>6.2.2.3</t>
  </si>
  <si>
    <t>B.16.2.6.1.a</t>
  </si>
  <si>
    <t>IFA syrups (with auto dispenser) for children (6-60months)</t>
  </si>
  <si>
    <t>6.2.2.4</t>
  </si>
  <si>
    <t>B.16.2.6.1.b</t>
  </si>
  <si>
    <t>Albendazole Tablets for children (6-60months)</t>
  </si>
  <si>
    <t>6.2.2.5</t>
  </si>
  <si>
    <t>B.16.2.6.2.a</t>
  </si>
  <si>
    <t>6.2.2.6</t>
  </si>
  <si>
    <t>B.16.2.6.2.b</t>
  </si>
  <si>
    <t>6.2.2.7</t>
  </si>
  <si>
    <t>B.16.2.2.2</t>
  </si>
  <si>
    <t>Vitamin A syrup</t>
  </si>
  <si>
    <t>6.2.2.8</t>
  </si>
  <si>
    <t>Drugs for Management of Diarrhoea &amp; ARI &amp; micronutrient malnutrition</t>
  </si>
  <si>
    <t>B.16.2.2.3</t>
  </si>
  <si>
    <t>ORS</t>
  </si>
  <si>
    <t>B.16.2.2.4</t>
  </si>
  <si>
    <t>Zinc</t>
  </si>
  <si>
    <t>Others (please specify)</t>
  </si>
  <si>
    <t>6.2.2.9</t>
  </si>
  <si>
    <t>6.2.3</t>
  </si>
  <si>
    <t>B.16.2.3</t>
  </si>
  <si>
    <t>Drugs &amp; supplies for FP</t>
  </si>
  <si>
    <t>6.2.3.1</t>
  </si>
  <si>
    <t>6.2.3.2</t>
  </si>
  <si>
    <t>6.2.4</t>
  </si>
  <si>
    <t>Drugs &amp; supplies for AH</t>
  </si>
  <si>
    <t>6.2.4.1</t>
  </si>
  <si>
    <t>B.16.2.6.3.a</t>
  </si>
  <si>
    <t>6.2.4.2</t>
  </si>
  <si>
    <t>B.16.2.6.3.b</t>
  </si>
  <si>
    <t>6.2.4.3</t>
  </si>
  <si>
    <t>B.16.2.9.1</t>
  </si>
  <si>
    <t>Sanitary napkins procurement</t>
  </si>
  <si>
    <t>6.2.4.4</t>
  </si>
  <si>
    <t>6.2.5</t>
  </si>
  <si>
    <t>Drugs &amp; supplies for RBSK</t>
  </si>
  <si>
    <t>6.2.5.1</t>
  </si>
  <si>
    <t>B.16.2.7.1</t>
  </si>
  <si>
    <t>Medicine for Mobile health team</t>
  </si>
  <si>
    <t>6.2.5.2</t>
  </si>
  <si>
    <t>6.2.6</t>
  </si>
  <si>
    <t>Drugs &amp; supplies for ASHA</t>
  </si>
  <si>
    <t>6.2.6.1</t>
  </si>
  <si>
    <t>B.16.2.10.1</t>
  </si>
  <si>
    <t>New ASHA Drug Kits</t>
  </si>
  <si>
    <t>6.2.6.2</t>
  </si>
  <si>
    <t>B.16.2.10.2</t>
  </si>
  <si>
    <t>Replenishment of ASHA drug kits</t>
  </si>
  <si>
    <t>6.2.6.3</t>
  </si>
  <si>
    <t>B.16.2.10.3.1</t>
  </si>
  <si>
    <t>New ASHA HBNC Kits</t>
  </si>
  <si>
    <t>6.2.6.4</t>
  </si>
  <si>
    <t>B.16.2.10.3.1.2</t>
  </si>
  <si>
    <t>6.2.7</t>
  </si>
  <si>
    <t>6.2.7.1</t>
  </si>
  <si>
    <t>B.16.2.11.1</t>
  </si>
  <si>
    <t>6.2.8</t>
  </si>
  <si>
    <t>B.16.2.4</t>
  </si>
  <si>
    <t>Supplies for IMEP</t>
  </si>
  <si>
    <t>6.2.8.1</t>
  </si>
  <si>
    <t>C.1.n</t>
  </si>
  <si>
    <t>Red/Black plastic bags etc.</t>
  </si>
  <si>
    <t>6.2.8.2</t>
  </si>
  <si>
    <t>Bleach/Hypochlorite solution/ Twin bucket</t>
  </si>
  <si>
    <t>6.2.8.3</t>
  </si>
  <si>
    <t>Any other supplies (please specify)</t>
  </si>
  <si>
    <t>6.2.9</t>
  </si>
  <si>
    <t>B.16.2.8</t>
  </si>
  <si>
    <t>Drugs &amp; supplies for AYUSH</t>
  </si>
  <si>
    <t>6.2.9.1</t>
  </si>
  <si>
    <t>6.2.9.2</t>
  </si>
  <si>
    <t>6.2.10</t>
  </si>
  <si>
    <t>Supplies for NOHP</t>
  </si>
  <si>
    <t>6.2.10.1</t>
  </si>
  <si>
    <t>B.16.2.11.2</t>
  </si>
  <si>
    <t>Consumables for NOHP</t>
  </si>
  <si>
    <t>6.2.11</t>
  </si>
  <si>
    <t>Supplies for NIDDCP</t>
  </si>
  <si>
    <t>6.2.11.1</t>
  </si>
  <si>
    <t>D.4</t>
  </si>
  <si>
    <t>6.2.11.2</t>
  </si>
  <si>
    <t>6.2.12</t>
  </si>
  <si>
    <t>Drugs &amp; supplies for NVBDCP</t>
  </si>
  <si>
    <t>6.2.12.1</t>
  </si>
  <si>
    <t>B.16.2.11.3.a</t>
  </si>
  <si>
    <t>Chloroquine phosphate tablets</t>
  </si>
  <si>
    <t>6.2.12.2</t>
  </si>
  <si>
    <t>B.16.2.11.3.b</t>
  </si>
  <si>
    <t>Primaquine tablets 2.5 mg</t>
  </si>
  <si>
    <t>6.2.12.3</t>
  </si>
  <si>
    <t>B.16.2.11.3.c</t>
  </si>
  <si>
    <t>Primaquine tablets 7.5 mg</t>
  </si>
  <si>
    <t>6.2.12.4</t>
  </si>
  <si>
    <t>B.16.2.11.3.d</t>
  </si>
  <si>
    <t>Quinine sulphate tablets</t>
  </si>
  <si>
    <t>6.2.12.5</t>
  </si>
  <si>
    <t>B.16.2.11.3.e</t>
  </si>
  <si>
    <t>6.2.12.6</t>
  </si>
  <si>
    <t>B.16.2.11.3.f</t>
  </si>
  <si>
    <t>DEC 100 mg tablets</t>
  </si>
  <si>
    <t>6.2.12.7</t>
  </si>
  <si>
    <t>B.16.2.11.3.g</t>
  </si>
  <si>
    <t>Albendazole 400 mg tablets</t>
  </si>
  <si>
    <t>6.2.12.8</t>
  </si>
  <si>
    <t>B.16.2.11.3.h</t>
  </si>
  <si>
    <t>Dengue NS1 antigen kit</t>
  </si>
  <si>
    <t>6.2.12.9</t>
  </si>
  <si>
    <t>B.16.2.11.3.i</t>
  </si>
  <si>
    <t>Temephos, Bti (AS) / Bti (wp) (for polluted &amp; non polluted water)</t>
  </si>
  <si>
    <t>6.2.12.10</t>
  </si>
  <si>
    <t>B.16.2.11.3.j</t>
  </si>
  <si>
    <t>Pyrethrum extract 2% for spare spray</t>
  </si>
  <si>
    <t>6.2.12.11</t>
  </si>
  <si>
    <t>B.16.2.11.3.k</t>
  </si>
  <si>
    <t>ACT ( For Non Project states)</t>
  </si>
  <si>
    <t>6.2.12.12</t>
  </si>
  <si>
    <t>B.16.2.11.3.l</t>
  </si>
  <si>
    <t>RDT Malaria – bi-valent (For Non Project states)</t>
  </si>
  <si>
    <t>6.2.12.13</t>
  </si>
  <si>
    <t>F.1.2.b</t>
  </si>
  <si>
    <t>Test kits (Nos.) to be supplied by GoI (kindly indicate numbers of ELISA based NS1 kit and Mac ELISA Kits required separately)</t>
  </si>
  <si>
    <t>6.2.12.14</t>
  </si>
  <si>
    <t>F.1.3.e</t>
  </si>
  <si>
    <t>Procurement of Insecticides (Technical Malathion)</t>
  </si>
  <si>
    <t>6.2.12.15</t>
  </si>
  <si>
    <t>Payment to NIV towards JE kits at Head Quarter</t>
  </si>
  <si>
    <t>6.2.12.16</t>
  </si>
  <si>
    <t>6.2.12.17</t>
  </si>
  <si>
    <t>B.16.2.11.3.m</t>
  </si>
  <si>
    <t>Any other drugs &amp; supplies (please specify)</t>
  </si>
  <si>
    <t>6.2.13</t>
  </si>
  <si>
    <t>Drugs &amp; supplies for NLEP</t>
  </si>
  <si>
    <t>6.2.13.1</t>
  </si>
  <si>
    <t>Supportive drugs, lab. Reagents</t>
  </si>
  <si>
    <t>6.2.13.2</t>
  </si>
  <si>
    <t>6.2.14</t>
  </si>
  <si>
    <t>6.2.14.1</t>
  </si>
  <si>
    <t>H.2</t>
  </si>
  <si>
    <t>Laboratory Materials</t>
  </si>
  <si>
    <t>6.2.14.2</t>
  </si>
  <si>
    <t>H.15</t>
  </si>
  <si>
    <t>6.2.14.3</t>
  </si>
  <si>
    <t>6.2.15</t>
  </si>
  <si>
    <t>B.16.2.11.4</t>
  </si>
  <si>
    <t>Drugs and supplies for NPCB</t>
  </si>
  <si>
    <t>6.2.15.1</t>
  </si>
  <si>
    <t>B.16.2.11.4.a</t>
  </si>
  <si>
    <t>6.2.15.2</t>
  </si>
  <si>
    <t>6.2.16</t>
  </si>
  <si>
    <t>B.16.2.11.5</t>
  </si>
  <si>
    <t>Drugs and supplies for NMHP</t>
  </si>
  <si>
    <t>6.2.16.1</t>
  </si>
  <si>
    <t>6.2.16.2</t>
  </si>
  <si>
    <t>6.2.17</t>
  </si>
  <si>
    <t>B.16.2.11.6</t>
  </si>
  <si>
    <t>Drugs and supplies for NPHCE</t>
  </si>
  <si>
    <t>6.2.17.1</t>
  </si>
  <si>
    <t>6.2.17.2</t>
  </si>
  <si>
    <t>6.2.18</t>
  </si>
  <si>
    <t>Drugs and supplies for NTCP</t>
  </si>
  <si>
    <t>6.2.18.1</t>
  </si>
  <si>
    <t>B.16.2.11.7</t>
  </si>
  <si>
    <t>Procurement of medicine &amp; consumables for TCC under NTCP</t>
  </si>
  <si>
    <t>6.2.18.2</t>
  </si>
  <si>
    <t>6.2.19</t>
  </si>
  <si>
    <t>B.16.2.11.8</t>
  </si>
  <si>
    <t>Drugs &amp; Supplies for NPCDCS</t>
  </si>
  <si>
    <t>6.2.19.1</t>
  </si>
  <si>
    <t>B.16.2.11.8.a</t>
  </si>
  <si>
    <t>6.2.19.2</t>
  </si>
  <si>
    <t>B.16.2.11.8.b</t>
  </si>
  <si>
    <t>6.2.19.3</t>
  </si>
  <si>
    <t>B.16.2.11.8.c</t>
  </si>
  <si>
    <t>6.2.19.4</t>
  </si>
  <si>
    <t>B.16.2.11.8.d</t>
  </si>
  <si>
    <t>6.2.19.5</t>
  </si>
  <si>
    <t>B.16.2.11.8.e</t>
  </si>
  <si>
    <t>6.2.20</t>
  </si>
  <si>
    <t>B.16.2.5</t>
  </si>
  <si>
    <t>Free drug services</t>
  </si>
  <si>
    <t>6.2.20.1</t>
  </si>
  <si>
    <t>B.16.2.5.1</t>
  </si>
  <si>
    <t>6.2.20.2</t>
  </si>
  <si>
    <t>B.16.2.5.2</t>
  </si>
  <si>
    <t>Other Free Drug Services (State not opted 16.2.5.1)</t>
  </si>
  <si>
    <t>6.3.1</t>
  </si>
  <si>
    <t>H.16</t>
  </si>
  <si>
    <t>B.16.3</t>
  </si>
  <si>
    <t>National Free Diagnostic services</t>
  </si>
  <si>
    <t>6.4.1</t>
  </si>
  <si>
    <t>B.16.3.1</t>
  </si>
  <si>
    <t>Free Pathological services</t>
  </si>
  <si>
    <t>6.4.2</t>
  </si>
  <si>
    <t>B.16.3.2</t>
  </si>
  <si>
    <t>Free Radiological services</t>
  </si>
  <si>
    <t>6.4.3</t>
  </si>
  <si>
    <t>A.1.6.1</t>
  </si>
  <si>
    <t>Free Diagnostics for Pregnant women under JSSK</t>
  </si>
  <si>
    <t>A.2.9.1</t>
  </si>
  <si>
    <t>Free Diagnostics for Sick infants under JSSK</t>
  </si>
  <si>
    <t>F.1.3.a</t>
  </si>
  <si>
    <t>Strengthening of Sentinel sites which will include Diagnostics and Case Management, supply of kits by GoI</t>
  </si>
  <si>
    <t>Annexure for Service Delivery (Facility Based)</t>
  </si>
  <si>
    <t>1.1.1</t>
  </si>
  <si>
    <t>1.1.1.1</t>
  </si>
  <si>
    <t>A.1.5.4</t>
  </si>
  <si>
    <t>PMSMA activities at State/ District level</t>
  </si>
  <si>
    <t>1.1.1.2</t>
  </si>
  <si>
    <t>A.1.6.3</t>
  </si>
  <si>
    <t>1.1.1.3</t>
  </si>
  <si>
    <t>A.1.6.2</t>
  </si>
  <si>
    <t>Blood Transfusion for JSSK Beneficiaries</t>
  </si>
  <si>
    <t>1.1.1.4</t>
  </si>
  <si>
    <t>A.1.6.5.1</t>
  </si>
  <si>
    <t>1.1.1.5</t>
  </si>
  <si>
    <t>1.1.2</t>
  </si>
  <si>
    <t>Strengthening CH Services</t>
  </si>
  <si>
    <t>1.1.2.1</t>
  </si>
  <si>
    <t>1.1.2.2</t>
  </si>
  <si>
    <t>1.1.2.3</t>
  </si>
  <si>
    <t>1.1.3</t>
  </si>
  <si>
    <t>Strengthening FP Services</t>
  </si>
  <si>
    <t>1.1.3.1</t>
  </si>
  <si>
    <t>A.3.1</t>
  </si>
  <si>
    <t>Terminal/Limiting Methods</t>
  </si>
  <si>
    <t>A.3.1.1</t>
  </si>
  <si>
    <t>Female sterilization fixed day services</t>
  </si>
  <si>
    <t>A.3.1.2</t>
  </si>
  <si>
    <t>Male Sterilization fixed day services</t>
  </si>
  <si>
    <t>1.1.3.2</t>
  </si>
  <si>
    <t>A.3.2</t>
  </si>
  <si>
    <t>Spacing Methods</t>
  </si>
  <si>
    <t>A.3.2.1</t>
  </si>
  <si>
    <t>IUCD fixed day services</t>
  </si>
  <si>
    <t>Other activities (demand generation, strengthening service delivery etc.)</t>
  </si>
  <si>
    <t>1.1.4</t>
  </si>
  <si>
    <t>Strengthening AH Services</t>
  </si>
  <si>
    <t>1.1.4.1</t>
  </si>
  <si>
    <t>A.4.2.3</t>
  </si>
  <si>
    <t xml:space="preserve">Organising Adolescent Friendly Club  meetings at subcentre level </t>
  </si>
  <si>
    <t>1.1.4.2</t>
  </si>
  <si>
    <t>1.1.5</t>
  </si>
  <si>
    <t>Strengthening DCP Services</t>
  </si>
  <si>
    <t>1.1.5.1</t>
  </si>
  <si>
    <t>F.1.2.e</t>
  </si>
  <si>
    <t>Dengue &amp; Chikungunya: Case management</t>
  </si>
  <si>
    <t>1.1.5.2</t>
  </si>
  <si>
    <t>F.1.3.i</t>
  </si>
  <si>
    <t>Acute Encephalitis Syndrome (AES)/ Japanese Encephalitis (JE): Rehabilitation Setup for selected endemic districts</t>
  </si>
  <si>
    <t>1.1.5.3</t>
  </si>
  <si>
    <t>Lymphatic Filariasis: Morbidity Management</t>
  </si>
  <si>
    <t>1.1.5.4</t>
  </si>
  <si>
    <t xml:space="preserve">G.1.2 </t>
  </si>
  <si>
    <t>1.1.5.5</t>
  </si>
  <si>
    <t>G.2.3</t>
  </si>
  <si>
    <t>Welfare  allowance to patients for RCS</t>
  </si>
  <si>
    <t>1.1.5.6</t>
  </si>
  <si>
    <t>G.2.4</t>
  </si>
  <si>
    <t>Support to govt. institutions for RCS</t>
  </si>
  <si>
    <t>1.1.6</t>
  </si>
  <si>
    <t>Strengthening NCD Services</t>
  </si>
  <si>
    <t>1.1.6.1</t>
  </si>
  <si>
    <t>1.1.6.2</t>
  </si>
  <si>
    <t>O.2.8.2</t>
  </si>
  <si>
    <t>Integration with AYUSH at District NCD Cell / Clinic</t>
  </si>
  <si>
    <t>1.1.6.3</t>
  </si>
  <si>
    <t>O.2.8.3</t>
  </si>
  <si>
    <t>Integration with AYUSH at CHC NCD Clinic</t>
  </si>
  <si>
    <t>1.1.6.4</t>
  </si>
  <si>
    <t>B.29.1.6</t>
  </si>
  <si>
    <t>Recurring Grant-in-aid (For newly selected district): Medical Management including Treatment, surgery and rehab</t>
  </si>
  <si>
    <t>1.1.6.5</t>
  </si>
  <si>
    <t>B.29.2.3</t>
  </si>
  <si>
    <t>Recurring Grant-in-aid (For ongoing selected district): Medical Management including Treatment, surgery and rehab</t>
  </si>
  <si>
    <t>1.1.6.6</t>
  </si>
  <si>
    <t>I.2.9</t>
  </si>
  <si>
    <t>1.1.7</t>
  </si>
  <si>
    <t>Strengthening Other Services</t>
  </si>
  <si>
    <t>1.1.7.1</t>
  </si>
  <si>
    <t>A.6.1</t>
  </si>
  <si>
    <t>Special plans for tribal areas</t>
  </si>
  <si>
    <t>1.1.7.2</t>
  </si>
  <si>
    <t>A.11.3</t>
  </si>
  <si>
    <t>LWE affected areas special plan</t>
  </si>
  <si>
    <t>1.1.7.3</t>
  </si>
  <si>
    <t>B14.3</t>
  </si>
  <si>
    <t>Transfusion support to patients with blood disorders  and for prevention programs</t>
  </si>
  <si>
    <t>1.1.7.4</t>
  </si>
  <si>
    <t>B18.1</t>
  </si>
  <si>
    <t>Universal Health Coverage (pilot)</t>
  </si>
  <si>
    <t>1.1.7.5</t>
  </si>
  <si>
    <t>B18.3</t>
  </si>
  <si>
    <t>Beneficiary Compensation under Janani Suraksha Yojana (JSY)</t>
  </si>
  <si>
    <t>1.2.1.1</t>
  </si>
  <si>
    <t>A.1.3.1</t>
  </si>
  <si>
    <t>Home deliveries</t>
  </si>
  <si>
    <t>1.2.1.2</t>
  </si>
  <si>
    <t>A.1.3.2</t>
  </si>
  <si>
    <t xml:space="preserve">Institutional deliveries </t>
  </si>
  <si>
    <t>A.1.3.2.a</t>
  </si>
  <si>
    <t>Rural</t>
  </si>
  <si>
    <t>A.1.3.2.b</t>
  </si>
  <si>
    <t>Urban</t>
  </si>
  <si>
    <t>A.1.3.2.c</t>
  </si>
  <si>
    <t>C-sections</t>
  </si>
  <si>
    <t>Beneficiary Compensation under FP Services</t>
  </si>
  <si>
    <t>1.2.2.1</t>
  </si>
  <si>
    <t>A.3.1.3</t>
  </si>
  <si>
    <t>Compensation for female sterilization
(Provide breakup for cases covered in public facility, private facility. 
Enhanced Compensation Scheme (if applicable) additionally provide number of PPS done. 
Female sterilization done in MPV districts may also be budgeted in this head and the break up to be reflected)</t>
  </si>
  <si>
    <t>A.3.1.4</t>
  </si>
  <si>
    <t>Compensation for male sterilization/NSV 
(Provide breakup for cases covered in public facility, private facility. 
Male sterilization done in MPV districts may also be budgeted in this head and the break up to be reflected)</t>
  </si>
  <si>
    <t>1.2.2.2</t>
  </si>
  <si>
    <t>A.3.7.3</t>
  </si>
  <si>
    <t>Injectable contraceptive incentive for beneficiaries</t>
  </si>
  <si>
    <t>1.2.2.3</t>
  </si>
  <si>
    <t>A.3.6</t>
  </si>
  <si>
    <t>Family Planning Indemnity Scheme</t>
  </si>
  <si>
    <t>1.2.3.1</t>
  </si>
  <si>
    <t>1.2.3.2</t>
  </si>
  <si>
    <t>1.3.1</t>
  </si>
  <si>
    <t>A.2.2.1</t>
  </si>
  <si>
    <t>A.2.2.2</t>
  </si>
  <si>
    <t>A.2.2.3</t>
  </si>
  <si>
    <t>A.4.1.3</t>
  </si>
  <si>
    <t>O.2.2.1.3/ O1.1.3.1</t>
  </si>
  <si>
    <t>O.2.2.1.4</t>
  </si>
  <si>
    <t>O.2.2.1.5</t>
  </si>
  <si>
    <t>O.2.2.1.7</t>
  </si>
  <si>
    <t>1.3.2</t>
  </si>
  <si>
    <t>Other operating expenses</t>
  </si>
  <si>
    <t>1.3.2.1</t>
  </si>
  <si>
    <t>B.23.1</t>
  </si>
  <si>
    <t>Power Back-up for blood bank/storage (ideally integrated power back up for facility)</t>
  </si>
  <si>
    <t>1.3.2.2</t>
  </si>
  <si>
    <t>B.29.1.3</t>
  </si>
  <si>
    <t>1.3.2.3</t>
  </si>
  <si>
    <t>B.29.2.2</t>
  </si>
  <si>
    <t>1.3.2.4</t>
  </si>
  <si>
    <t>C.1.m</t>
  </si>
  <si>
    <t>Consumables for computer including provision for internet access  for strengthening RI</t>
  </si>
  <si>
    <t>1.3.2.5</t>
  </si>
  <si>
    <t>Blood Services</t>
  </si>
  <si>
    <t>1.3.1.2</t>
  </si>
  <si>
    <t>1.3.1.3</t>
  </si>
  <si>
    <t>1.3.1.4</t>
  </si>
  <si>
    <t>1.3.1.5</t>
  </si>
  <si>
    <t>1.3.1.6</t>
  </si>
  <si>
    <t>1.3.1.8</t>
  </si>
  <si>
    <t>1.3.1.9</t>
  </si>
  <si>
    <t>1.3.1.10</t>
  </si>
  <si>
    <t>B16.1.1.2</t>
  </si>
  <si>
    <t>10.1.2</t>
  </si>
  <si>
    <t>9.5.6.2</t>
  </si>
  <si>
    <t>Abstract for NLEP</t>
  </si>
  <si>
    <t>Abstract for NMHP</t>
  </si>
  <si>
    <t>Abstract for NVBDCP</t>
  </si>
  <si>
    <t>Abstract for NPCDCS</t>
  </si>
  <si>
    <t>F.1.3.j</t>
  </si>
  <si>
    <t>ICU Establishment in Endemic District</t>
  </si>
  <si>
    <t>5.3.16</t>
  </si>
  <si>
    <t>Cardiac Care Unit (CCU/ ICU)</t>
  </si>
  <si>
    <t>9.5.23</t>
  </si>
  <si>
    <t>9.5.23.1</t>
  </si>
  <si>
    <t>9.5.23.2</t>
  </si>
  <si>
    <t>9.5.23.3</t>
  </si>
  <si>
    <t>9.5.24</t>
  </si>
  <si>
    <t>9.5.24.1</t>
  </si>
  <si>
    <t>9.5.25</t>
  </si>
  <si>
    <t>9.5.25.1</t>
  </si>
  <si>
    <t>9.5.26</t>
  </si>
  <si>
    <t>9.5.26.1</t>
  </si>
  <si>
    <t>9.5.26.2</t>
  </si>
  <si>
    <t>9.5.26.3</t>
  </si>
  <si>
    <t>9.5.27</t>
  </si>
  <si>
    <t>9.5.27.1</t>
  </si>
  <si>
    <t>9.5.27.2</t>
  </si>
  <si>
    <t>9.5.27.3</t>
  </si>
  <si>
    <t>Abstract for NPPC</t>
  </si>
  <si>
    <t>Abstract for ASHA</t>
  </si>
  <si>
    <t>Abstract for NTCP</t>
  </si>
  <si>
    <t>Abstract for NOHP</t>
  </si>
  <si>
    <t>Abstract for AYUSH</t>
  </si>
  <si>
    <t>Abstract for NIDDCP</t>
  </si>
  <si>
    <t>Abstract for IDSP</t>
  </si>
  <si>
    <t>Abstract for NPHCE</t>
  </si>
  <si>
    <t>Abstract for NPPCD</t>
  </si>
  <si>
    <t>Abstract for NPPCF</t>
  </si>
  <si>
    <t>Annexure for Service Delivery (Community Based)</t>
  </si>
  <si>
    <t>Operational Cost</t>
  </si>
  <si>
    <t>Programme Managers</t>
  </si>
  <si>
    <t>C.2.3</t>
  </si>
  <si>
    <t xml:space="preserve">Staff for civil / infrastructure work </t>
  </si>
  <si>
    <t>Programme Assistants</t>
  </si>
  <si>
    <t>Programme Coordinators</t>
  </si>
  <si>
    <t>MIS/ IT Staff</t>
  </si>
  <si>
    <t>H.12</t>
  </si>
  <si>
    <t>Supervisors</t>
  </si>
  <si>
    <t>Accounts Staff</t>
  </si>
  <si>
    <t>Salaries for Staff on Deputation (Please specify)</t>
  </si>
  <si>
    <t>B.21.1</t>
  </si>
  <si>
    <t>Staffs under SHSRC</t>
  </si>
  <si>
    <t>Data Entry Operation</t>
  </si>
  <si>
    <t>Support Staff (Kindly Specify)</t>
  </si>
  <si>
    <t>Programme Manager</t>
  </si>
  <si>
    <t xml:space="preserve">Support Staff </t>
  </si>
  <si>
    <t>Strengthening of Block PMU &amp; Facilities</t>
  </si>
  <si>
    <t>MIS/ Staff</t>
  </si>
  <si>
    <t>Annexure for Programme Management</t>
  </si>
  <si>
    <t>Programme Management Activities</t>
  </si>
  <si>
    <t>Planning</t>
  </si>
  <si>
    <t>Health Action Plans</t>
  </si>
  <si>
    <t>B7.1</t>
  </si>
  <si>
    <t>State</t>
  </si>
  <si>
    <t>B7.2</t>
  </si>
  <si>
    <t>B7.3</t>
  </si>
  <si>
    <t>Block</t>
  </si>
  <si>
    <t>A.5.1.2</t>
  </si>
  <si>
    <t>Prepare detailed operational plan for RBSK across districts (including cost of plan)</t>
  </si>
  <si>
    <t>A.11.1</t>
  </si>
  <si>
    <t>Planning, including mapping and co-ordination with other departments</t>
  </si>
  <si>
    <t>C.1.j</t>
  </si>
  <si>
    <t>C.1.k</t>
  </si>
  <si>
    <t>For consolidation of micro plans at block level</t>
  </si>
  <si>
    <t>Preparatory phase : Development of district plan</t>
  </si>
  <si>
    <t>Meetings, Workshops and Conferences</t>
  </si>
  <si>
    <t>Provision for State &amp; District level (Meetings/ review meetings)</t>
  </si>
  <si>
    <t>A.3.5.2</t>
  </si>
  <si>
    <t xml:space="preserve">Review meetings/ workshops under RKSK </t>
  </si>
  <si>
    <t xml:space="preserve">RBSK Convergence/Monitoring meetings   </t>
  </si>
  <si>
    <t>A.10.4.1</t>
  </si>
  <si>
    <t>Workshops and Conferences</t>
  </si>
  <si>
    <t>B1.1.1.4.2</t>
  </si>
  <si>
    <t xml:space="preserve">Monthly Review meeting of ASHA facilitators with BCM at block level-Meeting Expenses </t>
  </si>
  <si>
    <t>B15.2.1</t>
  </si>
  <si>
    <t>State Quality Assurance Unit (Review meeting)</t>
  </si>
  <si>
    <t>B15.2.2</t>
  </si>
  <si>
    <t>District Quality Assurance Unit (Review Meeting)</t>
  </si>
  <si>
    <t>B.29.1.7, B.29.2.4</t>
  </si>
  <si>
    <t>NPPCF Coordination Meeting (Newly Selected Districts and On-going Districts)</t>
  </si>
  <si>
    <t>C.1.c</t>
  </si>
  <si>
    <t>Support for Quarterly State level review meetings of district officer</t>
  </si>
  <si>
    <t>C.1.d</t>
  </si>
  <si>
    <t>Quarterly review meetings exclusive for RI at district level with Block MOs, CDPO, and other stake holders</t>
  </si>
  <si>
    <t>C.1.e</t>
  </si>
  <si>
    <t>Quarterly review meetings exclusive for RI at block level</t>
  </si>
  <si>
    <t>E.4.2</t>
  </si>
  <si>
    <t xml:space="preserve">IDSP Meetings </t>
  </si>
  <si>
    <t>State Task Force, State Technical Advisory Committee meeting, District coordination meeting (Lymphatic Filariasis)</t>
  </si>
  <si>
    <t>F.4</t>
  </si>
  <si>
    <t>GFATM Review Meeting</t>
  </si>
  <si>
    <t xml:space="preserve">G.4.2 </t>
  </si>
  <si>
    <t xml:space="preserve">NLEP Review Meetings </t>
  </si>
  <si>
    <t>Medical Colleges (Any meetings)</t>
  </si>
  <si>
    <t>M.2.1.2</t>
  </si>
  <si>
    <t>Monitoring, Evaluation and Supervision</t>
  </si>
  <si>
    <t>A.2.4.2</t>
  </si>
  <si>
    <t>Monitoring and Award/ Recognition  for MAA programme</t>
  </si>
  <si>
    <t>B.10.6.4</t>
  </si>
  <si>
    <t>Monitoring of IEC/ BCC Activities</t>
  </si>
  <si>
    <t>F.1.1.d</t>
  </si>
  <si>
    <t>Monitoring , Evaluation &amp; Supervision (Malaria)</t>
  </si>
  <si>
    <t>F.1.2.c</t>
  </si>
  <si>
    <t>Monitoring/supervision and Rapid response (Dengue and Chikungunya)</t>
  </si>
  <si>
    <t>F.1.3.d</t>
  </si>
  <si>
    <t>Monitoring and supervision (JE/ AE)</t>
  </si>
  <si>
    <t>Monitoring &amp; Supervision (Lymphatic Filariasis)</t>
  </si>
  <si>
    <t>F.1.5.d</t>
  </si>
  <si>
    <t>Monitoring &amp; Evaluation (Kala Azar)</t>
  </si>
  <si>
    <t>H.19</t>
  </si>
  <si>
    <t>Supervision and Monitoring</t>
  </si>
  <si>
    <t>Miscellaneous (Monitoring)</t>
  </si>
  <si>
    <t>O.2.2.1.1</t>
  </si>
  <si>
    <t>O.2.2.1.2</t>
  </si>
  <si>
    <t xml:space="preserve">Mobility Support, Field Visits </t>
  </si>
  <si>
    <t>A.7.3</t>
  </si>
  <si>
    <t>A.10.7.1</t>
  </si>
  <si>
    <t>Mobility Support for SPMU/State</t>
  </si>
  <si>
    <t>B6.2</t>
  </si>
  <si>
    <t xml:space="preserve">Mobility Support for Implementation of Clinical Establishment Act </t>
  </si>
  <si>
    <t>B1.1.5.4</t>
  </si>
  <si>
    <t>Mobility Costs for ASHA Resource Centre/ASHA Mentoring Group (Kindly Specify)</t>
  </si>
  <si>
    <t>C.1.b</t>
  </si>
  <si>
    <t>Mobility support for staff for E-Vin (VCCM)</t>
  </si>
  <si>
    <t>E.4.1</t>
  </si>
  <si>
    <t xml:space="preserve">MOBILITY: Travel Cost, POL, etc. during outbreak investigations and field visits for monitoring programme activities at SSU on need basis </t>
  </si>
  <si>
    <t>Monitoring , Evaluation &amp; Supervision &amp; Epidemic Preparedness (Only Mobility Expenses)</t>
  </si>
  <si>
    <t xml:space="preserve">Mobility support for Rapid Response Team </t>
  </si>
  <si>
    <t>F.2.1.b, F.4</t>
  </si>
  <si>
    <t>GFATM Project: Travel related Cost (TRC), Mobility</t>
  </si>
  <si>
    <t>G.4.1.a</t>
  </si>
  <si>
    <t>Travel expenses - Contractual Staff at State level</t>
  </si>
  <si>
    <t>G.4.5.a</t>
  </si>
  <si>
    <t>Mobility Support: State Cell</t>
  </si>
  <si>
    <t>Vehicle Operation (POL)</t>
  </si>
  <si>
    <t>M.3.3</t>
  </si>
  <si>
    <t>State Tobacco Control Cell (STCC): Mobility Support</t>
  </si>
  <si>
    <t>M.3.3.2</t>
  </si>
  <si>
    <t>O.2.2.1</t>
  </si>
  <si>
    <t>State NCD Cell (TA,DA, POL)</t>
  </si>
  <si>
    <t xml:space="preserve">Regional </t>
  </si>
  <si>
    <t>F.1.1.g</t>
  </si>
  <si>
    <t>Zonal Entomological units</t>
  </si>
  <si>
    <t>District</t>
  </si>
  <si>
    <t>PM activities for World Population Day’ celebration (Only mobility cost): funds earmarked for district level activities</t>
  </si>
  <si>
    <t>A.10.7.2</t>
  </si>
  <si>
    <t>B.29.1.2</t>
  </si>
  <si>
    <t>Travel costs under NPPCF</t>
  </si>
  <si>
    <t>C.1.a</t>
  </si>
  <si>
    <t>Mobility Support for supervision for district level officers.</t>
  </si>
  <si>
    <t xml:space="preserve">MOBILITY: Travel Cost, POL, etc. during outbreak investigations and field visits for monitoring programme activities at DSU on need basis </t>
  </si>
  <si>
    <t>G.4.1.b</t>
  </si>
  <si>
    <t>Travel expenses - Contractual Staff at District level</t>
  </si>
  <si>
    <t>G.4.5.b</t>
  </si>
  <si>
    <t>Mobility Support: District Cell</t>
  </si>
  <si>
    <t>Medical Colleges (All service delivery to be budgeted under B.30)</t>
  </si>
  <si>
    <t>J.1.7</t>
  </si>
  <si>
    <t>Miscellaneous/ Travel</t>
  </si>
  <si>
    <t>M.1.3.3</t>
  </si>
  <si>
    <t>Enforcement Squads</t>
  </si>
  <si>
    <t>District NCD Cell (TA,DA, POL)</t>
  </si>
  <si>
    <t>PM activities for World Population Day’ celebration (Only mobility cost): funds earmarked for block level activities</t>
  </si>
  <si>
    <t>A.10.7.3</t>
  </si>
  <si>
    <t>Mobility Support - BPMU/Block</t>
  </si>
  <si>
    <t xml:space="preserve">Monthly Review meeting of ASHA facilitators with BCM at block level-cost of travel and meeting expenses </t>
  </si>
  <si>
    <t>Any Other Mobility Expenses</t>
  </si>
  <si>
    <t>G.5</t>
  </si>
  <si>
    <t>Others: travel expenses  for regular staff.</t>
  </si>
  <si>
    <t>Operational Cost (Expenses on account of consumables, operating expenses, office expenses, admin expenses, contingencies, transport of samples, miscellaneous etc.)</t>
  </si>
  <si>
    <t>A.1.3.3</t>
  </si>
  <si>
    <t>B.10.6.8</t>
  </si>
  <si>
    <t>Information, Communication and Technology under IDSP</t>
  </si>
  <si>
    <t>State Quality Assurance Unit (Operational cost)</t>
  </si>
  <si>
    <t>Office expenses on telephone, fax, Broadband Expenses &amp; Other Miscellaneous Expenditures</t>
  </si>
  <si>
    <t xml:space="preserve">contingency support </t>
  </si>
  <si>
    <t>F.2.1.h</t>
  </si>
  <si>
    <t>GFATM Project: Programme Administration Costs (PA)</t>
  </si>
  <si>
    <t>G.4.3.a</t>
  </si>
  <si>
    <t>Office operation &amp; Maintenance - State Cell</t>
  </si>
  <si>
    <t>G.4.4.a</t>
  </si>
  <si>
    <t>State Cell - Consumables</t>
  </si>
  <si>
    <t>H.11</t>
  </si>
  <si>
    <t>Office Operation (Miscellaneous)</t>
  </si>
  <si>
    <t>M.2.2.2</t>
  </si>
  <si>
    <t>Tobacco Cessation Centre (TCC): Office Expenses</t>
  </si>
  <si>
    <t>M.3.2.3</t>
  </si>
  <si>
    <t>State Tobacco Control Cell (STCC): Misc./Office Expenses</t>
  </si>
  <si>
    <t>State NCD Cell (Contingency)</t>
  </si>
  <si>
    <t>District Quality Assurance Unit (Operational cost)</t>
  </si>
  <si>
    <t>Contingencies under NPPCF</t>
  </si>
  <si>
    <t>G.4.3.b</t>
  </si>
  <si>
    <t>Office operation &amp; Maintenance - District Cell</t>
  </si>
  <si>
    <t>G.4.4.b</t>
  </si>
  <si>
    <t>District Cell - Consumables</t>
  </si>
  <si>
    <t>J.1.5</t>
  </si>
  <si>
    <t>Operational expenses of the district centre : rent, telephone expenses, website etc.</t>
  </si>
  <si>
    <t>Contingency under NMHP</t>
  </si>
  <si>
    <t>M.1.3.5</t>
  </si>
  <si>
    <t>District Tobacco Control Cell (DTCC): Misc./Office Expenses</t>
  </si>
  <si>
    <t>District NCD Cell (Contingency)</t>
  </si>
  <si>
    <t>A.2.2.1.1</t>
  </si>
  <si>
    <t>SNCU Data management (excluding HR)</t>
  </si>
  <si>
    <t>Any Other Programme Management Cost</t>
  </si>
  <si>
    <t>E-Governance Initiatives</t>
  </si>
  <si>
    <t>B14.2</t>
  </si>
  <si>
    <t>QAC Misc. (IT Based application  etc.)</t>
  </si>
  <si>
    <t>B15.3.4.1</t>
  </si>
  <si>
    <t xml:space="preserve">Implementation of Hospital Management System </t>
  </si>
  <si>
    <t>Monitoring , Evaluation &amp; Supervision &amp; Epidemic Preparedness - Cost of NAMMIS</t>
  </si>
  <si>
    <t>Procurement and Maintenance of Office Equipment</t>
  </si>
  <si>
    <t>Minor repairs and AMC of IT/office equipment supplied under IDSP</t>
  </si>
  <si>
    <t>F.2.1.b</t>
  </si>
  <si>
    <t>Travel related Cost (TRC) - GFATM</t>
  </si>
  <si>
    <t>G.4.3.c</t>
  </si>
  <si>
    <t>Vehicle Operation (Maintenance)</t>
  </si>
  <si>
    <t>O1.1.1</t>
  </si>
  <si>
    <t>Renovation and furnishing, furniture, computers, office equipment (fax, phone, photocopier etc.)</t>
  </si>
  <si>
    <t>O1.1.1.1</t>
  </si>
  <si>
    <t>O1.1.1.2</t>
  </si>
  <si>
    <t>District NCD Cell</t>
  </si>
  <si>
    <t>PM activities under Micronutrient Supplementation Programme</t>
  </si>
  <si>
    <t>A.7.1</t>
  </si>
  <si>
    <t>A.7.2</t>
  </si>
  <si>
    <t>A.10.5</t>
  </si>
  <si>
    <t>Audit Fees</t>
  </si>
  <si>
    <t>A.10.6</t>
  </si>
  <si>
    <t>Concurrent Audit system</t>
  </si>
  <si>
    <t>B.10.1</t>
  </si>
  <si>
    <t>Comprehensive Grievance Redressal Mechanism</t>
  </si>
  <si>
    <t xml:space="preserve">SHSRC: Other cost </t>
  </si>
  <si>
    <t>F.1.2.d</t>
  </si>
  <si>
    <t>I.1.7</t>
  </si>
  <si>
    <t>Management of Health Society (State to provide details of PM Staff in the remarks column separately)</t>
  </si>
  <si>
    <t>M.3.5.1</t>
  </si>
  <si>
    <t>Setting up of STCC</t>
  </si>
  <si>
    <t>O.2.8</t>
  </si>
  <si>
    <t>Integration with Ayush</t>
  </si>
  <si>
    <t>O.2.8.1</t>
  </si>
  <si>
    <t>O.2.9</t>
  </si>
  <si>
    <t>Innovation</t>
  </si>
  <si>
    <t>O.2.9.1</t>
  </si>
  <si>
    <t>O.2.9.2</t>
  </si>
  <si>
    <t xml:space="preserve">District NCD Cell </t>
  </si>
  <si>
    <t>Drugs for Safe Abortion (MMA)</t>
  </si>
  <si>
    <t>Calcium tablets</t>
  </si>
  <si>
    <t>Albendazole tablets</t>
  </si>
  <si>
    <t>H.3</t>
  </si>
  <si>
    <t>1.3.1.11</t>
  </si>
  <si>
    <t>CME (Medical Colleges)</t>
  </si>
  <si>
    <t>Public Private Support Agency (PPSA)</t>
  </si>
  <si>
    <t>Research for medical colleges</t>
  </si>
  <si>
    <t>14.2.10</t>
  </si>
  <si>
    <t>Drug transportation charges</t>
  </si>
  <si>
    <t>Procurement of sleeves and drug boxes</t>
  </si>
  <si>
    <t>TBHV</t>
  </si>
  <si>
    <t>B.30.1.7/H.12</t>
  </si>
  <si>
    <t>DAKSHTA training</t>
  </si>
  <si>
    <t>TOT for Dakshta</t>
  </si>
  <si>
    <t>Training of MOs/SNs</t>
  </si>
  <si>
    <t>9.5.1.17</t>
  </si>
  <si>
    <t>9.5.1.18</t>
  </si>
  <si>
    <t>9.5.1.19</t>
  </si>
  <si>
    <t>9.5.1.20</t>
  </si>
  <si>
    <t>6.2.7.2</t>
  </si>
  <si>
    <t xml:space="preserve">Drugs and Supplies for blood services </t>
  </si>
  <si>
    <t xml:space="preserve">Training for Haemoglobinopathies </t>
  </si>
  <si>
    <t>9.5.7.2</t>
  </si>
  <si>
    <t>9.5.7.3</t>
  </si>
  <si>
    <t>9.5.12.7</t>
  </si>
  <si>
    <t>9.5.13.2</t>
  </si>
  <si>
    <t>9.5.15.2</t>
  </si>
  <si>
    <t>9.5.21.2</t>
  </si>
  <si>
    <t>9.5.24.2</t>
  </si>
  <si>
    <t>9.5.28</t>
  </si>
  <si>
    <t>HMIS/ MCTS</t>
  </si>
  <si>
    <t>J.1.6</t>
  </si>
  <si>
    <t>Ambulatory Services</t>
  </si>
  <si>
    <t>Abstract for Pradhan Mantri National Dialysis Programme</t>
  </si>
  <si>
    <t>6.1.1.23</t>
  </si>
  <si>
    <t>6.2.21</t>
  </si>
  <si>
    <t>6.2.21.1</t>
  </si>
  <si>
    <t>6.2.21.2</t>
  </si>
  <si>
    <t>Drugs &amp; Supplies for National Dialysis Programme</t>
  </si>
  <si>
    <t xml:space="preserve">JSY Administrative Expenses </t>
  </si>
  <si>
    <t xml:space="preserve">Supply of Salt Testing Kit </t>
  </si>
  <si>
    <t>Procurement of lab equipment</t>
  </si>
  <si>
    <t>6.1.2.6</t>
  </si>
  <si>
    <t>A.10.1.10/ D.1.a/ D.1.b/ D.1.c</t>
  </si>
  <si>
    <t>11.20.1</t>
  </si>
  <si>
    <t>1.1.2.4</t>
  </si>
  <si>
    <t>Drug Warehouses</t>
  </si>
  <si>
    <t>5.2.1.14</t>
  </si>
  <si>
    <t>1.1.1.6</t>
  </si>
  <si>
    <t>MH/ HSS</t>
  </si>
  <si>
    <t>Upgradation/ Renovation of Obstetric ICUs/ HDUs (as per operational guidelines of ICUs and HDUs, 2017)</t>
  </si>
  <si>
    <t>Equipment for  Obstetric ICUs/ HDUs (as per operational guidelines of ICUs and HDUs, 2017)</t>
  </si>
  <si>
    <t>Onsite mentoring at Delivery Points/ Nursing Institutions/ Nursing Schools</t>
  </si>
  <si>
    <t>9.5.1.21</t>
  </si>
  <si>
    <t>TOT for Skill Lab</t>
  </si>
  <si>
    <t>9.5.1.22</t>
  </si>
  <si>
    <t>9.5.1.23</t>
  </si>
  <si>
    <t>Onsite Mentoring for DAKSHATA</t>
  </si>
  <si>
    <t>9.5.1.24</t>
  </si>
  <si>
    <t>9.5.1.25</t>
  </si>
  <si>
    <t>9.2.2</t>
  </si>
  <si>
    <t>1.1.7.7</t>
  </si>
  <si>
    <t>Procurement of equipment for ICT</t>
  </si>
  <si>
    <t>Tablets; software for implementation of ANMOL</t>
  </si>
  <si>
    <t>6.2.22</t>
  </si>
  <si>
    <t>6.2.22.1</t>
  </si>
  <si>
    <t>6.2.22.2</t>
  </si>
  <si>
    <t>8.4.10</t>
  </si>
  <si>
    <t>Staff for Health &amp; Wellness Centre (H&amp;WC)</t>
  </si>
  <si>
    <t>Mid-level Service Provider</t>
  </si>
  <si>
    <t>Performance incentive for Mid-level service providers</t>
  </si>
  <si>
    <t>15.9.7</t>
  </si>
  <si>
    <t>Independent Monitoring Cost for performance assessment of Health &amp; Wellness Centre (H&amp;WC)</t>
  </si>
  <si>
    <t>Psychiatric Nurse</t>
  </si>
  <si>
    <t>Nurses for Geriatric care/ palliative care</t>
  </si>
  <si>
    <t>Other Nurses</t>
  </si>
  <si>
    <t>Community Nurse</t>
  </si>
  <si>
    <t>8.1.1.12</t>
  </si>
  <si>
    <t>Radiographer/ X-ray technician</t>
  </si>
  <si>
    <t>Physician/Consultant Medicine</t>
  </si>
  <si>
    <t>B.30.3.1/B.30.2.4</t>
  </si>
  <si>
    <t>Microbiologists (MD)</t>
  </si>
  <si>
    <t>8.1.3.10</t>
  </si>
  <si>
    <t>Support Staff for Health Facilities</t>
  </si>
  <si>
    <t xml:space="preserve">General Duty Attendant/ Hospital Worker </t>
  </si>
  <si>
    <t>Cold Chain Handlers</t>
  </si>
  <si>
    <t>Multi Task Worker</t>
  </si>
  <si>
    <t>Field Worker</t>
  </si>
  <si>
    <t>Others (incl. Community Health Worker, PMW)</t>
  </si>
  <si>
    <t>Hospital Attendant</t>
  </si>
  <si>
    <t>Sanitary Attendant</t>
  </si>
  <si>
    <t>8.1.14.4</t>
  </si>
  <si>
    <t>8.1.14.5</t>
  </si>
  <si>
    <t>Public Health Manager/ Specialist</t>
  </si>
  <si>
    <t>Facility based Data Entry Operation (DEO)</t>
  </si>
  <si>
    <t>8.1.15</t>
  </si>
  <si>
    <t>8.1.15.1</t>
  </si>
  <si>
    <t>8.1.15.2</t>
  </si>
  <si>
    <t>8.1.15.3</t>
  </si>
  <si>
    <t>8.1.15.4</t>
  </si>
  <si>
    <t>8.1.15.5</t>
  </si>
  <si>
    <t>8.1.15.6</t>
  </si>
  <si>
    <t>8.1.15.7</t>
  </si>
  <si>
    <t>LaQshya Related Activities</t>
  </si>
  <si>
    <t>Procurement under LaQshya</t>
  </si>
  <si>
    <t>Trainings at Skill Lab</t>
  </si>
  <si>
    <t>Training of ANM/staff nurses in RTI/STI</t>
  </si>
  <si>
    <t>LaQshya trainings/workshops</t>
  </si>
  <si>
    <t>Other maternal health trainings (please specify)</t>
  </si>
  <si>
    <t>Equipment for nursing schools/institutions</t>
  </si>
  <si>
    <t>Any other ASHA incentives (please specify)</t>
  </si>
  <si>
    <t>12.1.4</t>
  </si>
  <si>
    <t>12.2.10</t>
  </si>
  <si>
    <t>Printing (SNCU data management)</t>
  </si>
  <si>
    <t>1.3.1.12</t>
  </si>
  <si>
    <t>12.2.11</t>
  </si>
  <si>
    <t>Printing &amp; translation cost for Family participatory care (KMC)</t>
  </si>
  <si>
    <t>IEC for family participatory care</t>
  </si>
  <si>
    <t>9.5.2.22</t>
  </si>
  <si>
    <t>TOT (MO, SN) for Family participatory care (KMC)</t>
  </si>
  <si>
    <t>Trainings for Family participatory care (KMC)</t>
  </si>
  <si>
    <t>5.3.17</t>
  </si>
  <si>
    <t>5.3.18</t>
  </si>
  <si>
    <t>New Born Stabilization training Package for Medical Officers and Staff nurses</t>
  </si>
  <si>
    <t>Review/orientation meetings for HBNC</t>
  </si>
  <si>
    <t>12.2.12</t>
  </si>
  <si>
    <t>Printing of HBNC referral cards and other formats</t>
  </si>
  <si>
    <t>4 days Trainings on IYCF for MOs, SNs, ANMs of all DPs and SCs (ToT, 4 days IYCF Trainings &amp; 1 day Sensitisation on MAA Program)</t>
  </si>
  <si>
    <t>12.1.5</t>
  </si>
  <si>
    <t>Printing cost for MAA programme</t>
  </si>
  <si>
    <t>B16.1.6.3.6</t>
  </si>
  <si>
    <t>A.5.1.4/ B16.1.6.3.5</t>
  </si>
  <si>
    <t>DEIC (including Data card internet connection for laptops and rental)</t>
  </si>
  <si>
    <t>IEC/BCC activities under Immunization</t>
  </si>
  <si>
    <t>IEC activities for Immunization</t>
  </si>
  <si>
    <t>ASHA incentive for updation of EC survey before each MPV campaign</t>
  </si>
  <si>
    <t>Other activities under Mission Parivar Vikas : Demand Generation (Saarthi, Saas Bahu Sammellan, Creating enabling environment)</t>
  </si>
  <si>
    <t xml:space="preserve">Orientation/review  of ANM/AWW (as applicable) for New schemes, FP-LMIS, new contraceptives, Post partum and post abortion Family Planning, Scheme for home delivery of contraceptives (HDC), Ensuring spacing at birth (ESB {wherever applicable}), Pregnancy Testing Kits (PTK) </t>
  </si>
  <si>
    <t>FP-LMIS training</t>
  </si>
  <si>
    <t>IEC &amp; promotional activities for World Population Day celebration</t>
  </si>
  <si>
    <t xml:space="preserve">IEC &amp; promotional activities for Vasectomy Fortnight celebration </t>
  </si>
  <si>
    <t>14.2.11</t>
  </si>
  <si>
    <t>Implementation of FP-LMIS</t>
  </si>
  <si>
    <t>FP QAC meetings (Minimum frequency of QAC meetings as per Supreme court mandate: State level - Biannual meeting; District level - Quarterly)</t>
  </si>
  <si>
    <t>FP review meetings (As per Hon'ble SC judgement)</t>
  </si>
  <si>
    <t>AFHS training of ANM/LHV/MPW</t>
  </si>
  <si>
    <t>Printing under WIFS -WIFS cards, WIFS registers, reporting  format etc</t>
  </si>
  <si>
    <t>12.4.5</t>
  </si>
  <si>
    <t>Printing for AFHC-AFHC Registers, reporting formats, AFHC cards etc</t>
  </si>
  <si>
    <t>Media Mix of Mass Media/ Mid Media including promotion of menstrual hygiene scheme</t>
  </si>
  <si>
    <t>Innovative IEC/ BCC Strategies including mobile based solutions, social media and engagement of youth</t>
  </si>
  <si>
    <t>11.5.2</t>
  </si>
  <si>
    <t>11.5.3</t>
  </si>
  <si>
    <t>11.5.4</t>
  </si>
  <si>
    <t>11.6.2</t>
  </si>
  <si>
    <t>11.6.3</t>
  </si>
  <si>
    <t>11.6.4</t>
  </si>
  <si>
    <t>11.6.5</t>
  </si>
  <si>
    <t>11.6.6</t>
  </si>
  <si>
    <t>11.7.2</t>
  </si>
  <si>
    <t>11.7.3</t>
  </si>
  <si>
    <t>11.10</t>
  </si>
  <si>
    <t>11.12.2</t>
  </si>
  <si>
    <t>11.13.1</t>
  </si>
  <si>
    <t>11.15.3</t>
  </si>
  <si>
    <t>11.15.4</t>
  </si>
  <si>
    <t>11.15.5</t>
  </si>
  <si>
    <t>11.15.6</t>
  </si>
  <si>
    <t>11.19.2</t>
  </si>
  <si>
    <t>11.20</t>
  </si>
  <si>
    <t>11.21.1</t>
  </si>
  <si>
    <t>11.22.1</t>
  </si>
  <si>
    <t>11.22.2</t>
  </si>
  <si>
    <t>11.23.1</t>
  </si>
  <si>
    <t>11.24.1</t>
  </si>
  <si>
    <t>Incentive to ASHA for follow up of SNCU discharge babies and for follow up of LBW babies</t>
  </si>
  <si>
    <t>Incentive for referral of SAM cases to NRC and for follow up of discharge SAM children from NRCs</t>
  </si>
  <si>
    <t>3.1.2.6</t>
  </si>
  <si>
    <t>IEC/BCC activities under ASHA</t>
  </si>
  <si>
    <t>12.7.3</t>
  </si>
  <si>
    <t>12.7.4</t>
  </si>
  <si>
    <t>Printing of ASHA Modules and formats</t>
  </si>
  <si>
    <t>Printing of CBAC format</t>
  </si>
  <si>
    <t>12.17.1</t>
  </si>
  <si>
    <t>12.17.2</t>
  </si>
  <si>
    <t>Committed unspent  balance (as on ______)</t>
  </si>
  <si>
    <t>Procurement for Universal Screening of NCDs</t>
  </si>
  <si>
    <t>GoI Remarks</t>
  </si>
  <si>
    <t>Training for Universal Screening for NCDs</t>
  </si>
  <si>
    <t>Drugs &amp; supplies for Universal Screening of NCDs</t>
  </si>
  <si>
    <t>6.4.4</t>
  </si>
  <si>
    <t>6.5.1</t>
  </si>
  <si>
    <t>6.5.2</t>
  </si>
  <si>
    <t>6.5.3</t>
  </si>
  <si>
    <t>IEC/BCC activities for Universal Screening of NCDs</t>
  </si>
  <si>
    <t>Printing activities for Universal Screening of NCDs - printing of cards and modules</t>
  </si>
  <si>
    <t>7.4.1</t>
  </si>
  <si>
    <t>7.4.2</t>
  </si>
  <si>
    <t>7.4.3</t>
  </si>
  <si>
    <t>7.6.1</t>
  </si>
  <si>
    <t>7.6.2</t>
  </si>
  <si>
    <t>Any other activity (please specify)</t>
  </si>
  <si>
    <t>15.1.2</t>
  </si>
  <si>
    <t>Annexure for Innovations</t>
  </si>
  <si>
    <t>HSS/NPCDCS</t>
  </si>
  <si>
    <t>1.1.3.3</t>
  </si>
  <si>
    <t>1.2.2.4</t>
  </si>
  <si>
    <t>2.2.10</t>
  </si>
  <si>
    <t>2.2.11</t>
  </si>
  <si>
    <t>3.1.2.7</t>
  </si>
  <si>
    <t>3.1.3.5</t>
  </si>
  <si>
    <t>3.2.4</t>
  </si>
  <si>
    <t>3.2.4.1</t>
  </si>
  <si>
    <t>3.2.4.2</t>
  </si>
  <si>
    <t>3.2.4.3</t>
  </si>
  <si>
    <t>3.2.4.4</t>
  </si>
  <si>
    <t>3.3.4</t>
  </si>
  <si>
    <t>6.1.1.24</t>
  </si>
  <si>
    <t>Drugs &amp; supplies for Blood services &amp; disorders</t>
  </si>
  <si>
    <t>Drugs &amp; Supplies for Health &amp; Wellness Centres (H&amp;WC)</t>
  </si>
  <si>
    <t>6.4.5</t>
  </si>
  <si>
    <t>9.1.7</t>
  </si>
  <si>
    <t>9.2.3</t>
  </si>
  <si>
    <t>9.5.2.23</t>
  </si>
  <si>
    <t>Other Child Health trainings (please specify)</t>
  </si>
  <si>
    <t>9.5.3.27</t>
  </si>
  <si>
    <t>Other Family Planning trainings (please specify)</t>
  </si>
  <si>
    <t>9.5.4.5</t>
  </si>
  <si>
    <t>Other Adolescent Health trainings (please specify)</t>
  </si>
  <si>
    <t>RBSK Trainings</t>
  </si>
  <si>
    <t>9.5.5.5</t>
  </si>
  <si>
    <t>Other RBSK trainings (please specify)</t>
  </si>
  <si>
    <t>Trainings for Blood Services &amp; disorders</t>
  </si>
  <si>
    <t>9.5.6.3</t>
  </si>
  <si>
    <t>9.5.7.4</t>
  </si>
  <si>
    <t>9.5.8.2</t>
  </si>
  <si>
    <t>9.5.9.2</t>
  </si>
  <si>
    <t>9.5.10.2</t>
  </si>
  <si>
    <t>9.5.11.2</t>
  </si>
  <si>
    <t>9.5.11.3</t>
  </si>
  <si>
    <t>9.5.11.4</t>
  </si>
  <si>
    <t>9.5.11.5</t>
  </si>
  <si>
    <t>9.5.11.6</t>
  </si>
  <si>
    <t>9.5.11.7</t>
  </si>
  <si>
    <t>9.5.11.8</t>
  </si>
  <si>
    <t>9.5.11.9</t>
  </si>
  <si>
    <t>9.5.14.2</t>
  </si>
  <si>
    <t>9.5.14.3</t>
  </si>
  <si>
    <t>9.5.16.2</t>
  </si>
  <si>
    <t>9.5.17.2</t>
  </si>
  <si>
    <t>9.5.17.3</t>
  </si>
  <si>
    <t>9.5.17.4</t>
  </si>
  <si>
    <t>9.5.19.3</t>
  </si>
  <si>
    <t>9.5.20.3</t>
  </si>
  <si>
    <t>9.5.22.3</t>
  </si>
  <si>
    <t>ASHA facilitator/ARC trainings</t>
  </si>
  <si>
    <t>9.5.23.4</t>
  </si>
  <si>
    <t>9.5.25.2</t>
  </si>
  <si>
    <t>9.5.25.3</t>
  </si>
  <si>
    <t>9.5.25.4</t>
  </si>
  <si>
    <t>9.5.26.4</t>
  </si>
  <si>
    <t>9.5.27.4</t>
  </si>
  <si>
    <t>9.5.28.1</t>
  </si>
  <si>
    <t>9.5.28.2</t>
  </si>
  <si>
    <t>9.5.28.3</t>
  </si>
  <si>
    <t>9.5.28.4</t>
  </si>
  <si>
    <t>9.5.28.5</t>
  </si>
  <si>
    <t>9.5.28.6</t>
  </si>
  <si>
    <t>Supply Chain Management cost under GFATM</t>
  </si>
  <si>
    <t>10.1.3</t>
  </si>
  <si>
    <t>10.2.12</t>
  </si>
  <si>
    <t>10.2.13</t>
  </si>
  <si>
    <t>Research at State NCD Cell</t>
  </si>
  <si>
    <t>Research at Institutes</t>
  </si>
  <si>
    <t>10.2.14</t>
  </si>
  <si>
    <t>Strengthening surveillance under NVBDCP</t>
  </si>
  <si>
    <t>NVBDCP - Dengue/Chikungunya</t>
  </si>
  <si>
    <t>10.3.1.4</t>
  </si>
  <si>
    <t>10.3.1.5</t>
  </si>
  <si>
    <t>10.3.1.6</t>
  </si>
  <si>
    <t>Surveillance under NPCDCS</t>
  </si>
  <si>
    <t>At State NCD Cell</t>
  </si>
  <si>
    <t>At Institutes</t>
  </si>
  <si>
    <t>10.3.2.1</t>
  </si>
  <si>
    <t>10.3.2.2</t>
  </si>
  <si>
    <t>10.3.2.3</t>
  </si>
  <si>
    <t>Any Other surveillance activities (please specify)</t>
  </si>
  <si>
    <t>10.4.7</t>
  </si>
  <si>
    <t>IEC/BCC activities under AH</t>
  </si>
  <si>
    <t>11.9.2</t>
  </si>
  <si>
    <t>IEC/BCC activities under Blood services &amp; disorders</t>
  </si>
  <si>
    <t>11.10.2</t>
  </si>
  <si>
    <t>11.11.2</t>
  </si>
  <si>
    <t>11.12.3</t>
  </si>
  <si>
    <t>11.13.2</t>
  </si>
  <si>
    <t>11.14.2</t>
  </si>
  <si>
    <t>11.15.7</t>
  </si>
  <si>
    <t>11.16.2</t>
  </si>
  <si>
    <t>11.17.1</t>
  </si>
  <si>
    <t>11.17.2</t>
  </si>
  <si>
    <t>11.18.2</t>
  </si>
  <si>
    <t>11.19.3</t>
  </si>
  <si>
    <t>11.20.2</t>
  </si>
  <si>
    <t>11.22.3</t>
  </si>
  <si>
    <t>11.23.2</t>
  </si>
  <si>
    <t>11.24.2</t>
  </si>
  <si>
    <t>11.24.3</t>
  </si>
  <si>
    <t xml:space="preserve">SBCC/IEC/Advocacy campaigns </t>
  </si>
  <si>
    <t>Printing activities under Blood services &amp; disorders</t>
  </si>
  <si>
    <t>13.1.4</t>
  </si>
  <si>
    <t>13.2.6</t>
  </si>
  <si>
    <t>Human Resources for Drug warehouses</t>
  </si>
  <si>
    <t>Other activities including operating cost etc. (please specify)</t>
  </si>
  <si>
    <t>Logistics and supply chain</t>
  </si>
  <si>
    <t>Supply chain logistic system for drug warehouses</t>
  </si>
  <si>
    <t>14.2.12</t>
  </si>
  <si>
    <t>14.2.13</t>
  </si>
  <si>
    <t>FP/NHSRC-CP</t>
  </si>
  <si>
    <t>CH/NHSRC-CP</t>
  </si>
  <si>
    <t>AH/NHSRC-CP</t>
  </si>
  <si>
    <t>NHSRC-CP</t>
  </si>
  <si>
    <t>RI/NHSRC-CP</t>
  </si>
  <si>
    <t>NIDDCP/NHSRC-CP</t>
  </si>
  <si>
    <t>NLEP/NHSRC-CP</t>
  </si>
  <si>
    <t>1.1.3.1.1</t>
  </si>
  <si>
    <t>1.1.3.1.2</t>
  </si>
  <si>
    <t>1.1.3.2.1</t>
  </si>
  <si>
    <t>Case detection &amp; Management: Services in Urban Areas</t>
  </si>
  <si>
    <t>G.1.1</t>
  </si>
  <si>
    <t>Case detection &amp; Management: Specific -plan for High Endemic Districts</t>
  </si>
  <si>
    <t>Beneficiary Compensation/ Allowances</t>
  </si>
  <si>
    <t>CHC NCD Clinic: Mobility , Miscellaneous &amp; Contingencies</t>
  </si>
  <si>
    <t>Sub-Centre level: Mobility , Miscellaneous &amp; Contingencies</t>
  </si>
  <si>
    <t>Annexure for IT Initiatives - Service Delivery</t>
  </si>
  <si>
    <t>1.3.2.6</t>
  </si>
  <si>
    <t>1.3.1.13</t>
  </si>
  <si>
    <t>2.3.1.1</t>
  </si>
  <si>
    <t>2.3.1.2</t>
  </si>
  <si>
    <t>Other Mobile Units</t>
  </si>
  <si>
    <t>2.1.3.1</t>
  </si>
  <si>
    <t>2.1.3.2</t>
  </si>
  <si>
    <t>2.1.3.3</t>
  </si>
  <si>
    <t>Mobility support  for RBSK Mobile health team</t>
  </si>
  <si>
    <t>Support for RBSK: CUG connection per team and rental</t>
  </si>
  <si>
    <t>National Mobile Medical Vans (smaller vehicles) and specialised Mobile Medical Units: Recurring grants for POL and others</t>
  </si>
  <si>
    <t>Kala-azar Case search/ Camp Approach: Mobility/POL/supervision</t>
  </si>
  <si>
    <t xml:space="preserve">Tribal RCH: Outreach activities </t>
  </si>
  <si>
    <t>Outreach activities for RMNCH+A services</t>
  </si>
  <si>
    <t>2.3.1.3</t>
  </si>
  <si>
    <t>2.3.1.4</t>
  </si>
  <si>
    <t>2.3.1.5</t>
  </si>
  <si>
    <t>2.3.1.6</t>
  </si>
  <si>
    <t>2.3.1.7</t>
  </si>
  <si>
    <t>2.3.1.8</t>
  </si>
  <si>
    <t>2.3.1.9</t>
  </si>
  <si>
    <t>2.3.1.10</t>
  </si>
  <si>
    <t>2.3.2.1</t>
  </si>
  <si>
    <t>2.3.2.2</t>
  </si>
  <si>
    <t>2.3.2.3</t>
  </si>
  <si>
    <t>2.3.2.4</t>
  </si>
  <si>
    <t>2.3.2.5</t>
  </si>
  <si>
    <t>DPMR: At camps</t>
  </si>
  <si>
    <t>Outreach activities for controlling DCPs &amp; NCDs</t>
  </si>
  <si>
    <t>Tobacco Cessation Centre (TCC): Weekly FGD with the tobacco users</t>
  </si>
  <si>
    <t>DMHP: Targeted interventions at community level Activities &amp; interventions targeted at schools, colleges, workplaces, out of school adolescents, urban slums and suicide prevention.</t>
  </si>
  <si>
    <t>Outreach activities at School level</t>
  </si>
  <si>
    <t>2.3.3.1</t>
  </si>
  <si>
    <t>2.3.3.2</t>
  </si>
  <si>
    <t>2.3.3.3</t>
  </si>
  <si>
    <t>2.3.3.4</t>
  </si>
  <si>
    <t>2.3.3.4.1</t>
  </si>
  <si>
    <t>2.3.3.4.2</t>
  </si>
  <si>
    <t>2.3.3.4.3</t>
  </si>
  <si>
    <t>2.3.3.4.4</t>
  </si>
  <si>
    <t>2.3.3.4.5</t>
  </si>
  <si>
    <t>B8</t>
  </si>
  <si>
    <t>Untied Fund</t>
  </si>
  <si>
    <t>4.1.1</t>
  </si>
  <si>
    <t>4.1.2</t>
  </si>
  <si>
    <t>4.1.3</t>
  </si>
  <si>
    <t>4.1.4</t>
  </si>
  <si>
    <t>4.1.5</t>
  </si>
  <si>
    <t>4.1.6</t>
  </si>
  <si>
    <t>4.1.7</t>
  </si>
  <si>
    <t>Incentive for FP Services</t>
  </si>
  <si>
    <t>Incentive for AH/ RKSK Services</t>
  </si>
  <si>
    <t xml:space="preserve">Other Incentives </t>
  </si>
  <si>
    <t>3.1.1.1.1</t>
  </si>
  <si>
    <t>3.1.1.1.2</t>
  </si>
  <si>
    <t>3.1.1.1.3</t>
  </si>
  <si>
    <t>3.1.1.1.4</t>
  </si>
  <si>
    <t>3.1.1.1.5</t>
  </si>
  <si>
    <t>3.1.1.1.6</t>
  </si>
  <si>
    <t>3.1.1.1.7</t>
  </si>
  <si>
    <t>3.1.1.1.8</t>
  </si>
  <si>
    <t>3.1.1.1.9</t>
  </si>
  <si>
    <t>3.1.1.1.10</t>
  </si>
  <si>
    <t>3.1.1.1.11</t>
  </si>
  <si>
    <t>3.1.1.1.12</t>
  </si>
  <si>
    <t>3.1.1.2.1</t>
  </si>
  <si>
    <t>3.1.1.2.2</t>
  </si>
  <si>
    <t>3.1.1.2.3</t>
  </si>
  <si>
    <t>3.1.1.2.4</t>
  </si>
  <si>
    <t>3.1.1.2.5</t>
  </si>
  <si>
    <t>3.1.1.2.6</t>
  </si>
  <si>
    <t>3.1.1.2.7</t>
  </si>
  <si>
    <t>3.1.1.3.1</t>
  </si>
  <si>
    <t>3.1.1.3.2</t>
  </si>
  <si>
    <t>3.1.1.3.3</t>
  </si>
  <si>
    <t>3.1.1.4.1</t>
  </si>
  <si>
    <t>3.1.1.4.2</t>
  </si>
  <si>
    <t>3.1.1.4.3</t>
  </si>
  <si>
    <t>3.1.1.4.4</t>
  </si>
  <si>
    <t>3.1.1.4.5</t>
  </si>
  <si>
    <t>3.1.1.4.6</t>
  </si>
  <si>
    <t>3.1.1.4.7</t>
  </si>
  <si>
    <t>3.1.1.5.1</t>
  </si>
  <si>
    <t>3.1.1.5.2</t>
  </si>
  <si>
    <t>District counselling centre (DCC) and crisis helpline outsourced to psychology department/ NGO per year</t>
  </si>
  <si>
    <t>Preventive strategies for Malaria</t>
  </si>
  <si>
    <t xml:space="preserve">Operational cost for Spray Wages </t>
  </si>
  <si>
    <t>Operational cost for Impregnation  of Bed nets-  for NE states</t>
  </si>
  <si>
    <t>Preventive strategies for vector born diseases</t>
  </si>
  <si>
    <t>Dengue &amp; Chikungunya: Vector Control,  environmental management &amp; fogging machine</t>
  </si>
  <si>
    <t>Acute Encephalitis Syndrome (AES)/ Japanese Encephalitis (JE): Operational costs for malathion  fogging</t>
  </si>
  <si>
    <t>Kala-azar: Operational cost for spray including spray wages</t>
  </si>
  <si>
    <t>Kala-azar: Training for spraying</t>
  </si>
  <si>
    <t>3.2.5.1.1</t>
  </si>
  <si>
    <t>3.2.5.1.2</t>
  </si>
  <si>
    <t>3.2.5.1.3</t>
  </si>
  <si>
    <t>3.2.5.1.4</t>
  </si>
  <si>
    <t>3.2.5.1.5</t>
  </si>
  <si>
    <t>3.2.5.2.1</t>
  </si>
  <si>
    <t>3.2.5.2.2</t>
  </si>
  <si>
    <t>3.2.5.2.3</t>
  </si>
  <si>
    <t>3.2.5.2.4</t>
  </si>
  <si>
    <t>Innovations (if any)</t>
  </si>
  <si>
    <t>B14</t>
  </si>
  <si>
    <t>IT Initiatives for strengthening Service Delivery</t>
  </si>
  <si>
    <t>B4.1.1.1</t>
  </si>
  <si>
    <t>B4.1.2.1</t>
  </si>
  <si>
    <t>B4.1.3.1</t>
  </si>
  <si>
    <t>B4.1.4.1</t>
  </si>
  <si>
    <t>B4.1.5.2</t>
  </si>
  <si>
    <t>B4.1.6.1</t>
  </si>
  <si>
    <t>B.5.6.3</t>
  </si>
  <si>
    <t>B4.1.1.2</t>
  </si>
  <si>
    <t>B4.1.2.2</t>
  </si>
  <si>
    <t>B4.1.3.2</t>
  </si>
  <si>
    <t>B4.1.4.2</t>
  </si>
  <si>
    <t>B4.1.6.2</t>
  </si>
  <si>
    <t>B.5.10.1.2</t>
  </si>
  <si>
    <t>B4.1.1/ B4.1.2/ B4.1.3/ B4.1.4/ B4.1.6/ B.5.10</t>
  </si>
  <si>
    <t>B.5.10.1.1</t>
  </si>
  <si>
    <t>B4.1.1.3</t>
  </si>
  <si>
    <t>B4.1.2.3</t>
  </si>
  <si>
    <t>B4.1.3.3</t>
  </si>
  <si>
    <t>B4.1.4.3</t>
  </si>
  <si>
    <t>B4.1.5.3</t>
  </si>
  <si>
    <t>B4.1.6.3</t>
  </si>
  <si>
    <t>B.5.10.1.3</t>
  </si>
  <si>
    <t>B4.1.1/ B4.1.2/ B4.1.3/ B4.1.4/ B4.1.5/ B4.1.6/ B.5.10</t>
  </si>
  <si>
    <t>B4.1.1.4</t>
  </si>
  <si>
    <t>B4.1.2.4</t>
  </si>
  <si>
    <t>B4.1.3.4</t>
  </si>
  <si>
    <t>B4.1.4.4</t>
  </si>
  <si>
    <t>B4.1.6.4</t>
  </si>
  <si>
    <t>B.5.10.1.4</t>
  </si>
  <si>
    <t>Training Institutions (incl. hostels/residential facilities)</t>
  </si>
  <si>
    <t>B5.1/ B5.2/ B5.3/ B5.5/ B5.10/ A.9.10.2/ B.5.11/ B.5.12/B.5.13/ B4.1.5/ A.4.1.2/ A.2.5</t>
  </si>
  <si>
    <t>B5.1.1</t>
  </si>
  <si>
    <t>B5.2.1</t>
  </si>
  <si>
    <t>B5.3.1</t>
  </si>
  <si>
    <t>B.5.6.1</t>
  </si>
  <si>
    <t>B5.11.1</t>
  </si>
  <si>
    <t>B5.12.1</t>
  </si>
  <si>
    <t>B5.13.1</t>
  </si>
  <si>
    <t>B4.1.5.1</t>
  </si>
  <si>
    <t>B5.10.2/ B5.10.3</t>
  </si>
  <si>
    <t>B5.1/ B5.2/ B5.3/ B5.6/ B5.5/ B5.10/ B.5.11/ B.5.12/ B.5.13</t>
  </si>
  <si>
    <t>B5.1.2</t>
  </si>
  <si>
    <t>B5.2.2</t>
  </si>
  <si>
    <t>B5.3.2</t>
  </si>
  <si>
    <t>B.5.6.2</t>
  </si>
  <si>
    <t>B5.10.4</t>
  </si>
  <si>
    <t>B.5.11.2</t>
  </si>
  <si>
    <t>B.5.12.2</t>
  </si>
  <si>
    <t>B.5.13.2</t>
  </si>
  <si>
    <t>Assistance to State for Capacity building (Burns &amp; injury): Civil Work</t>
  </si>
  <si>
    <t>Recurring grant for collection of eye balls by eye banks and eye donation centres</t>
  </si>
  <si>
    <t>I.1.5</t>
  </si>
  <si>
    <t>6.1.1.25</t>
  </si>
  <si>
    <t>Furniture for paediatric OPD and ward</t>
  </si>
  <si>
    <t>Non-recurring GIA: Machinery &amp; Equipment for DH</t>
  </si>
  <si>
    <t>Non-recurring GIA: Machinery &amp; Equipment for CHC</t>
  </si>
  <si>
    <t>Non-recurring GIA: Machinery &amp; Equipment for PHC</t>
  </si>
  <si>
    <t>Non recurring: Equipment for Cancer  Care</t>
  </si>
  <si>
    <t>B16.1.7/ A.9.1.2.2</t>
  </si>
  <si>
    <t>B16.1.7/ A.9.10.1</t>
  </si>
  <si>
    <t>B.18.2</t>
  </si>
  <si>
    <t>Miscellaneous including Travel/ POL/ Stationary/ Communications/ Drugs etc.</t>
  </si>
  <si>
    <t>Maintenance of Ophthalmic Equipment</t>
  </si>
  <si>
    <t>B.16.2.3.1</t>
  </si>
  <si>
    <t>6.2.19.6</t>
  </si>
  <si>
    <t>HSS/ AYUSH</t>
  </si>
  <si>
    <t>9.5.4.14</t>
  </si>
  <si>
    <t>HSS/AYUSH</t>
  </si>
  <si>
    <t>HMIS/MCTS Trainings</t>
  </si>
  <si>
    <t>9.5.19.4</t>
  </si>
  <si>
    <t>Reviews, Research, Surveys and Surveillance</t>
  </si>
  <si>
    <t>11.22.4</t>
  </si>
  <si>
    <t>11.24.3.1</t>
  </si>
  <si>
    <t>11.24.3.2</t>
  </si>
  <si>
    <t>11.24.3.3</t>
  </si>
  <si>
    <t>11.24.3.4</t>
  </si>
  <si>
    <t>12.7.5</t>
  </si>
  <si>
    <t>ASHA communication kit</t>
  </si>
  <si>
    <t>Printing activities for H&amp;WC</t>
  </si>
  <si>
    <t>12.15.4</t>
  </si>
  <si>
    <t>14.1.1.1</t>
  </si>
  <si>
    <t>14.1.1.2</t>
  </si>
  <si>
    <t>14.1.1.3</t>
  </si>
  <si>
    <t>Other IT Initiatives for Service Delivery (please specify)</t>
  </si>
  <si>
    <t>Annexure for Untied Fund</t>
  </si>
  <si>
    <t>8.1.11.3</t>
  </si>
  <si>
    <t>8.1.11.4</t>
  </si>
  <si>
    <t>8.1.11.5</t>
  </si>
  <si>
    <t>8.1.13.6</t>
  </si>
  <si>
    <t>8.1.13.7</t>
  </si>
  <si>
    <t>8.1.13.8</t>
  </si>
  <si>
    <t>8.1.13.9</t>
  </si>
  <si>
    <t>8.1.13.10</t>
  </si>
  <si>
    <t>8.1.13.11</t>
  </si>
  <si>
    <t>8.1.13.12</t>
  </si>
  <si>
    <t>8.1.13.13</t>
  </si>
  <si>
    <t>8.1.13.14</t>
  </si>
  <si>
    <t>8.1.13.15</t>
  </si>
  <si>
    <t>8.1.13.16</t>
  </si>
  <si>
    <t>8.1.13.17</t>
  </si>
  <si>
    <t>8.1.13.18</t>
  </si>
  <si>
    <t>8.1.13.19</t>
  </si>
  <si>
    <t>8.1.13.20</t>
  </si>
  <si>
    <t>8.1.13.21</t>
  </si>
  <si>
    <t>8.1.13.22</t>
  </si>
  <si>
    <t>8.1.15.8</t>
  </si>
  <si>
    <t>8.1.15.9</t>
  </si>
  <si>
    <t>8.1.15.10</t>
  </si>
  <si>
    <t>8.1.15.11</t>
  </si>
  <si>
    <t>8.1.15.12</t>
  </si>
  <si>
    <t>8.1.15.13</t>
  </si>
  <si>
    <t>8.1.16</t>
  </si>
  <si>
    <t>8.1.16.1</t>
  </si>
  <si>
    <t>8.1.16.2</t>
  </si>
  <si>
    <t>8.1.16.3</t>
  </si>
  <si>
    <t>8.1.16.4</t>
  </si>
  <si>
    <t>8.1.16.5</t>
  </si>
  <si>
    <t>8.1.16.6</t>
  </si>
  <si>
    <t>8.1.16.7</t>
  </si>
  <si>
    <t>Training on Finance</t>
  </si>
  <si>
    <t>Training on HR</t>
  </si>
  <si>
    <t>Training of District trainers</t>
  </si>
  <si>
    <t>PC&amp;PNDT Activities</t>
  </si>
  <si>
    <t>Mobility support</t>
  </si>
  <si>
    <t>HMIS &amp; MCTS</t>
  </si>
  <si>
    <t>B15.3.1.1/ B15.3.1.2</t>
  </si>
  <si>
    <t>B15.3.1.5.1/ B15.3.1.5.2</t>
  </si>
  <si>
    <t xml:space="preserve">Mobility Support for HMIS &amp; MCTS </t>
  </si>
  <si>
    <t>B15.3.2.5/ B15.3.2.6/ B15.3.2.9/ B15.3.2.12/ B15.3.2.13</t>
  </si>
  <si>
    <t>Operational cost for HMIS &amp; MCTS (incl. Internet connectivity; AMC of Laptop, printers, computers, UPS; Office expenditure; Mobile reimbursement)</t>
  </si>
  <si>
    <t>B15.3.2.3/ B15.3.2.4/ B15.3.2.7/ B15.3.2.8</t>
  </si>
  <si>
    <t>Procurement of Computer/Printer/UPS/ Laptop/ VSAT</t>
  </si>
  <si>
    <t>B15.3.2.10/ B15.3.2.11</t>
  </si>
  <si>
    <t>Call Centre (Capex/ Opex)</t>
  </si>
  <si>
    <t>Human Resource</t>
  </si>
  <si>
    <t xml:space="preserve">Strengthening of State/ Regional PMU </t>
  </si>
  <si>
    <t>State level HR under RMNCH+A &amp; HSS</t>
  </si>
  <si>
    <t>Consultants/ Programme Officers</t>
  </si>
  <si>
    <t>State level HR under DCP</t>
  </si>
  <si>
    <t>State level HR under NCD</t>
  </si>
  <si>
    <t>Strengthening of District PMU</t>
  </si>
  <si>
    <t>District level HR under RMNCH+A &amp; HSS</t>
  </si>
  <si>
    <t>District level HR under DCP</t>
  </si>
  <si>
    <t>District level HR under NCD</t>
  </si>
  <si>
    <t>Block level HR under RMNCH+A &amp; HSS</t>
  </si>
  <si>
    <t xml:space="preserve">Consultants/ Programme Officers </t>
  </si>
  <si>
    <t>Block level HR under DCP</t>
  </si>
  <si>
    <t>Block level HR under NCD</t>
  </si>
  <si>
    <t>Monitoring and Data Management</t>
  </si>
  <si>
    <t>Abstract for Blood services &amp; Disorders</t>
  </si>
  <si>
    <t>HMIS-MCTS</t>
  </si>
  <si>
    <t>Blood cell/ HSS</t>
  </si>
  <si>
    <t>P.10.1</t>
  </si>
  <si>
    <t>Support for control of Communicable Disease</t>
  </si>
  <si>
    <t xml:space="preserve">Support for control of Non Communicable Disease Control </t>
  </si>
  <si>
    <t>JSY</t>
  </si>
  <si>
    <t>Family Planning</t>
  </si>
  <si>
    <t>P.4.2.3.2</t>
  </si>
  <si>
    <t>Operational Expenses of UPHCs (excluding rent)</t>
  </si>
  <si>
    <t>P.4.2.3.3</t>
  </si>
  <si>
    <t>Operational Expenses of Maternity Homes(excluding rent)</t>
  </si>
  <si>
    <t>P.4.2.3.4</t>
  </si>
  <si>
    <t>Operational Expenses of Health Kiosks</t>
  </si>
  <si>
    <t>P.4.5.4</t>
  </si>
  <si>
    <t>Mobile Medical Units (MMU) / Mobile Health Units (MHU)</t>
  </si>
  <si>
    <t>P.4.5.3</t>
  </si>
  <si>
    <t>Mobility support for ANM/LHV</t>
  </si>
  <si>
    <t>P.4.5.1</t>
  </si>
  <si>
    <t xml:space="preserve">UHNDs </t>
  </si>
  <si>
    <t>P.4.5.2</t>
  </si>
  <si>
    <t>P.6.1.2</t>
  </si>
  <si>
    <t>ASHA Incentives</t>
  </si>
  <si>
    <t>P.6.1.2.1</t>
  </si>
  <si>
    <t xml:space="preserve">Incentives for routine activities </t>
  </si>
  <si>
    <t>P.6.1.2.2</t>
  </si>
  <si>
    <t>Other Incentive to ASHAs (please specify)</t>
  </si>
  <si>
    <t>P.6.1.1</t>
  </si>
  <si>
    <t>ASHA Trainings</t>
  </si>
  <si>
    <t>P.6.1.5</t>
  </si>
  <si>
    <t>P.6.2</t>
  </si>
  <si>
    <t>MAS/community groups</t>
  </si>
  <si>
    <t>P.6.2.2</t>
  </si>
  <si>
    <t>Training of MAS</t>
  </si>
  <si>
    <t>P.6.3</t>
  </si>
  <si>
    <t>Support to organization engaged for community processes</t>
  </si>
  <si>
    <t>Any Other</t>
  </si>
  <si>
    <t>Untied grants</t>
  </si>
  <si>
    <t>P.4.3.1</t>
  </si>
  <si>
    <t xml:space="preserve">Untied grants to UPHCs </t>
  </si>
  <si>
    <t>P.4.3.1.a</t>
  </si>
  <si>
    <t>Government Building</t>
  </si>
  <si>
    <t>P.4.3.1.b</t>
  </si>
  <si>
    <t>Rented Building</t>
  </si>
  <si>
    <t>P.4.3.2</t>
  </si>
  <si>
    <t>Untied grants to UCHCs</t>
  </si>
  <si>
    <t>P.4.3.3</t>
  </si>
  <si>
    <t>Untied grants to Maternity Homes</t>
  </si>
  <si>
    <t>P.6.2.1</t>
  </si>
  <si>
    <t>Untied grants to MAS</t>
  </si>
  <si>
    <t>P.4.2.2.1</t>
  </si>
  <si>
    <t>UPHC</t>
  </si>
  <si>
    <t>P.4.2.2.2</t>
  </si>
  <si>
    <t>UCHC</t>
  </si>
  <si>
    <t>Maternity Homes</t>
  </si>
  <si>
    <t>P.4.2.3.1</t>
  </si>
  <si>
    <t>Rent for UPHC</t>
  </si>
  <si>
    <t>P.4.2.1.1</t>
  </si>
  <si>
    <t>P.4.2.1.2</t>
  </si>
  <si>
    <t>P.4.2.1.3</t>
  </si>
  <si>
    <t>Health Kiosk (for establishment)</t>
  </si>
  <si>
    <t>P.4.4.2.1</t>
  </si>
  <si>
    <t>Equipment for UPHC</t>
  </si>
  <si>
    <t>P.4.4.2.2</t>
  </si>
  <si>
    <t>Equipment for UCHC</t>
  </si>
  <si>
    <t>P.4.4.2.3</t>
  </si>
  <si>
    <t>Equipment for Maternity Homes</t>
  </si>
  <si>
    <t>P.4.4.1.1</t>
  </si>
  <si>
    <t>P.6.1.3</t>
  </si>
  <si>
    <t xml:space="preserve">ASHA Drug kits </t>
  </si>
  <si>
    <t>P.6.1.4</t>
  </si>
  <si>
    <t>P.4.4.1.4</t>
  </si>
  <si>
    <t>National Free Diagnostic Services</t>
  </si>
  <si>
    <t>P.4.1.1</t>
  </si>
  <si>
    <t>ANMs/LHVs</t>
  </si>
  <si>
    <t>P.4.1.1.1</t>
  </si>
  <si>
    <t>P.4.1.1.2</t>
  </si>
  <si>
    <t>P.4.1.1.3</t>
  </si>
  <si>
    <t>P.4.1.2</t>
  </si>
  <si>
    <t>Staff nurse</t>
  </si>
  <si>
    <t>P.4.1.2.1</t>
  </si>
  <si>
    <t>P.4.1.2.2</t>
  </si>
  <si>
    <t>P.4.1.2.3</t>
  </si>
  <si>
    <t>P.4.1.6</t>
  </si>
  <si>
    <t>Lab Technicians</t>
  </si>
  <si>
    <t>P.4.1.6.1</t>
  </si>
  <si>
    <t>P.4.1.6.2</t>
  </si>
  <si>
    <t>P.4.1.6.3</t>
  </si>
  <si>
    <t>P.4.1.7</t>
  </si>
  <si>
    <t>P.4.1.7.1</t>
  </si>
  <si>
    <t>P.4.1.7.2</t>
  </si>
  <si>
    <t>P.4.1.7.3</t>
  </si>
  <si>
    <t>P.4.1.8</t>
  </si>
  <si>
    <t>Other staff</t>
  </si>
  <si>
    <t>P.4.1.8.1</t>
  </si>
  <si>
    <t>X-ray technicians</t>
  </si>
  <si>
    <t>P.4.1.9.2</t>
  </si>
  <si>
    <t>P.4.1.8.3</t>
  </si>
  <si>
    <t>P.4.1.5</t>
  </si>
  <si>
    <t>Specialists (at UCHC)</t>
  </si>
  <si>
    <t>P.4.1.5.1</t>
  </si>
  <si>
    <t>Obstetrician / Gynaecologist</t>
  </si>
  <si>
    <t>P.4.1.5.2</t>
  </si>
  <si>
    <t>P.4.1.5.3</t>
  </si>
  <si>
    <t>Anaesthetist</t>
  </si>
  <si>
    <t>P.4.1.5.4</t>
  </si>
  <si>
    <t>Surgeon</t>
  </si>
  <si>
    <t>P.4.1.5.5</t>
  </si>
  <si>
    <t>Pathologist</t>
  </si>
  <si>
    <t>P.4.1.5.6</t>
  </si>
  <si>
    <t>Radiologist</t>
  </si>
  <si>
    <t>P.4.1.5.7</t>
  </si>
  <si>
    <t>Dentists</t>
  </si>
  <si>
    <t>P.4.1.3.1</t>
  </si>
  <si>
    <t>MO at UPHC</t>
  </si>
  <si>
    <t>P.4.1.3.1.1</t>
  </si>
  <si>
    <t>Full-time</t>
  </si>
  <si>
    <t>P.4.1.3.1.2</t>
  </si>
  <si>
    <t>Part-time</t>
  </si>
  <si>
    <t>P.4.1.3.2</t>
  </si>
  <si>
    <t>MO at Maternity Homes</t>
  </si>
  <si>
    <t>P.4.1.3.2.1</t>
  </si>
  <si>
    <t>P.4.1.3.2.2</t>
  </si>
  <si>
    <t>P.4.1.4</t>
  </si>
  <si>
    <t>MO at UCHC</t>
  </si>
  <si>
    <t>P.4.1.4.1</t>
  </si>
  <si>
    <t>P.4.1.9</t>
  </si>
  <si>
    <t>Public Health Manager/Facility Manager</t>
  </si>
  <si>
    <t>P.4.1.9.1</t>
  </si>
  <si>
    <t>P.4.1.11</t>
  </si>
  <si>
    <t>Other Support staff</t>
  </si>
  <si>
    <t>P.4.1.10</t>
  </si>
  <si>
    <t>DEO cum Accountant</t>
  </si>
  <si>
    <t>Incentives/ Allowances/ Awards</t>
  </si>
  <si>
    <t>P.3.3</t>
  </si>
  <si>
    <t xml:space="preserve">Support for Identified Training Institutions </t>
  </si>
  <si>
    <t>Training/ orientation of ANM and other paramedical staff</t>
  </si>
  <si>
    <t>Training/ orientation of Medical Officers</t>
  </si>
  <si>
    <t>Training/ Orientation of Specialists</t>
  </si>
  <si>
    <t>Training/ Orientation of RKS</t>
  </si>
  <si>
    <t>Training on Quality Assurance</t>
  </si>
  <si>
    <t>Training / orientation on HMIS/ICT</t>
  </si>
  <si>
    <t>P.8.2</t>
  </si>
  <si>
    <t>Research Studies</t>
  </si>
  <si>
    <t>P.1.1.1/ P.1.2.1</t>
  </si>
  <si>
    <t>Mapping of slums and vulnerable population in Metro cities/ other cities &amp; towns</t>
  </si>
  <si>
    <t>P.9.1</t>
  </si>
  <si>
    <t>Printing activities</t>
  </si>
  <si>
    <t>Drug Warehousing &amp; Logistics</t>
  </si>
  <si>
    <t>Drug Ware Housing (All operating costs including HR, etc.)</t>
  </si>
  <si>
    <t>Logistic support for Urban Health Facilities</t>
  </si>
  <si>
    <t>P.5.1</t>
  </si>
  <si>
    <t>QA committees at city level (meetings, workshops, etc.)</t>
  </si>
  <si>
    <t>P.5.2</t>
  </si>
  <si>
    <t>Review meetings</t>
  </si>
  <si>
    <t>P.8.3</t>
  </si>
  <si>
    <t>ICT Initiatives</t>
  </si>
  <si>
    <t>P.8.3.1</t>
  </si>
  <si>
    <t>Hardware &amp; Connectivity</t>
  </si>
  <si>
    <t>P.8.3.2</t>
  </si>
  <si>
    <t>Software</t>
  </si>
  <si>
    <t>P.2.1</t>
  </si>
  <si>
    <t>State PMU</t>
  </si>
  <si>
    <t>P.2.1.1</t>
  </si>
  <si>
    <t>P.2.1.2</t>
  </si>
  <si>
    <t>P.2.1.3</t>
  </si>
  <si>
    <t>P.2.1.4</t>
  </si>
  <si>
    <t>Salaries for staff on deputation</t>
  </si>
  <si>
    <t>P.2.1.5</t>
  </si>
  <si>
    <t>P.2.2</t>
  </si>
  <si>
    <t>District PMU</t>
  </si>
  <si>
    <t>P.2.2.1</t>
  </si>
  <si>
    <t>P.2.2.2</t>
  </si>
  <si>
    <t>P.2.2.3</t>
  </si>
  <si>
    <t>P.2.2.4</t>
  </si>
  <si>
    <t>P.2.3</t>
  </si>
  <si>
    <t>City PMU</t>
  </si>
  <si>
    <t>P.2.3.1</t>
  </si>
  <si>
    <t>P.2.3.2</t>
  </si>
  <si>
    <t>P.2.3.3</t>
  </si>
  <si>
    <t>P.2.3.4</t>
  </si>
  <si>
    <t>IT Support</t>
  </si>
  <si>
    <t>Innovations</t>
  </si>
  <si>
    <t>A.9.1.1</t>
  </si>
  <si>
    <t>HR for Skill Lab/ Training Institutes/ SIHFW</t>
  </si>
  <si>
    <t>Mobility &amp; Communication support for AH counsellors</t>
  </si>
  <si>
    <t>Mobility and communication support for RKSK district coordinator/ consultant</t>
  </si>
  <si>
    <t>NUHM: Abstract for Non-Metro cities</t>
  </si>
  <si>
    <t>U.1</t>
  </si>
  <si>
    <t>U.1.1</t>
  </si>
  <si>
    <t>U.1.1.1</t>
  </si>
  <si>
    <t>U.1.1.2</t>
  </si>
  <si>
    <t>U.1.2</t>
  </si>
  <si>
    <t>U.1.2.1</t>
  </si>
  <si>
    <t>U.1.2.2</t>
  </si>
  <si>
    <t>U.1.3</t>
  </si>
  <si>
    <t>U.1.3.1</t>
  </si>
  <si>
    <t>U.1.3.2</t>
  </si>
  <si>
    <t>U.1.3.3</t>
  </si>
  <si>
    <t>U.1.3.4</t>
  </si>
  <si>
    <t>U.2</t>
  </si>
  <si>
    <t>U.2.1</t>
  </si>
  <si>
    <t>U.2.1.1</t>
  </si>
  <si>
    <t>U.2.1.2</t>
  </si>
  <si>
    <t>U.2.2</t>
  </si>
  <si>
    <t>U.2.2.1</t>
  </si>
  <si>
    <t>U.2.2.2</t>
  </si>
  <si>
    <t>U.2.3</t>
  </si>
  <si>
    <t>U.2.3.1</t>
  </si>
  <si>
    <t>U.2.3.2</t>
  </si>
  <si>
    <t>U.2.3.5</t>
  </si>
  <si>
    <t>U.3</t>
  </si>
  <si>
    <t>U.3.1</t>
  </si>
  <si>
    <t>U.3.1.1</t>
  </si>
  <si>
    <t>U.3.1.1.1</t>
  </si>
  <si>
    <t>U.3.1.1.2</t>
  </si>
  <si>
    <t>U.3.1.1.3</t>
  </si>
  <si>
    <t>U.3.1.2</t>
  </si>
  <si>
    <t>U.3.1.3</t>
  </si>
  <si>
    <t>U.3.1.3.1</t>
  </si>
  <si>
    <t>U.3.2</t>
  </si>
  <si>
    <t>U.3.2.1</t>
  </si>
  <si>
    <t>U.3.2.1.1</t>
  </si>
  <si>
    <t>U.3.2.1.2</t>
  </si>
  <si>
    <t>U.3.3</t>
  </si>
  <si>
    <t>U.4</t>
  </si>
  <si>
    <t>U.4.1.1</t>
  </si>
  <si>
    <t>U.4.1.1.1</t>
  </si>
  <si>
    <t>U.4.1.1.2</t>
  </si>
  <si>
    <t>U.4.1.2</t>
  </si>
  <si>
    <t>U.4.1.3</t>
  </si>
  <si>
    <t>U.4.1.4</t>
  </si>
  <si>
    <t>U.5</t>
  </si>
  <si>
    <t>U.5.1</t>
  </si>
  <si>
    <t>U.5.1.1</t>
  </si>
  <si>
    <t>U.5.1.2</t>
  </si>
  <si>
    <t>U.5.1.3</t>
  </si>
  <si>
    <t>U.5.1.4</t>
  </si>
  <si>
    <t>U.5.2</t>
  </si>
  <si>
    <t>U.5.2.1</t>
  </si>
  <si>
    <t>U.5.2.2</t>
  </si>
  <si>
    <t>U.5.2.3</t>
  </si>
  <si>
    <t>U.5.3</t>
  </si>
  <si>
    <t>U.5.3.1</t>
  </si>
  <si>
    <t>U.6</t>
  </si>
  <si>
    <t>U.6.1</t>
  </si>
  <si>
    <t>U.6.1.1</t>
  </si>
  <si>
    <t>U.6.1.2</t>
  </si>
  <si>
    <t>U.6.1.3</t>
  </si>
  <si>
    <t>U.6.2</t>
  </si>
  <si>
    <t>U.6.2.1</t>
  </si>
  <si>
    <t>U.6.2.2</t>
  </si>
  <si>
    <t>U.6.2.3</t>
  </si>
  <si>
    <t>U.6.2.4</t>
  </si>
  <si>
    <t>U.6.2.4.1</t>
  </si>
  <si>
    <t>U.6.2.4.2</t>
  </si>
  <si>
    <t>U.6.3</t>
  </si>
  <si>
    <t>U.6.4</t>
  </si>
  <si>
    <t>U.7</t>
  </si>
  <si>
    <t>U.7.1</t>
  </si>
  <si>
    <t>U.8</t>
  </si>
  <si>
    <t>U.8.1</t>
  </si>
  <si>
    <t>U.8.1.1</t>
  </si>
  <si>
    <t>U.8.1.1.1</t>
  </si>
  <si>
    <t>U.8.1.1.2</t>
  </si>
  <si>
    <t>U.8.1.1.3</t>
  </si>
  <si>
    <t>U.8.1.2</t>
  </si>
  <si>
    <t>U.8.1.2.1</t>
  </si>
  <si>
    <t>U.8.1.2.2</t>
  </si>
  <si>
    <t>U.8.1.2.3</t>
  </si>
  <si>
    <t>U.8.1.3</t>
  </si>
  <si>
    <t>U.8.1.3.1</t>
  </si>
  <si>
    <t>U.8.1.3.2</t>
  </si>
  <si>
    <t>U.8.1.3.3</t>
  </si>
  <si>
    <t>U.8.1.4</t>
  </si>
  <si>
    <t>U.8.1.4.1</t>
  </si>
  <si>
    <t>U.8.1.4.2</t>
  </si>
  <si>
    <t>U.8.1.4.3</t>
  </si>
  <si>
    <t>U.8.1.5</t>
  </si>
  <si>
    <t>U.8.1.5.1</t>
  </si>
  <si>
    <t>U.8.1.5.2</t>
  </si>
  <si>
    <t>U.8.1.5.3</t>
  </si>
  <si>
    <t>U.8.1.6</t>
  </si>
  <si>
    <t>U.8.1.6.1</t>
  </si>
  <si>
    <t>U.8.1.6.2</t>
  </si>
  <si>
    <t>U.8.1.6.3</t>
  </si>
  <si>
    <t>U.8.1.6.4</t>
  </si>
  <si>
    <t>U.8.1.6.5</t>
  </si>
  <si>
    <t>U.8.1.6.6</t>
  </si>
  <si>
    <t>U.8.1.6.7</t>
  </si>
  <si>
    <t>U.8.1.7</t>
  </si>
  <si>
    <t>U.8.1.7.1</t>
  </si>
  <si>
    <t>U.8.1.8</t>
  </si>
  <si>
    <t>U.8.1.8.1</t>
  </si>
  <si>
    <t>U.8.1.8.1.1</t>
  </si>
  <si>
    <t>U.8.1.8.1.2</t>
  </si>
  <si>
    <t>U.8.1.8.2</t>
  </si>
  <si>
    <t>U.8.1.8.2.1</t>
  </si>
  <si>
    <t>U.8.1.8.2.2</t>
  </si>
  <si>
    <t>U.8.1.8.3</t>
  </si>
  <si>
    <t>U.8.1.8.3.1</t>
  </si>
  <si>
    <t>U.8.1.8.3.2</t>
  </si>
  <si>
    <t>U.8.1.9</t>
  </si>
  <si>
    <t>U.8.1.9.1</t>
  </si>
  <si>
    <t>U.8.1.9.1.1</t>
  </si>
  <si>
    <t>U.8.1.9.1.2</t>
  </si>
  <si>
    <t>U.8.1.10</t>
  </si>
  <si>
    <t>U.8.1.10.1</t>
  </si>
  <si>
    <t>U.8.1.10.2</t>
  </si>
  <si>
    <t>U.8.2</t>
  </si>
  <si>
    <t>U.8.3</t>
  </si>
  <si>
    <t>U.8.4</t>
  </si>
  <si>
    <t>U.8.4.1</t>
  </si>
  <si>
    <t>U.9</t>
  </si>
  <si>
    <t>U.9.1</t>
  </si>
  <si>
    <t>U.9.1.1</t>
  </si>
  <si>
    <t>U.9.1.2</t>
  </si>
  <si>
    <t>U.9.2</t>
  </si>
  <si>
    <t>U.9.5</t>
  </si>
  <si>
    <t>U.9.5.7</t>
  </si>
  <si>
    <t>U.10</t>
  </si>
  <si>
    <t>U.10.1</t>
  </si>
  <si>
    <t>U.10.1.1</t>
  </si>
  <si>
    <t>U.10.1.2</t>
  </si>
  <si>
    <t>U.10.2</t>
  </si>
  <si>
    <t>U.10.2.1</t>
  </si>
  <si>
    <t>U.10.2.3</t>
  </si>
  <si>
    <t>U.10.3</t>
  </si>
  <si>
    <t>U.10.4</t>
  </si>
  <si>
    <t>U.11</t>
  </si>
  <si>
    <t>U.11.1</t>
  </si>
  <si>
    <t>U.11.2</t>
  </si>
  <si>
    <t>U.11.5</t>
  </si>
  <si>
    <t>U.12</t>
  </si>
  <si>
    <t>U.12.1</t>
  </si>
  <si>
    <t>U.13</t>
  </si>
  <si>
    <t>U.13.1</t>
  </si>
  <si>
    <t>U.13.1.1</t>
  </si>
  <si>
    <t>U.13.2</t>
  </si>
  <si>
    <t>U.13.2.1</t>
  </si>
  <si>
    <t>U.13.2.2</t>
  </si>
  <si>
    <t>U.13.3</t>
  </si>
  <si>
    <t>U.14</t>
  </si>
  <si>
    <t>U.14.1</t>
  </si>
  <si>
    <t>U.14.2</t>
  </si>
  <si>
    <t>U.14.2.1</t>
  </si>
  <si>
    <t>U.15</t>
  </si>
  <si>
    <t>U.15.1</t>
  </si>
  <si>
    <t>U.16</t>
  </si>
  <si>
    <t>U.16.1</t>
  </si>
  <si>
    <t>U.16.1.1</t>
  </si>
  <si>
    <t>U.16.2</t>
  </si>
  <si>
    <t>U.16.3</t>
  </si>
  <si>
    <t>U.16.4</t>
  </si>
  <si>
    <t>U.16.4.1</t>
  </si>
  <si>
    <t>U.17</t>
  </si>
  <si>
    <t>U.17.1</t>
  </si>
  <si>
    <t>U.18</t>
  </si>
  <si>
    <t>Total Budget Proposed 
(in Lakhs)</t>
  </si>
  <si>
    <t>Total Budget Approved
(in Lakhs)</t>
  </si>
  <si>
    <t>Total Budget Proposed
(in Lakhs)</t>
  </si>
  <si>
    <t>NHM</t>
  </si>
  <si>
    <t>NUHM</t>
  </si>
  <si>
    <t>U.6.5</t>
  </si>
  <si>
    <t>RMNCH+A Abstract</t>
  </si>
  <si>
    <t>3.1.2.8</t>
  </si>
  <si>
    <t>3.1.1.2.8</t>
  </si>
  <si>
    <t>3.1.1.4.8</t>
  </si>
  <si>
    <t>Incentive for NCDs</t>
  </si>
  <si>
    <t>3.1.1.6</t>
  </si>
  <si>
    <t>3.1.1.6.1</t>
  </si>
  <si>
    <t>Blood Cell</t>
  </si>
  <si>
    <t>Blood cell</t>
  </si>
  <si>
    <t>U.6.1.4</t>
  </si>
  <si>
    <t>FMR</t>
  </si>
  <si>
    <t>1.3.1.7</t>
  </si>
  <si>
    <t>1.1.7.6</t>
  </si>
  <si>
    <t>Provision of free medical and surgical care to survivors of gender based violence</t>
  </si>
  <si>
    <t>PHC level: Mobility, Miscellaneous &amp; Contingencies</t>
  </si>
  <si>
    <t>State lab: Meeting Costs/Office expenses/Contingency</t>
  </si>
  <si>
    <t>Model Treatment Centres</t>
  </si>
  <si>
    <t>Treatment Centres</t>
  </si>
  <si>
    <t>NVHCP</t>
  </si>
  <si>
    <t xml:space="preserve">Incentive to ASHA for quarterly visits under HBYC </t>
  </si>
  <si>
    <t>ASHA incentive for accompanying the client for Injectable MPA (Antara Prog) administration ( @Rs 100/dose/beneficiary)- Only for 146 Mission Parivar Vikas districts</t>
  </si>
  <si>
    <t>Trainings under HBYC</t>
  </si>
  <si>
    <t>A.3.7.3/ 3.1.1.2.8</t>
  </si>
  <si>
    <t>Equipment for Paediatric HDU, Emergency, OPD and Ward</t>
  </si>
  <si>
    <t>Drugs</t>
  </si>
  <si>
    <t>Drugs and supplies for NVHCP</t>
  </si>
  <si>
    <t>Kits</t>
  </si>
  <si>
    <t>Consumables for treatment sites (plasticware, RUP, evacuated vacuum tubes, waste disposal bags etc)</t>
  </si>
  <si>
    <t>6.2.23</t>
  </si>
  <si>
    <t>6.2.23.1</t>
  </si>
  <si>
    <t>6.2.23.2</t>
  </si>
  <si>
    <t>6.2.23.3</t>
  </si>
  <si>
    <t>6.2.23.4</t>
  </si>
  <si>
    <t>HRH&amp;HPIP/HSS</t>
  </si>
  <si>
    <t>Full time</t>
  </si>
  <si>
    <t>Part time</t>
  </si>
  <si>
    <t>HRH&amp;HPIP/CH</t>
  </si>
  <si>
    <t>Staff for SNCU/NBSU/Lactation Management Centres</t>
  </si>
  <si>
    <t>Staffs for CLMC at Medical colleges/ DHs</t>
  </si>
  <si>
    <t>Staff for LMU at DH/ SDH/ high caseload CHC</t>
  </si>
  <si>
    <t>HRH&amp;HPIP/NVHCP</t>
  </si>
  <si>
    <t>8.1.5.1</t>
  </si>
  <si>
    <t>8.1.5.2</t>
  </si>
  <si>
    <t xml:space="preserve">Training of master trainers at State, district and block level </t>
  </si>
  <si>
    <t>Training of district Appropriate Authorities and district PNDT Nodal Officers</t>
  </si>
  <si>
    <t>Training of Medical officers conducting pre-natal diagnostic procedures in public health facilities</t>
  </si>
  <si>
    <t>Training of Public prosecutors</t>
  </si>
  <si>
    <t>Trainings for NVHCP</t>
  </si>
  <si>
    <t>3 day training of Medical Officer of the Model Treatment Centre  (15 Medical officers in each batch)</t>
  </si>
  <si>
    <t>5 day training of the lab technicians (15 Lab Technicians in each batch)</t>
  </si>
  <si>
    <t xml:space="preserve">1 day training of Peer support of the Treatment sites (MTC/TCs) </t>
  </si>
  <si>
    <t xml:space="preserve">1 day training of pharmacist of the Treatment sites (MTC/TCs) </t>
  </si>
  <si>
    <t xml:space="preserve">1 day training of DEO of the Treatment sites (MTC/TCs) </t>
  </si>
  <si>
    <t>9.5.2.24</t>
  </si>
  <si>
    <t>9.5.21.3</t>
  </si>
  <si>
    <t>9.5.21.4</t>
  </si>
  <si>
    <t>9.5.29.1</t>
  </si>
  <si>
    <t>9.5.29.2</t>
  </si>
  <si>
    <t>9.5.29.3</t>
  </si>
  <si>
    <t>9.5.29.4</t>
  </si>
  <si>
    <t>9.5.29.5</t>
  </si>
  <si>
    <t>9.5.29.6</t>
  </si>
  <si>
    <t>9.5.29.7</t>
  </si>
  <si>
    <t>Printing for IMNCI, FIMNCI, FBNC, NBSU training packages and the translation</t>
  </si>
  <si>
    <t>Printing for Micronutrient Supplementation Programme including IEC materials, reporting formats, guidelines / training materials etc. (For AMB and Vitamin A supplementation programmes)</t>
  </si>
  <si>
    <t>Printing cost for HBYC</t>
  </si>
  <si>
    <t>Printing of training material</t>
  </si>
  <si>
    <t>Printing of PC&amp;PNDT Act and Rules</t>
  </si>
  <si>
    <t>12.2.13</t>
  </si>
  <si>
    <t>16.1.1</t>
  </si>
  <si>
    <t>16.1.1.1</t>
  </si>
  <si>
    <t>16.1.1.1.1</t>
  </si>
  <si>
    <t>16.1.1.1.2</t>
  </si>
  <si>
    <t>16.1.1.2</t>
  </si>
  <si>
    <t>16.1.1.1.3</t>
  </si>
  <si>
    <t>16.1.1.3</t>
  </si>
  <si>
    <t>16.1.2</t>
  </si>
  <si>
    <t>16.1.3</t>
  </si>
  <si>
    <t>16.1.1.4</t>
  </si>
  <si>
    <t>16.1.4</t>
  </si>
  <si>
    <t>16.1.1.5</t>
  </si>
  <si>
    <t>16.1.5</t>
  </si>
  <si>
    <t>16.1.1.6</t>
  </si>
  <si>
    <t>16.1.6</t>
  </si>
  <si>
    <t>16.1.1.7</t>
  </si>
  <si>
    <t>16.1.7</t>
  </si>
  <si>
    <t>16.1.1.8</t>
  </si>
  <si>
    <t>16.1.8</t>
  </si>
  <si>
    <t>16.1.1.9</t>
  </si>
  <si>
    <t>16.1.9</t>
  </si>
  <si>
    <t>16.1.2.1</t>
  </si>
  <si>
    <t>16.2.1</t>
  </si>
  <si>
    <t>16.1.2.1.1</t>
  </si>
  <si>
    <t>16.2.1.1</t>
  </si>
  <si>
    <t>16.1.2.1.2</t>
  </si>
  <si>
    <t>16.2.1.2</t>
  </si>
  <si>
    <t>16.1.2.1.3</t>
  </si>
  <si>
    <t>16.2.1.3</t>
  </si>
  <si>
    <t>16.1.2.1.4</t>
  </si>
  <si>
    <t>16.2.1.4</t>
  </si>
  <si>
    <t>16.1.2.1.5</t>
  </si>
  <si>
    <t>16.2.1.5</t>
  </si>
  <si>
    <t>16.1.2.1.6</t>
  </si>
  <si>
    <t>16.2.1.6</t>
  </si>
  <si>
    <t>16.1.2.1.7</t>
  </si>
  <si>
    <t>16.2.1.7</t>
  </si>
  <si>
    <t>16.1.2.1.8</t>
  </si>
  <si>
    <t>16.2.1.8</t>
  </si>
  <si>
    <t>16.1.2.1.9</t>
  </si>
  <si>
    <t>16.2.1.9</t>
  </si>
  <si>
    <t>16.1.2.1.10</t>
  </si>
  <si>
    <t>16.2.1.10</t>
  </si>
  <si>
    <t>16.1.2.1.11</t>
  </si>
  <si>
    <t>16.2.1.11</t>
  </si>
  <si>
    <t>16.1.2.1.12</t>
  </si>
  <si>
    <t>16.2.1.12</t>
  </si>
  <si>
    <t>16.1.2.1.13</t>
  </si>
  <si>
    <t>16.2.1.13</t>
  </si>
  <si>
    <t>16.1.2.1.14</t>
  </si>
  <si>
    <t>16.2.1.14</t>
  </si>
  <si>
    <t>16.1.2.1.15</t>
  </si>
  <si>
    <t>16.2.1.15</t>
  </si>
  <si>
    <t>16.1.2.1.16</t>
  </si>
  <si>
    <t>16.2.1.16</t>
  </si>
  <si>
    <t>16.1.2.1.17</t>
  </si>
  <si>
    <t>16.2.1.17</t>
  </si>
  <si>
    <t>16.1.2.1.18</t>
  </si>
  <si>
    <t>16.2.1.18</t>
  </si>
  <si>
    <t>16.1.2.1.19</t>
  </si>
  <si>
    <t>16.2.1.19</t>
  </si>
  <si>
    <t>16.1.2.1.20</t>
  </si>
  <si>
    <t>16.2.1.20</t>
  </si>
  <si>
    <t>16.1.2.1.21</t>
  </si>
  <si>
    <t>16.2.1.21</t>
  </si>
  <si>
    <t>16.1.2.2</t>
  </si>
  <si>
    <t>16.2.2</t>
  </si>
  <si>
    <t>16.1.2.2.1</t>
  </si>
  <si>
    <t>16.2.2.1</t>
  </si>
  <si>
    <t>16.1.2.2.2</t>
  </si>
  <si>
    <t>16.2.2.2</t>
  </si>
  <si>
    <t>16.1.2.2.3</t>
  </si>
  <si>
    <t>16.2.2.3</t>
  </si>
  <si>
    <t>16.1.2.2.4</t>
  </si>
  <si>
    <t>16.2.2.4</t>
  </si>
  <si>
    <t>16.1.2.2.5</t>
  </si>
  <si>
    <t>16.1.2.2.6</t>
  </si>
  <si>
    <t>16.2.2.6</t>
  </si>
  <si>
    <t>16.1.2.2.7</t>
  </si>
  <si>
    <t>16.2.2.7</t>
  </si>
  <si>
    <t>16.1.2.2.8</t>
  </si>
  <si>
    <t>16.2.2.8</t>
  </si>
  <si>
    <t>16.1.2.2.9</t>
  </si>
  <si>
    <t>16.2.2.9</t>
  </si>
  <si>
    <t>16.1.2.2.10</t>
  </si>
  <si>
    <t>16.2.2.10</t>
  </si>
  <si>
    <t>16.1.2.2.11</t>
  </si>
  <si>
    <t>16.2.2.11</t>
  </si>
  <si>
    <t>16.1.2.2.12</t>
  </si>
  <si>
    <t>16.2.2.12</t>
  </si>
  <si>
    <t>16.1.2.2.13</t>
  </si>
  <si>
    <t>16.2.2.13</t>
  </si>
  <si>
    <t>16.2.2.14</t>
  </si>
  <si>
    <t>16.1.2.2.15</t>
  </si>
  <si>
    <t>16.1.2.2.16</t>
  </si>
  <si>
    <t>16.2.2.16</t>
  </si>
  <si>
    <t>16.1.3.1</t>
  </si>
  <si>
    <t>16.3.1</t>
  </si>
  <si>
    <t>16.1.3.1.1</t>
  </si>
  <si>
    <t>16.3.1.1</t>
  </si>
  <si>
    <t>16.1.3.1.2</t>
  </si>
  <si>
    <t>16.3.1.2</t>
  </si>
  <si>
    <t>16.1.3.1.3</t>
  </si>
  <si>
    <t>16.3.1.3</t>
  </si>
  <si>
    <t>16.1.3.1.4</t>
  </si>
  <si>
    <t>16.3.1.4</t>
  </si>
  <si>
    <t>16.1.3.1.5</t>
  </si>
  <si>
    <t>16.3.1.5</t>
  </si>
  <si>
    <t>16.1.3.1.6</t>
  </si>
  <si>
    <t>16.3.1.6</t>
  </si>
  <si>
    <t>16.1.3.1.7</t>
  </si>
  <si>
    <t>16.3.1.7</t>
  </si>
  <si>
    <t>16.1.3.1.8</t>
  </si>
  <si>
    <t>16.3.1.8</t>
  </si>
  <si>
    <t>16.1.3.1.9</t>
  </si>
  <si>
    <t>16.3.1.9</t>
  </si>
  <si>
    <t>16.1.3.1.10</t>
  </si>
  <si>
    <t>16.3.1.10</t>
  </si>
  <si>
    <t>16.1.3.1.11</t>
  </si>
  <si>
    <t>16.3.1.11</t>
  </si>
  <si>
    <t>16.1.3.1.12</t>
  </si>
  <si>
    <t>16.3.1.12</t>
  </si>
  <si>
    <t>16.1.3.1.13</t>
  </si>
  <si>
    <t>16.3.1.13</t>
  </si>
  <si>
    <t>16.1.3.1.14</t>
  </si>
  <si>
    <t>16.3.1.14</t>
  </si>
  <si>
    <t>16.1.3.1.16</t>
  </si>
  <si>
    <t>16.1.3.1.17</t>
  </si>
  <si>
    <t>16.3.1.16</t>
  </si>
  <si>
    <t>16.1.3.1.18</t>
  </si>
  <si>
    <t>16.3.1.17</t>
  </si>
  <si>
    <t>16.1.3.1.19</t>
  </si>
  <si>
    <t>16.3.1.18</t>
  </si>
  <si>
    <t>16.3.1.19</t>
  </si>
  <si>
    <t>16.3.1.20</t>
  </si>
  <si>
    <t>16.1.3.2</t>
  </si>
  <si>
    <t>16.3.2</t>
  </si>
  <si>
    <t>16.1.3.2.1</t>
  </si>
  <si>
    <t>16.3.2.1</t>
  </si>
  <si>
    <t>16.1.3.2.2</t>
  </si>
  <si>
    <t>16.3.2.2</t>
  </si>
  <si>
    <t>16.1.3.3</t>
  </si>
  <si>
    <t>16.3.3</t>
  </si>
  <si>
    <t>16.1.3.3.1</t>
  </si>
  <si>
    <t>16.3.3.1</t>
  </si>
  <si>
    <t>16.1.3.3.2</t>
  </si>
  <si>
    <t>16.3.3.2</t>
  </si>
  <si>
    <t>16.1.3.3.3</t>
  </si>
  <si>
    <t>16.3.3.3</t>
  </si>
  <si>
    <t>16.1.3.3.4</t>
  </si>
  <si>
    <t>16.3.3.4</t>
  </si>
  <si>
    <t>16.1.3.3.5</t>
  </si>
  <si>
    <t>16.3.3.5</t>
  </si>
  <si>
    <t>16.1.3.3.6</t>
  </si>
  <si>
    <t>16.3.3.6</t>
  </si>
  <si>
    <t>16.1.3.3.7</t>
  </si>
  <si>
    <t>16.3.3.7</t>
  </si>
  <si>
    <t>16.1.3.3.8</t>
  </si>
  <si>
    <t>16.3.3.8</t>
  </si>
  <si>
    <t>16.1.3.3.9</t>
  </si>
  <si>
    <t>16.3.3.9</t>
  </si>
  <si>
    <t>16.1.3.3.10</t>
  </si>
  <si>
    <t>16.3.3.10</t>
  </si>
  <si>
    <t>16.1.3.3.11</t>
  </si>
  <si>
    <t>16.3.3.11</t>
  </si>
  <si>
    <t>16.1.3.3.12</t>
  </si>
  <si>
    <t>16.3.3.12</t>
  </si>
  <si>
    <t>16.1.3.3.13</t>
  </si>
  <si>
    <t>16.3.3.13</t>
  </si>
  <si>
    <t>16.1.3.3.14</t>
  </si>
  <si>
    <t>16.3.3.14</t>
  </si>
  <si>
    <t>16.1.3.3.16</t>
  </si>
  <si>
    <t>16.3.3.16</t>
  </si>
  <si>
    <t>16.3.3.17</t>
  </si>
  <si>
    <t>16.1.3.4</t>
  </si>
  <si>
    <t>16.3.4</t>
  </si>
  <si>
    <t>16.1.3.4.1</t>
  </si>
  <si>
    <t>16.3.4.1</t>
  </si>
  <si>
    <t>16.1.3.4.2</t>
  </si>
  <si>
    <t>16.3.4.2</t>
  </si>
  <si>
    <t>16.1.3.4.3</t>
  </si>
  <si>
    <t>16.3.4.3</t>
  </si>
  <si>
    <t>16.1.3.4.4</t>
  </si>
  <si>
    <t>16.3.4.4</t>
  </si>
  <si>
    <t>16.1.3.4.5</t>
  </si>
  <si>
    <t>16.3.4.5</t>
  </si>
  <si>
    <t>16.1.3.5</t>
  </si>
  <si>
    <t>16.3.5</t>
  </si>
  <si>
    <t>16.1.3.5.1</t>
  </si>
  <si>
    <t>16.3.5.1</t>
  </si>
  <si>
    <t>16.1.4.1</t>
  </si>
  <si>
    <t>16.4.1</t>
  </si>
  <si>
    <t>16.1.4.1.1</t>
  </si>
  <si>
    <t>16.4.1.1</t>
  </si>
  <si>
    <t>16.1.4.1.2</t>
  </si>
  <si>
    <t>16.4.1.2</t>
  </si>
  <si>
    <t>16.1.4.1.3</t>
  </si>
  <si>
    <t>16.4.1.3</t>
  </si>
  <si>
    <t>16.1.4.1.4</t>
  </si>
  <si>
    <t>16.4.1.4</t>
  </si>
  <si>
    <t>16.1.4.1.5</t>
  </si>
  <si>
    <t>16.4.1.5</t>
  </si>
  <si>
    <t>16.1.4.1.6</t>
  </si>
  <si>
    <t>16.4.1.6</t>
  </si>
  <si>
    <t>16.1.4.1.7</t>
  </si>
  <si>
    <t>16.4.1.7</t>
  </si>
  <si>
    <t>16.1.4.1.8</t>
  </si>
  <si>
    <t>16.4.1.8</t>
  </si>
  <si>
    <t>16.1.4.1.9</t>
  </si>
  <si>
    <t>16.4.1.9</t>
  </si>
  <si>
    <t>16.1.4.1.10</t>
  </si>
  <si>
    <t>16.4.1.10</t>
  </si>
  <si>
    <t>16.1.4.1.11</t>
  </si>
  <si>
    <t>16.4.1.11</t>
  </si>
  <si>
    <t>16.1.4.1.12</t>
  </si>
  <si>
    <t>16.4.1.12</t>
  </si>
  <si>
    <t>16.1.4.1.13</t>
  </si>
  <si>
    <t>16.4.1.13</t>
  </si>
  <si>
    <t>16.1.4.1.14</t>
  </si>
  <si>
    <t>16.1.4.2</t>
  </si>
  <si>
    <t>16.4.2</t>
  </si>
  <si>
    <t>16.1.4.2.1</t>
  </si>
  <si>
    <t>16.4.2.1</t>
  </si>
  <si>
    <t>16.1.4.2.2</t>
  </si>
  <si>
    <t>16.4.2.2</t>
  </si>
  <si>
    <t>16.1.4.2.3</t>
  </si>
  <si>
    <t>16.4.2.3</t>
  </si>
  <si>
    <t>16.1.4.2.4</t>
  </si>
  <si>
    <t>16.4.2.4</t>
  </si>
  <si>
    <t>16.1.4.2.5</t>
  </si>
  <si>
    <t>16.4.2.5</t>
  </si>
  <si>
    <t>16.1.4.2.6</t>
  </si>
  <si>
    <t>16.4.2.6</t>
  </si>
  <si>
    <t>16.1.4.2.7</t>
  </si>
  <si>
    <t>16.4.2.7</t>
  </si>
  <si>
    <t>16.1.4.2.8</t>
  </si>
  <si>
    <t>16.4.2.8</t>
  </si>
  <si>
    <t>16.1.4.2.9</t>
  </si>
  <si>
    <t>16.4.2.9</t>
  </si>
  <si>
    <t>16.1.4.3</t>
  </si>
  <si>
    <t>16.4.3</t>
  </si>
  <si>
    <t>16.1.4.3.1</t>
  </si>
  <si>
    <t>16.4.3.1</t>
  </si>
  <si>
    <t>16.1.5.1</t>
  </si>
  <si>
    <t>16.7.1</t>
  </si>
  <si>
    <t>16.1.5.1.1</t>
  </si>
  <si>
    <t>16.7.1.1</t>
  </si>
  <si>
    <t>16.1.5.1.2</t>
  </si>
  <si>
    <t>16.7.1.2</t>
  </si>
  <si>
    <t>16.1.5.1.3</t>
  </si>
  <si>
    <t>16.7.1.3</t>
  </si>
  <si>
    <t>16.1.5.2</t>
  </si>
  <si>
    <t>16.7.2</t>
  </si>
  <si>
    <t>16.1.5.2.1</t>
  </si>
  <si>
    <t>16.7.2.1</t>
  </si>
  <si>
    <t>16.1.5.2.2</t>
  </si>
  <si>
    <t>16.7.2.2</t>
  </si>
  <si>
    <t>16.1.5.2.3</t>
  </si>
  <si>
    <t>16.7.2.3</t>
  </si>
  <si>
    <t>16.1.5.2.4</t>
  </si>
  <si>
    <t>16.7.2.4</t>
  </si>
  <si>
    <t>16.1.5.2.5</t>
  </si>
  <si>
    <t>16.7.2.5</t>
  </si>
  <si>
    <t>16.1.5.2.6</t>
  </si>
  <si>
    <t>16.7.2.6</t>
  </si>
  <si>
    <t>16.1.5.2.7</t>
  </si>
  <si>
    <t>16.7.2.7</t>
  </si>
  <si>
    <t>16.1.5.3</t>
  </si>
  <si>
    <t>16.7.3</t>
  </si>
  <si>
    <t>16.1.5.3.1</t>
  </si>
  <si>
    <t>16.7.3.1</t>
  </si>
  <si>
    <t>16.1.5.3.2</t>
  </si>
  <si>
    <t>16.7.3.2</t>
  </si>
  <si>
    <t>16.1.5.3.3</t>
  </si>
  <si>
    <t>16.7.3.3</t>
  </si>
  <si>
    <t>16.1.5.3.4</t>
  </si>
  <si>
    <t>16.7.3.4</t>
  </si>
  <si>
    <t>16.1.5.3.7</t>
  </si>
  <si>
    <t>16.7.3.7</t>
  </si>
  <si>
    <t>16.1.5.3.8</t>
  </si>
  <si>
    <t>16.7.3.8</t>
  </si>
  <si>
    <t>16.1.5.3.9</t>
  </si>
  <si>
    <t>16.7.3.9</t>
  </si>
  <si>
    <t>16.1.5.3.10</t>
  </si>
  <si>
    <t>16.7.3.12</t>
  </si>
  <si>
    <t>16.1.5.3.13</t>
  </si>
  <si>
    <t>16.7.3.13</t>
  </si>
  <si>
    <t>16.1.5.3.14</t>
  </si>
  <si>
    <t>16.7.3.14</t>
  </si>
  <si>
    <t>16.1.5.3.15</t>
  </si>
  <si>
    <t>16.7.3.15</t>
  </si>
  <si>
    <t>16.7.3.16</t>
  </si>
  <si>
    <t>16.7.3.17</t>
  </si>
  <si>
    <t>SVHMU: Meeting Costs/Office expenses/Contingency</t>
  </si>
  <si>
    <t>SVHMU: Cost of travel for supervision and monitoring</t>
  </si>
  <si>
    <t>HRH&amp;HPIP/RBSK</t>
  </si>
  <si>
    <t>HRH&amp;HPIP/RCH</t>
  </si>
  <si>
    <t>HRH&amp;HPIP/RI</t>
  </si>
  <si>
    <t>HRH&amp;HPIP/NMHP</t>
  </si>
  <si>
    <t>Review/orientation meetings for child health programmes</t>
  </si>
  <si>
    <t>HRH&amp;HPIP/FP</t>
  </si>
  <si>
    <t>HRH&amp;HPIP/AH</t>
  </si>
  <si>
    <t>HRH&amp;HPIP/NHSRC-CP</t>
  </si>
  <si>
    <t>HRH&amp;HPIP/IDSP</t>
  </si>
  <si>
    <t>HRH&amp;HPIP/NVBDCP</t>
  </si>
  <si>
    <t>HRH&amp;HPIP/NLEP</t>
  </si>
  <si>
    <t>HRH&amp;HPIP/NTCP</t>
  </si>
  <si>
    <t>HRH&amp;HPIP/HSS/IEC</t>
  </si>
  <si>
    <t>HRH&amp;HPIP/NPCDCS</t>
  </si>
  <si>
    <t>HRH&amp;HPIP</t>
  </si>
  <si>
    <t>HRH&amp;HPIP/MH</t>
  </si>
  <si>
    <t>HRH&amp;HPIP/NHSRC-QA</t>
  </si>
  <si>
    <t>Facility/Block</t>
  </si>
  <si>
    <t>HRH&amp;HPIP/Blood cell</t>
  </si>
  <si>
    <t>SVHMU: Non-recurring Equipment- (computer, printer photocopier scanner etc)</t>
  </si>
  <si>
    <t>HRH&amp;HPIP/IEC</t>
  </si>
  <si>
    <t>HRH&amp;HPIP/NPCB</t>
  </si>
  <si>
    <t>Programme Management Activities (as per PM sub annex)</t>
  </si>
  <si>
    <t>16.2.3</t>
  </si>
  <si>
    <t>Others (decoy operations, Mapping or surveys of ultrasound  machines etc )</t>
  </si>
  <si>
    <t>16.4.1.3.1</t>
  </si>
  <si>
    <t>16.4.1.3.2</t>
  </si>
  <si>
    <t>16.4.1.3.3</t>
  </si>
  <si>
    <t>16.4.1.3.4</t>
  </si>
  <si>
    <t>16.4.1.3.5</t>
  </si>
  <si>
    <t>16.4.1.3.6</t>
  </si>
  <si>
    <t>16.4.1.3.7</t>
  </si>
  <si>
    <t>16.4.1.3.8</t>
  </si>
  <si>
    <t>16.4.1.3.9</t>
  </si>
  <si>
    <t>16.4.1.3.10</t>
  </si>
  <si>
    <t>16.4.1.3.11</t>
  </si>
  <si>
    <t>16.4.1.3.12</t>
  </si>
  <si>
    <t>16.4.1.4.1</t>
  </si>
  <si>
    <t>16.4.1.4.2</t>
  </si>
  <si>
    <t>16.4.1.4.3</t>
  </si>
  <si>
    <t>16.4.1.4.4</t>
  </si>
  <si>
    <t>16.4.1.4.5</t>
  </si>
  <si>
    <t>16.4.1.4.6</t>
  </si>
  <si>
    <t>16.4.1.4.7</t>
  </si>
  <si>
    <t>16.4.1.4.8</t>
  </si>
  <si>
    <t>16.4.1.4.9</t>
  </si>
  <si>
    <t>16.4.1.4.10</t>
  </si>
  <si>
    <t>16.4.1.4.11</t>
  </si>
  <si>
    <t>16.4.1.5.1</t>
  </si>
  <si>
    <t>16.4.1.5.2</t>
  </si>
  <si>
    <t>16.4.1.5.3</t>
  </si>
  <si>
    <t>16.4.1.5.4</t>
  </si>
  <si>
    <t>16.4.1.5.5</t>
  </si>
  <si>
    <t>16.4.1.5.6</t>
  </si>
  <si>
    <t>16.4.1.5.7</t>
  </si>
  <si>
    <t>16.4.1.5.8</t>
  </si>
  <si>
    <t>16.4.1.5.9</t>
  </si>
  <si>
    <t>16.4.1.5.10</t>
  </si>
  <si>
    <t>16.4.1.5.11</t>
  </si>
  <si>
    <t>16.4.2.1.1</t>
  </si>
  <si>
    <t>16.4.2.1.2</t>
  </si>
  <si>
    <t>16.4.2.1.3</t>
  </si>
  <si>
    <t>16.4.2.1.4</t>
  </si>
  <si>
    <t>16.4.2.1.5</t>
  </si>
  <si>
    <t>16.4.2.1.6</t>
  </si>
  <si>
    <t>16.4.2.1.7</t>
  </si>
  <si>
    <t>16.4.2.1.8</t>
  </si>
  <si>
    <t>16.4.2.1.9</t>
  </si>
  <si>
    <t>16.4.2.1.10</t>
  </si>
  <si>
    <t>16.4.2.1.11</t>
  </si>
  <si>
    <t>16.4.2.2.1</t>
  </si>
  <si>
    <t>16.4.2.2.2</t>
  </si>
  <si>
    <t>16.4.2.2.3</t>
  </si>
  <si>
    <t>16.4.2.2.4</t>
  </si>
  <si>
    <t>16.4.2.2.5</t>
  </si>
  <si>
    <t>16.4.2.2.6</t>
  </si>
  <si>
    <t>16.4.2.2.7</t>
  </si>
  <si>
    <t>16.4.2.2.8</t>
  </si>
  <si>
    <t>16.4.2.2.9</t>
  </si>
  <si>
    <t>16.4.2.2.10</t>
  </si>
  <si>
    <t>16.4.2.2.11</t>
  </si>
  <si>
    <t>16.4.2.3.1</t>
  </si>
  <si>
    <t>16.4.2.3.2</t>
  </si>
  <si>
    <t>16.4.2.3.3</t>
  </si>
  <si>
    <t>16.4.2.3.4</t>
  </si>
  <si>
    <t>16.4.2.3.5</t>
  </si>
  <si>
    <t>16.4.2.3.6</t>
  </si>
  <si>
    <t>16.4.2.3.7</t>
  </si>
  <si>
    <t>16.4.2.3.8</t>
  </si>
  <si>
    <t>16.4.2.3.9</t>
  </si>
  <si>
    <t>16.4.2.3.10</t>
  </si>
  <si>
    <t>16.4.2.3.11</t>
  </si>
  <si>
    <t>16.4.3.1.1</t>
  </si>
  <si>
    <t>16.4.3.1.2</t>
  </si>
  <si>
    <t>16.4.3.1.3</t>
  </si>
  <si>
    <t>16.4.3.1.4</t>
  </si>
  <si>
    <t>16.4.3.1.5</t>
  </si>
  <si>
    <t>16.4.3.1.6</t>
  </si>
  <si>
    <t>16.4.3.1.7</t>
  </si>
  <si>
    <t>16.4.3.1.8</t>
  </si>
  <si>
    <t>16.4.3.1.9</t>
  </si>
  <si>
    <t>16.4.3.1.10</t>
  </si>
  <si>
    <t>16.4.3.1.11</t>
  </si>
  <si>
    <t>16.4.3.2</t>
  </si>
  <si>
    <t>16.4.3.2.1</t>
  </si>
  <si>
    <t>16.4.3.2.2</t>
  </si>
  <si>
    <t>16.4.3.2.3</t>
  </si>
  <si>
    <t>16.4.3.2.4</t>
  </si>
  <si>
    <t>16.4.3.2.5</t>
  </si>
  <si>
    <t>16.4.3.2.6</t>
  </si>
  <si>
    <t>16.4.3.2.7</t>
  </si>
  <si>
    <t>16.4.3.2.8</t>
  </si>
  <si>
    <t>16.4.3.2.9</t>
  </si>
  <si>
    <t>16.4.3.2.10</t>
  </si>
  <si>
    <t>16.4.3.2.11</t>
  </si>
  <si>
    <t>16.4.3.3</t>
  </si>
  <si>
    <t>16.4.3.3.1</t>
  </si>
  <si>
    <t>16.4.3.3.2</t>
  </si>
  <si>
    <t>16.4.3.3.3</t>
  </si>
  <si>
    <t>16.4.3.3.4</t>
  </si>
  <si>
    <t>16.4.3.3.5</t>
  </si>
  <si>
    <t>16.4.3.3.6</t>
  </si>
  <si>
    <t>16.4.3.3.7</t>
  </si>
  <si>
    <t>16.4.3.3.8</t>
  </si>
  <si>
    <t>16.4.3.3.9</t>
  </si>
  <si>
    <t>16.4.3.3.10</t>
  </si>
  <si>
    <t>16.4.3.3.11</t>
  </si>
  <si>
    <t>16.4.4</t>
  </si>
  <si>
    <t>16.4.5</t>
  </si>
  <si>
    <t>1.3.1.14</t>
  </si>
  <si>
    <t>1.3.1.15</t>
  </si>
  <si>
    <t>1.3.1.16</t>
  </si>
  <si>
    <t>1.3.1.17</t>
  </si>
  <si>
    <t>1.3.1.17.1</t>
  </si>
  <si>
    <t>1.3.1.17.2</t>
  </si>
  <si>
    <t>1.3.1.18</t>
  </si>
  <si>
    <t>1.3.1.19</t>
  </si>
  <si>
    <t>3.1.2.9</t>
  </si>
  <si>
    <t>3.1.1.2.9</t>
  </si>
  <si>
    <t>12.18.1</t>
  </si>
  <si>
    <t>12.18.2</t>
  </si>
  <si>
    <t>3.1.1.6.3</t>
  </si>
  <si>
    <t>8.1.9.5</t>
  </si>
  <si>
    <t>8.1.9.6</t>
  </si>
  <si>
    <t>NHSRC - HCT</t>
  </si>
  <si>
    <t>HSS/ NHSRC -HCT</t>
  </si>
  <si>
    <t>9.5.1.26</t>
  </si>
  <si>
    <t>Travel Cost of State Midwifery Educators: State to National Institute</t>
  </si>
  <si>
    <t xml:space="preserve">Training of Nurse Practitioners in Midwifery </t>
  </si>
  <si>
    <t>9.5.1.27</t>
  </si>
  <si>
    <t>16.1.2.1.23</t>
  </si>
  <si>
    <t>16.2.1.23</t>
  </si>
  <si>
    <t>9.2.4</t>
  </si>
  <si>
    <t>State level Midwifery Educators</t>
  </si>
  <si>
    <t>Monitoring &amp; Evaluation under MVCR</t>
  </si>
  <si>
    <t>Logistic for Entomological Lab Strengthening and others under MVCR</t>
  </si>
  <si>
    <t>9.5.12.8</t>
  </si>
  <si>
    <t>Training under MVCR</t>
  </si>
  <si>
    <t>11.15.8</t>
  </si>
  <si>
    <t>IEC/ BCC activities under MVCR</t>
  </si>
  <si>
    <t>1.1.7.8</t>
  </si>
  <si>
    <t>Patient requiring Blood Transfusion: 1) Patients with blood disorders 2) Patients in Trauma 3) Other requiring blood transfusion</t>
  </si>
  <si>
    <t>IEC/BCC activities under Blood Services</t>
  </si>
  <si>
    <t>IEC/BCC activities under Blood Disorders</t>
  </si>
  <si>
    <t>Hemo-Dialysis Services under PMNDP</t>
  </si>
  <si>
    <t>Peritoneal Dialysis Services under PMNDP</t>
  </si>
  <si>
    <t>1.1.6.5.1</t>
  </si>
  <si>
    <t>1.1.6.5.2</t>
  </si>
  <si>
    <t>14.1.1.4</t>
  </si>
  <si>
    <t>14.1.1.5</t>
  </si>
  <si>
    <t>Mobility support for SPMU</t>
  </si>
  <si>
    <t>Mobility support for DPMU</t>
  </si>
  <si>
    <t>Administrative expenses (including Review meetings, workshops,  etc.) for SPMU</t>
  </si>
  <si>
    <t>Administrative expenses (including Review meetings, workshops,  etc.) for DPMU</t>
  </si>
  <si>
    <t>U.16.4.2</t>
  </si>
  <si>
    <t>U.16.4.3</t>
  </si>
  <si>
    <t>U.16.4.4</t>
  </si>
  <si>
    <t xml:space="preserve">Office Operational Cost </t>
  </si>
  <si>
    <t>Abstract for NVHCP</t>
  </si>
  <si>
    <t>1.3.1.18.1</t>
  </si>
  <si>
    <t>1.3.1.18.2</t>
  </si>
  <si>
    <t>Annexures</t>
  </si>
  <si>
    <t>Abstracts</t>
  </si>
  <si>
    <t>Blood Services &amp; Disorders</t>
  </si>
  <si>
    <t>RMNCH+A</t>
  </si>
  <si>
    <t>AYUSH</t>
  </si>
  <si>
    <t>ASHA</t>
  </si>
  <si>
    <t>NUHM: Non Metro</t>
  </si>
  <si>
    <t>NUHM: Metro</t>
  </si>
  <si>
    <r>
      <rPr>
        <b/>
        <sz val="10"/>
        <rFont val="Arial"/>
        <family val="2"/>
      </rPr>
      <t xml:space="preserve">FMR 1: </t>
    </r>
    <r>
      <rPr>
        <sz val="10"/>
        <rFont val="Arial"/>
        <family val="2"/>
      </rPr>
      <t>Service Delivery: Facility Based</t>
    </r>
  </si>
  <si>
    <r>
      <rPr>
        <b/>
        <sz val="10"/>
        <rFont val="Arial"/>
        <family val="2"/>
      </rPr>
      <t xml:space="preserve">FMR 2: </t>
    </r>
    <r>
      <rPr>
        <sz val="10"/>
        <rFont val="Arial"/>
        <family val="2"/>
      </rPr>
      <t>Service Delivery: Community Based</t>
    </r>
  </si>
  <si>
    <r>
      <rPr>
        <b/>
        <sz val="10"/>
        <rFont val="Arial"/>
        <family val="2"/>
      </rPr>
      <t xml:space="preserve">FMR 3: </t>
    </r>
    <r>
      <rPr>
        <sz val="10"/>
        <rFont val="Arial"/>
        <family val="2"/>
      </rPr>
      <t>Community Intervention</t>
    </r>
  </si>
  <si>
    <r>
      <rPr>
        <b/>
        <sz val="10"/>
        <rFont val="Arial"/>
        <family val="2"/>
      </rPr>
      <t xml:space="preserve">FMR 4: </t>
    </r>
    <r>
      <rPr>
        <sz val="10"/>
        <rFont val="Arial"/>
        <family val="2"/>
      </rPr>
      <t>Untied grants</t>
    </r>
  </si>
  <si>
    <r>
      <rPr>
        <b/>
        <sz val="10"/>
        <rFont val="Arial"/>
        <family val="2"/>
      </rPr>
      <t xml:space="preserve">FMR 5: </t>
    </r>
    <r>
      <rPr>
        <sz val="10"/>
        <rFont val="Arial"/>
        <family val="2"/>
      </rPr>
      <t>Infrastructure</t>
    </r>
  </si>
  <si>
    <r>
      <rPr>
        <b/>
        <sz val="10"/>
        <rFont val="Arial"/>
        <family val="2"/>
      </rPr>
      <t xml:space="preserve">FMR 6: </t>
    </r>
    <r>
      <rPr>
        <sz val="10"/>
        <rFont val="Arial"/>
        <family val="2"/>
      </rPr>
      <t>Procurement</t>
    </r>
  </si>
  <si>
    <r>
      <rPr>
        <b/>
        <sz val="10"/>
        <rFont val="Arial"/>
        <family val="2"/>
      </rPr>
      <t xml:space="preserve">FMR 7: </t>
    </r>
    <r>
      <rPr>
        <sz val="10"/>
        <rFont val="Arial"/>
        <family val="2"/>
      </rPr>
      <t>Referral Transport</t>
    </r>
  </si>
  <si>
    <r>
      <rPr>
        <b/>
        <sz val="10"/>
        <rFont val="Arial"/>
        <family val="2"/>
      </rPr>
      <t xml:space="preserve">FMR 8: </t>
    </r>
    <r>
      <rPr>
        <sz val="10"/>
        <rFont val="Arial"/>
        <family val="2"/>
      </rPr>
      <t>Human Resource (Service Delivery)</t>
    </r>
  </si>
  <si>
    <r>
      <rPr>
        <b/>
        <sz val="10"/>
        <rFont val="Arial"/>
        <family val="2"/>
      </rPr>
      <t xml:space="preserve">FMR 9: </t>
    </r>
    <r>
      <rPr>
        <sz val="10"/>
        <rFont val="Arial"/>
        <family val="2"/>
      </rPr>
      <t>Training</t>
    </r>
  </si>
  <si>
    <r>
      <rPr>
        <b/>
        <sz val="10"/>
        <rFont val="Arial"/>
        <family val="2"/>
      </rPr>
      <t xml:space="preserve">FMR 10: </t>
    </r>
    <r>
      <rPr>
        <sz val="10"/>
        <rFont val="Arial"/>
        <family val="2"/>
      </rPr>
      <t>Review, Research and Surveillance</t>
    </r>
  </si>
  <si>
    <r>
      <rPr>
        <b/>
        <sz val="10"/>
        <rFont val="Arial"/>
        <family val="2"/>
      </rPr>
      <t xml:space="preserve">FMR 11: </t>
    </r>
    <r>
      <rPr>
        <sz val="10"/>
        <rFont val="Arial"/>
        <family val="2"/>
      </rPr>
      <t>IEC-BCC</t>
    </r>
  </si>
  <si>
    <r>
      <rPr>
        <b/>
        <sz val="10"/>
        <rFont val="Arial"/>
        <family val="2"/>
      </rPr>
      <t xml:space="preserve">FMR 12: </t>
    </r>
    <r>
      <rPr>
        <sz val="10"/>
        <rFont val="Arial"/>
        <family val="2"/>
      </rPr>
      <t xml:space="preserve">Printing </t>
    </r>
  </si>
  <si>
    <r>
      <rPr>
        <b/>
        <sz val="10"/>
        <rFont val="Arial"/>
        <family val="2"/>
      </rPr>
      <t xml:space="preserve">FMR 13: </t>
    </r>
    <r>
      <rPr>
        <sz val="10"/>
        <rFont val="Arial"/>
        <family val="2"/>
      </rPr>
      <t xml:space="preserve">Quality </t>
    </r>
  </si>
  <si>
    <r>
      <rPr>
        <b/>
        <sz val="10"/>
        <rFont val="Arial"/>
        <family val="2"/>
      </rPr>
      <t xml:space="preserve">FMR 15: </t>
    </r>
    <r>
      <rPr>
        <sz val="10"/>
        <rFont val="Arial"/>
        <family val="2"/>
      </rPr>
      <t>PPP</t>
    </r>
  </si>
  <si>
    <r>
      <rPr>
        <b/>
        <sz val="10"/>
        <rFont val="Arial"/>
        <family val="2"/>
      </rPr>
      <t xml:space="preserve">FMR 16: </t>
    </r>
    <r>
      <rPr>
        <sz val="10"/>
        <rFont val="Arial"/>
        <family val="2"/>
      </rPr>
      <t xml:space="preserve">Programme Management </t>
    </r>
  </si>
  <si>
    <r>
      <rPr>
        <b/>
        <sz val="10"/>
        <rFont val="Arial"/>
        <family val="2"/>
      </rPr>
      <t xml:space="preserve">FMR 17: </t>
    </r>
    <r>
      <rPr>
        <sz val="10"/>
        <rFont val="Arial"/>
        <family val="2"/>
      </rPr>
      <t>IT Initiatives for Service Delivery</t>
    </r>
  </si>
  <si>
    <r>
      <rPr>
        <b/>
        <sz val="10"/>
        <rFont val="Arial"/>
        <family val="2"/>
      </rPr>
      <t xml:space="preserve">FMR 18: </t>
    </r>
    <r>
      <rPr>
        <sz val="10"/>
        <rFont val="Arial"/>
        <family val="2"/>
      </rPr>
      <t>Innovations</t>
    </r>
  </si>
  <si>
    <t>Incentives for Peer Educators under NVHCP</t>
  </si>
  <si>
    <t>Any Other (please specify)</t>
  </si>
  <si>
    <t>National Programme for Prevention and Control of Deafness (NPPCD)</t>
  </si>
  <si>
    <t>National Oral health programme (NOHP)</t>
  </si>
  <si>
    <t>Integrated Disease Surveillance Programme (IDSP)</t>
  </si>
  <si>
    <t>National Vector Borne Disease Control Programme (NVBDCP)</t>
  </si>
  <si>
    <t>National Leprosy Eradication Programme (NLEP)</t>
  </si>
  <si>
    <t>National Viral Hepatitis Control Programme (NVHCP)</t>
  </si>
  <si>
    <t>National Tobacco Control Programme (NTCP)</t>
  </si>
  <si>
    <t>National Iodine Deficiency Disorders Control Programme (NIDDCP)</t>
  </si>
  <si>
    <t>National Programme for Health Care for the Elderly (NPHCE)</t>
  </si>
  <si>
    <t>National Program for Control of Blindness and Vision Impairment (NPCB+VI)</t>
  </si>
  <si>
    <t>National Mental Health Program (NMHP)</t>
  </si>
  <si>
    <t>National Programme for Prevention and Control of Diabetes, Cardiovascular Disease and Stroke (NPCDCS)</t>
  </si>
  <si>
    <t>FP/ RC-CP</t>
  </si>
  <si>
    <t>IEC activities for Ayushman Bharat Health &amp; Wellness centre (H&amp;WC)</t>
  </si>
  <si>
    <t>ASHA incentives for Ayushman Bharat Health &amp; Wellness Centres (H&amp;WC)</t>
  </si>
  <si>
    <t>Printing activities for Ayushman Bharat H&amp;WC</t>
  </si>
  <si>
    <t>Strengthening of diagnostic services of Ayushman Bharat H&amp;WC through PPP</t>
  </si>
  <si>
    <t>Blood bank/ BCSU/ BSU/ Day care centre for hemoglobinopathies</t>
  </si>
  <si>
    <t>HRH</t>
  </si>
  <si>
    <t>Trainings at District Hospital</t>
  </si>
  <si>
    <t>Trainings at CHC/Sub-Divisional Hospital</t>
  </si>
  <si>
    <t>Trainings at PHC</t>
  </si>
  <si>
    <t>National programme for Prevention and Management of Burn &amp; Injuries</t>
  </si>
  <si>
    <t>National Rabies Control Programme (NRCP)</t>
  </si>
  <si>
    <r>
      <rPr>
        <b/>
        <sz val="10"/>
        <rFont val="Arial"/>
        <family val="2"/>
      </rPr>
      <t xml:space="preserve">FMR 14: </t>
    </r>
    <r>
      <rPr>
        <sz val="10"/>
        <rFont val="Arial"/>
        <family val="2"/>
      </rPr>
      <t xml:space="preserve">Drug Warehouse &amp; Logistic </t>
    </r>
  </si>
  <si>
    <t>11.24.4.1</t>
  </si>
  <si>
    <t>11.24.4.2</t>
  </si>
  <si>
    <t>IEC/BCC for NTCP</t>
  </si>
  <si>
    <t>IEC/BCC material used for patient counselling</t>
  </si>
  <si>
    <t>MH/ HRH</t>
  </si>
  <si>
    <t>HSS/NHSRC QA</t>
  </si>
  <si>
    <t>Vehicle hiring for drug transportation</t>
  </si>
  <si>
    <t>15.5.1.1</t>
  </si>
  <si>
    <t>For GIA to NGOs for setting up/expanding eye care unit in semi-urban/ rural area</t>
  </si>
  <si>
    <t>SHSRC</t>
  </si>
  <si>
    <t>16.4.1.2.1</t>
  </si>
  <si>
    <t>16.4.1.2.2</t>
  </si>
  <si>
    <t>All district level PM staff under RMNCH+A, A.10, Burn &amp; Injury, Blood Services &amp; Disorders, ASHA programme, Quality Assurance, CPHC and other HSS components</t>
  </si>
  <si>
    <t>All state level PM staff under RMNCH+A, A.10, Burn &amp; Injury, Blood Services &amp; Disorders, ASHA programme, Quality Assurance, CPHC and other HSS components</t>
  </si>
  <si>
    <t>All block level PM staff under RMNCH+A, A.10, Burn &amp; Injury, Blood Services &amp; Disorders, ASHA programme, Quality Assurance, CPHC and other HSS components</t>
  </si>
  <si>
    <t xml:space="preserve">Annual increment for all the existing SD positions </t>
  </si>
  <si>
    <t>Annual increment for all the existing positions</t>
  </si>
  <si>
    <t>Annual increment for all the existing PM positions</t>
  </si>
  <si>
    <t>13.3.2</t>
  </si>
  <si>
    <t>HSS/NHSRC PHA</t>
  </si>
  <si>
    <t>B15.2.8/ 16.1.5.3.5</t>
  </si>
  <si>
    <t>16.1.5.3.14.1</t>
  </si>
  <si>
    <t>Any Other Activity</t>
  </si>
  <si>
    <t>NIDDCP Grand Total</t>
  </si>
  <si>
    <t>Blood Services Grand Total</t>
  </si>
  <si>
    <t>Training of MO and Staff Nurse for H&amp;WC</t>
  </si>
  <si>
    <t>Training of Staff for Ayushman Bharat Health &amp; Wellness Centre (H&amp;WC)</t>
  </si>
  <si>
    <t>Infrastructure strengthening of UPHC to H&amp;WC</t>
  </si>
  <si>
    <t>U.6.5.1</t>
  </si>
  <si>
    <t>U.6.5.2</t>
  </si>
  <si>
    <t>Tablets/ software for IT support of Ayushman Bharat H&amp;WC</t>
  </si>
  <si>
    <t>Telemedicine/ teleconsultation facility at Ayushman Bharat H&amp;WC</t>
  </si>
  <si>
    <t>U.17.2</t>
  </si>
  <si>
    <t>U.18.1</t>
  </si>
  <si>
    <t>U.15.2</t>
  </si>
  <si>
    <t>U.8.4.2</t>
  </si>
  <si>
    <t>U.12.2</t>
  </si>
  <si>
    <t>IEC activities for Health &amp; Wellness centre (H&amp;WC)</t>
  </si>
  <si>
    <t>U.16.1.2</t>
  </si>
  <si>
    <t>U.16.1.3</t>
  </si>
  <si>
    <t>U.16.1.4</t>
  </si>
  <si>
    <t>U.16.4.1.1</t>
  </si>
  <si>
    <t>U.16.4.1.2</t>
  </si>
  <si>
    <t>U.16.4.1.3</t>
  </si>
  <si>
    <t>U.16.4.2.1</t>
  </si>
  <si>
    <t>U.16.4.2.2</t>
  </si>
  <si>
    <t>U.16.4.3.1</t>
  </si>
  <si>
    <t>U.16.4.3.2</t>
  </si>
  <si>
    <t>U.16.4.5</t>
  </si>
  <si>
    <t>U.16.1.5</t>
  </si>
  <si>
    <t>U.16.1.5.1</t>
  </si>
  <si>
    <t>U.16.1.5.1.1</t>
  </si>
  <si>
    <t>U.16.1.5.1.2</t>
  </si>
  <si>
    <t>U.16.1.5.1.3</t>
  </si>
  <si>
    <t>Non-Metro Sub Total</t>
  </si>
  <si>
    <t>PMNDP Grand Total</t>
  </si>
  <si>
    <t>Abstract for Ayushman Bharat Health &amp; Wellness Centres (H&amp;WC)</t>
  </si>
  <si>
    <t>Ayushman Bharat- H&amp;WC Grand Total</t>
  </si>
  <si>
    <t>ASHA Grand Total</t>
  </si>
  <si>
    <t>AYUSH Grand Total</t>
  </si>
  <si>
    <t>HMIS-MCTS Grand Total</t>
  </si>
  <si>
    <t>Implementation of Human Resource Information System (HRIS)</t>
  </si>
  <si>
    <t>HRH-HPIP NHSRC</t>
  </si>
  <si>
    <t>NPPCD Grand Total</t>
  </si>
  <si>
    <t>HSS-FMG</t>
  </si>
  <si>
    <t>Abstract for Prevention and Management of Burn &amp; Injuries</t>
  </si>
  <si>
    <t>IDSP Grand Total</t>
  </si>
  <si>
    <t>NVBDCP Grand Total</t>
  </si>
  <si>
    <t>NLEP Grand Total</t>
  </si>
  <si>
    <t>NVHCP Grand Total</t>
  </si>
  <si>
    <t>NPCB Grand Total</t>
  </si>
  <si>
    <t>Fixed tele- ophthalmic network unit in Got. Set up/ internet based ophthalmic consultation unit)</t>
  </si>
  <si>
    <t>Compensation for IUCD insertion at health facilities (including fixed day services at SHC and PHC)
[Provide breakup: Private Sector]</t>
  </si>
  <si>
    <t>PPIUCD services: Compensation to beneficiary for PPIUCD insertion</t>
  </si>
  <si>
    <t>PAIUCD Services: Compensation to beneficiary per PAIUCD insertion</t>
  </si>
  <si>
    <t>Screening and free spectacles to school children</t>
  </si>
  <si>
    <t>Screening and free spectacles for near work to Old Person</t>
  </si>
  <si>
    <t>Assistance for consumables/drugs/medicines to the Govt./District Hospital for Cat sx etc</t>
  </si>
  <si>
    <t>Incentive to provider for IUCD insertion at health facilities (including fixed day services at SHC and PHC) [Provide breakup: Public Sector]</t>
  </si>
  <si>
    <t>Incentive to provider for PPIUCD services</t>
  </si>
  <si>
    <t>Incentive to provider for PAIUCD Services</t>
  </si>
  <si>
    <t>NMHP Grand Total</t>
  </si>
  <si>
    <t>NPHCE Grand Total</t>
  </si>
  <si>
    <t>NTCP Grand Total</t>
  </si>
  <si>
    <t>NPCDCS Grand Total</t>
  </si>
  <si>
    <t>Additional MF Survey</t>
  </si>
  <si>
    <t>ICT Survey</t>
  </si>
  <si>
    <t>LY &amp; Hy Survey in 350 dist.</t>
  </si>
  <si>
    <t>Mf Survey in Non- endemic dist.</t>
  </si>
  <si>
    <t>ICT survey in 200 dist.</t>
  </si>
  <si>
    <t>9.5.29.8</t>
  </si>
  <si>
    <t>NRCP</t>
  </si>
  <si>
    <t>Abstract for NRCP</t>
  </si>
  <si>
    <t>NRCP Grand Total</t>
  </si>
  <si>
    <t>17.2.1</t>
  </si>
  <si>
    <t>17.2.2</t>
  </si>
  <si>
    <t>IT Initiatives under Ayushman Bharat H&amp;WC</t>
  </si>
  <si>
    <t>Other IT Initiatives (please specify)</t>
  </si>
  <si>
    <t>Telemedicine/ teleconsultation facility under Ayushman Bharat H&amp;WC</t>
  </si>
  <si>
    <t>11.24.4.4</t>
  </si>
  <si>
    <t>12.17.3</t>
  </si>
  <si>
    <t>16.1.2.2.17</t>
  </si>
  <si>
    <t>Monitoring and Surveillance (review meetings , Travel) under NRCP</t>
  </si>
  <si>
    <t>HRH&amp;HPIP/NRCP</t>
  </si>
  <si>
    <t>All state level PM staff under NPPCF, NPPC, NOHP, NPPCD, NPCB, NTCP, NPHCE, NPCDCS, NMHP, CCHHP</t>
  </si>
  <si>
    <t>All district level PM staff under NPPCF, NPPC, NOHP, NPPCD, NPCB, NTCP, NPHCE, NPCDCS, NMHP, CCHHP</t>
  </si>
  <si>
    <t>All block level PM staff under NPPCF, NPPC, NOHP, NPPCD, NPCB, NTCP, NPHCE, NPCDCS, NMHP, CCHHP</t>
  </si>
  <si>
    <t>Task force Meeting to draft health sector plan for Heat and Air Pollution</t>
  </si>
  <si>
    <t>Hiring of Operational Vehicle under NTCP</t>
  </si>
  <si>
    <t>16.1.2.1.22</t>
  </si>
  <si>
    <t xml:space="preserve">Sensitization workshop/ Meeting of  the State Program Officers and District level Health Officers   </t>
  </si>
  <si>
    <t>16.1.2.1.24</t>
  </si>
  <si>
    <t>11.24.4.5</t>
  </si>
  <si>
    <t>U.3.2.1.3</t>
  </si>
  <si>
    <t>U.5.3.2</t>
  </si>
  <si>
    <t>3.2.3.1</t>
  </si>
  <si>
    <t>3.2.3.2</t>
  </si>
  <si>
    <t>3.2.3.3</t>
  </si>
  <si>
    <t>Swachh Swasth Sarvatra Training</t>
  </si>
  <si>
    <t>Mera Aspataal Training</t>
  </si>
  <si>
    <t>9.5.25.5</t>
  </si>
  <si>
    <t>9.5.25.6</t>
  </si>
  <si>
    <t>11.24.4.6</t>
  </si>
  <si>
    <t>IEC Activity under NQAP, LaQshya, Kayakalp &amp; Mera-Aspataal (Signages- Approach road, Departmental, Directional and other facility level signage's)</t>
  </si>
  <si>
    <t>12.18.3</t>
  </si>
  <si>
    <t>Printing of SOPs for implementation of NQAS, Kayakalp &amp; LaQshya</t>
  </si>
  <si>
    <t>Calibration</t>
  </si>
  <si>
    <t xml:space="preserve">AERB </t>
  </si>
  <si>
    <t>EQAS for Labs</t>
  </si>
  <si>
    <t>Mera-Aspataal Implementation/ Operationalisation of Patient Feedback System</t>
  </si>
  <si>
    <t>Specific Interventions for promotion of patient safety</t>
  </si>
  <si>
    <t>13.1.1.1</t>
  </si>
  <si>
    <t>13.1.1.2</t>
  </si>
  <si>
    <t>13.1.1.3</t>
  </si>
  <si>
    <t>13.1.1.4</t>
  </si>
  <si>
    <t>13.1.1.5</t>
  </si>
  <si>
    <t>13.1.1.6</t>
  </si>
  <si>
    <t>Quality Assurance Assessment (State &amp; district Level assessment cum Mentoring Visit)</t>
  </si>
  <si>
    <t>Quality Assurance Certifications, Re-certification (National &amp; State Certification) under NQAS</t>
  </si>
  <si>
    <t>LaQshya certifications and recertification (National &amp; State Certification) under LaQshya</t>
  </si>
  <si>
    <t>Incentivisation on attainment of NQAS certification (Please provide details in Annexure)</t>
  </si>
  <si>
    <t>13.1.5</t>
  </si>
  <si>
    <t>13.1.6</t>
  </si>
  <si>
    <t>13.2.3.1</t>
  </si>
  <si>
    <t>13.2.3.2</t>
  </si>
  <si>
    <t>13.2.3.3</t>
  </si>
  <si>
    <t>13.2.3.4</t>
  </si>
  <si>
    <t>Biomedical Waste Management</t>
  </si>
  <si>
    <t>Consumables &amp; PPE</t>
  </si>
  <si>
    <t>State/ District Quality Assurance Unit (Monitoring &amp; Supervision)</t>
  </si>
  <si>
    <t>Any Other (Please specify)</t>
  </si>
  <si>
    <t>Training on Kayakalp</t>
  </si>
  <si>
    <t>Training on Swachh Swasth Sarvatra</t>
  </si>
  <si>
    <t>Training on Mera Aspataal</t>
  </si>
  <si>
    <t>Quality Assurance Assessments (State &amp; National)</t>
  </si>
  <si>
    <t>Quality Assurance incentives</t>
  </si>
  <si>
    <t>U.13.1.2</t>
  </si>
  <si>
    <t>U.13.1.3</t>
  </si>
  <si>
    <t>U.13.1.4</t>
  </si>
  <si>
    <t>Kayakalp Assessments</t>
  </si>
  <si>
    <t>Mera Aspataal/Patient feedback system</t>
  </si>
  <si>
    <t>U.13.2.3</t>
  </si>
  <si>
    <t>U.13.2.4</t>
  </si>
  <si>
    <t>U.13.2.5</t>
  </si>
  <si>
    <t xml:space="preserve">Private Provider Incentive </t>
  </si>
  <si>
    <t>7.5.1</t>
  </si>
  <si>
    <t>7.5.2</t>
  </si>
  <si>
    <t>Tribal Patient Support and transportation charges</t>
  </si>
  <si>
    <t>Child Health</t>
  </si>
  <si>
    <t>PC-PNDT</t>
  </si>
  <si>
    <t>Immunization</t>
  </si>
  <si>
    <t>Other RCH Component</t>
  </si>
  <si>
    <t>1.2.3.3</t>
  </si>
  <si>
    <t xml:space="preserve">H.3.5 </t>
  </si>
  <si>
    <t>3.2.3.1.1</t>
  </si>
  <si>
    <t>3.2.3.1.2</t>
  </si>
  <si>
    <t>RKSK/ Adolescent health</t>
  </si>
  <si>
    <t>National Programme for Prevention and Control of Fluorosis (NPPCF)</t>
  </si>
  <si>
    <t>National Programme on palliative care (NPPC)</t>
  </si>
  <si>
    <t>Diet services for JSSK Beneficiaries (3 days for Normal Delivery and 7 days for Caesarean)</t>
  </si>
  <si>
    <t>Antenatal Screening of all pregnant women coming to the facilities in their first trimester for Sickle cell trait, β Thalassemia, Haemoglobin variants esp. Haemoglobin E and Anaemia  -Refer Hemoglobinopathies guidelines</t>
  </si>
  <si>
    <t>New born screening as per  RBSK Comprehensive New-born Screening: Handbook for screening visible birth defects at all delivery points (please give details per unit cost , number of deliveries to be screened and the delivery points Add details)</t>
  </si>
  <si>
    <t>Blood collection and Transport Vans (including POL and TA /DA of HR of BCTV and other contingency)</t>
  </si>
  <si>
    <t>Follow up mechanism for the severely anaemic women and the women with blood disorders</t>
  </si>
  <si>
    <t>Mobility support for mobile health team/  TA/DA to vaccinators for coverage in vacant sub-centres</t>
  </si>
  <si>
    <t>Incentive for Home Based New-born Care programme</t>
  </si>
  <si>
    <t>ASHA Incentive under Immunization</t>
  </si>
  <si>
    <t>ASHA Incentive under ESB scheme for promoting adoption of limiting method up to two children</t>
  </si>
  <si>
    <t>ASHA incentive for one time line listing of Lymphoedema and Hydrocele cases in non-endemic dist.</t>
  </si>
  <si>
    <t>District DMHP Centre, Counselling Centre under psychology dept.. In a selected college including crisis helpline</t>
  </si>
  <si>
    <t>Equipment for AFHCs</t>
  </si>
  <si>
    <t xml:space="preserve">Equipment and mannequin </t>
  </si>
  <si>
    <t>Models and Equipment for DAKSHATA training</t>
  </si>
  <si>
    <t>Equipment for Blood Banks/BSU/BCSU</t>
  </si>
  <si>
    <t>Equipment for Day Care Centre</t>
  </si>
  <si>
    <t>Health Products- Equipment (HPE) - GFATM</t>
  </si>
  <si>
    <t>IFA tablets  (IFA WIFS Junior tablets- pink sugar coated) for children (5-10 yrs.)</t>
  </si>
  <si>
    <t>Albendazole Tablets for children (5-10 yrs.)</t>
  </si>
  <si>
    <t>IFA tablets under WIFS (10-19 yrs.)</t>
  </si>
  <si>
    <t>Albendazole Tablets under WIFS (10-19 yrs.)</t>
  </si>
  <si>
    <t xml:space="preserve">Drugs and Supplies for blood related disorders- Haemoglobinopathies &amp; Haemophilia </t>
  </si>
  <si>
    <t>Quinine Injections and Artesunate Injection</t>
  </si>
  <si>
    <t>Procurement under GFATM</t>
  </si>
  <si>
    <t>Consumables for laboratory under NVHCP (plasticware, RUP, evacuated vacuum tubes, waste disposal bags, Kit for HBsAg titre, grant for calibration of small equipment, money for EQAS)</t>
  </si>
  <si>
    <t>Pathologists/ Haematologists</t>
  </si>
  <si>
    <t>Audiometric Asstt.</t>
  </si>
  <si>
    <t>Instructor for Hearing Impaired Children</t>
  </si>
  <si>
    <t>Orientation activities on vitamin A supplementation and Anaemia Mukta Bharat Programme</t>
  </si>
  <si>
    <t xml:space="preserve">4 days Training for facility based new-born care </t>
  </si>
  <si>
    <t>2 weeks observership for facility based new-born care</t>
  </si>
  <si>
    <t>One day Orientation of frontline workers (ASHA/ANM) and allied department workers (Teachers/AWW) on Anaemia Mukt Bharat strategy. As per RCH training norms</t>
  </si>
  <si>
    <t>TOT (Injectable Contraceptive Trainings)</t>
  </si>
  <si>
    <t>Training of Medical officers (Injectable Contraceptive Trainings)</t>
  </si>
  <si>
    <t>Training of AYUSH doctors (Injectable Contraceptive Trainings)</t>
  </si>
  <si>
    <t>Training of Nurses (Staff Nurse/LHV/ANM) (Injectable Contraceptive Trainings)</t>
  </si>
  <si>
    <t>Orientation and training of Human Resources for Health (HRH) and counsellors in public health response to Violence against women</t>
  </si>
  <si>
    <t xml:space="preserve">ELISA  facility to Sentinel Survey Labs </t>
  </si>
  <si>
    <t xml:space="preserve">Printing of labour room registers and case sheets/ LaQshya related printing </t>
  </si>
  <si>
    <t xml:space="preserve">Printing of AFHS Training manuals for  MO,  ANM and Counsellor; ANM  training manual for PE training </t>
  </si>
  <si>
    <t>Liquid Waste Treatment &amp; Disposal</t>
  </si>
  <si>
    <t>HR Support for PC&amp;PNDT Cell</t>
  </si>
  <si>
    <t>HR Support for HMIS &amp; MCTS</t>
  </si>
  <si>
    <t>To develop micro plan at sub-centre level</t>
  </si>
  <si>
    <t>PM activities for Vasectomy Fortnight celebration  (Only mobility cost): funds earmarked for district level activities</t>
  </si>
  <si>
    <t>PM activities for Vasectomy Fortnight celebration  (Only mobility cost): funds earmarked for block level activities</t>
  </si>
  <si>
    <t>Miscellaneous including Travel/POL/Stationary etc.</t>
  </si>
  <si>
    <t>Office equipment maintenance State</t>
  </si>
  <si>
    <t>Implementation of ANMOL (Excel Procurement)</t>
  </si>
  <si>
    <t xml:space="preserve">E-rakt kosh- refer to strengthening of blood services guidelines &amp; Software for hemoglobinopathies &amp; Haemophilia </t>
  </si>
  <si>
    <t>Training of PRI under National Program for Climate Change and Human Health (NPCCHH)</t>
  </si>
  <si>
    <t>NPCCHH</t>
  </si>
  <si>
    <t>3.3.3.3</t>
  </si>
  <si>
    <t>Abstract for NPCCHH</t>
  </si>
  <si>
    <t>Greening of Health sector: DH/ CHC as per IPHS guidelines</t>
  </si>
  <si>
    <t>Trainings of Medical Officers and Health Workers under NRCP</t>
  </si>
  <si>
    <t>Trainings of Medical Officers, Health Workers and Programme officers under NPCCHH</t>
  </si>
  <si>
    <t>9.5.29.9</t>
  </si>
  <si>
    <t>10.2.15</t>
  </si>
  <si>
    <t>Surveillance/ Vulnerability assessment/ Research related to Climate Change, Air Pollution and Heat related illness</t>
  </si>
  <si>
    <t>12.17.4</t>
  </si>
  <si>
    <t>Printing activities for NPCCHH</t>
  </si>
  <si>
    <t>National Program for Climate Change and Human Health (NPCCHH)</t>
  </si>
  <si>
    <t>14.2.4.1</t>
  </si>
  <si>
    <t>AVD in hard areas</t>
  </si>
  <si>
    <t>14.2.4.2</t>
  </si>
  <si>
    <t>AVD in very hard to reach areas esp. notified by States/districts</t>
  </si>
  <si>
    <t>Activity for Strengthening AH Services</t>
  </si>
  <si>
    <t>Honorarium to ICTC and other Counsellors for outreach AH activities</t>
  </si>
  <si>
    <t>School Health Programme</t>
  </si>
  <si>
    <t>12.4.6</t>
  </si>
  <si>
    <t>Printing teachers training manual, training curriculum and facilitators guide</t>
  </si>
  <si>
    <t>District NCD Clinic: Strengthening of lab, Mobility, Miscellaneous &amp; Contingencies</t>
  </si>
  <si>
    <t>1.3.1.20</t>
  </si>
  <si>
    <t>Any Other (Specify)</t>
  </si>
  <si>
    <t>Operational cost of e-VIN (like temperature logger sim card and  Data sim card for e-VIN)</t>
  </si>
  <si>
    <t>Total Capex Budget</t>
  </si>
  <si>
    <t>1.2.1.2.1</t>
  </si>
  <si>
    <t>1.2.1.2.2</t>
  </si>
  <si>
    <t>1.2.1.2.3</t>
  </si>
  <si>
    <t>1.2.2.1.1</t>
  </si>
  <si>
    <t>1.2.2.1.2</t>
  </si>
  <si>
    <t>1.2.2.2.1</t>
  </si>
  <si>
    <t>1.2.2.2.2</t>
  </si>
  <si>
    <t>1.2.2.2.3</t>
  </si>
  <si>
    <t>1.2.2.2.4</t>
  </si>
  <si>
    <t>1.3.1.1</t>
  </si>
  <si>
    <t>2.3.1.1.1</t>
  </si>
  <si>
    <t>2.3.1.1.2</t>
  </si>
  <si>
    <t>5.1.1.1.1</t>
  </si>
  <si>
    <t>5.1.1.1.2</t>
  </si>
  <si>
    <t>5.1.1.1.3</t>
  </si>
  <si>
    <t>5.1.1.1.4</t>
  </si>
  <si>
    <t>5.1.1.1.5</t>
  </si>
  <si>
    <t>5.1.1.1.6</t>
  </si>
  <si>
    <t>5.1.1.1.7</t>
  </si>
  <si>
    <t>5.1.1.1.8</t>
  </si>
  <si>
    <t>5.1.1.1.9</t>
  </si>
  <si>
    <t>5.1.1.1.10</t>
  </si>
  <si>
    <t>5.1.1.2.1</t>
  </si>
  <si>
    <t>5.1.1.2.2</t>
  </si>
  <si>
    <t>5.1.1.2.3</t>
  </si>
  <si>
    <t>5.1.1.2.4</t>
  </si>
  <si>
    <t>5.1.1.2.5</t>
  </si>
  <si>
    <t>5.1.1.2.6</t>
  </si>
  <si>
    <t>5.1.1.2.7</t>
  </si>
  <si>
    <t>5.1.1.2.8</t>
  </si>
  <si>
    <t>5.1.1.2.9</t>
  </si>
  <si>
    <t>5.1.1.2.10</t>
  </si>
  <si>
    <t>5.1.1.2.11</t>
  </si>
  <si>
    <t>5.1.1.2.12</t>
  </si>
  <si>
    <t>5.1.1.2.13</t>
  </si>
  <si>
    <t>5.1.1.3.1</t>
  </si>
  <si>
    <t>5.1.1.3.2</t>
  </si>
  <si>
    <t>5.1.1.3.3</t>
  </si>
  <si>
    <t>5.1.1.3.4</t>
  </si>
  <si>
    <t>5.1.1.3.5</t>
  </si>
  <si>
    <t>5.1.1.3.6</t>
  </si>
  <si>
    <t>5.1.1.3.7</t>
  </si>
  <si>
    <t>5.1.1.3.8</t>
  </si>
  <si>
    <t>5.1.1.3.9</t>
  </si>
  <si>
    <t>5.1.1.4.1</t>
  </si>
  <si>
    <t>5.1.1.4.2</t>
  </si>
  <si>
    <t>5.1.1.4.3</t>
  </si>
  <si>
    <t>5.1.1.4.4</t>
  </si>
  <si>
    <t>5.1.1.4.5</t>
  </si>
  <si>
    <t>5.1.1.4.6</t>
  </si>
  <si>
    <t>5.1.1.4.7</t>
  </si>
  <si>
    <t>6.1.1.1.1</t>
  </si>
  <si>
    <t>6.1.1.1.2</t>
  </si>
  <si>
    <t>6.1.1.1.3</t>
  </si>
  <si>
    <t>6.1.1.1.4</t>
  </si>
  <si>
    <t>6.1.1.2.1</t>
  </si>
  <si>
    <t>6.1.1.2.2</t>
  </si>
  <si>
    <t>6.1.1.3.1</t>
  </si>
  <si>
    <t>6.1.1.3.2</t>
  </si>
  <si>
    <t>6.1.1.3.3</t>
  </si>
  <si>
    <t>6.1.1.3.4</t>
  </si>
  <si>
    <t>6.1.1.3.5</t>
  </si>
  <si>
    <t>6.1.1.3.6</t>
  </si>
  <si>
    <t>6.1.1.4.1</t>
  </si>
  <si>
    <t>6.1.1.4.2</t>
  </si>
  <si>
    <t>6.1.1.5.1</t>
  </si>
  <si>
    <t>6.1.1.5.2</t>
  </si>
  <si>
    <t>6.1.1.5.3</t>
  </si>
  <si>
    <t>6.1.1.6.1</t>
  </si>
  <si>
    <t>6.1.1.6.2</t>
  </si>
  <si>
    <t>6.1.1.7.1</t>
  </si>
  <si>
    <t>6.1.1.7.2</t>
  </si>
  <si>
    <t>6.1.1.7.3</t>
  </si>
  <si>
    <t>6.1.1.7.4</t>
  </si>
  <si>
    <t>6.1.1.7.5</t>
  </si>
  <si>
    <t>6.1.1.8.1</t>
  </si>
  <si>
    <t>6.1.1.8.2</t>
  </si>
  <si>
    <t>6.1.1.9.1</t>
  </si>
  <si>
    <t>6.1.1.9.2</t>
  </si>
  <si>
    <t>6.1.1.10.1</t>
  </si>
  <si>
    <t>6.1.1.10.2</t>
  </si>
  <si>
    <t>6.1.1.11.1</t>
  </si>
  <si>
    <t>6.1.1.11.2</t>
  </si>
  <si>
    <t>6.1.1.12.1</t>
  </si>
  <si>
    <t>6.1.1.12.2</t>
  </si>
  <si>
    <t>6.1.1.13.1</t>
  </si>
  <si>
    <t>6.1.1.13.2</t>
  </si>
  <si>
    <t>6.1.1.14.1</t>
  </si>
  <si>
    <t>6.1.1.14.2</t>
  </si>
  <si>
    <t>6.1.1.15.1</t>
  </si>
  <si>
    <t>6.1.1.15.2</t>
  </si>
  <si>
    <t>6.1.1.16.1</t>
  </si>
  <si>
    <t>6.1.1.17.1</t>
  </si>
  <si>
    <t>6.1.1.18.1</t>
  </si>
  <si>
    <t>6.1.1.19.1</t>
  </si>
  <si>
    <t>6.1.1.19.2</t>
  </si>
  <si>
    <t>6.1.1.19.3</t>
  </si>
  <si>
    <t>6.1.1.19.4</t>
  </si>
  <si>
    <t>6.1.1.19.5</t>
  </si>
  <si>
    <t>6.1.1.20.1</t>
  </si>
  <si>
    <t>6.1.1.21.1</t>
  </si>
  <si>
    <t>6.1.1.21.2</t>
  </si>
  <si>
    <t>6.1.1.21.3</t>
  </si>
  <si>
    <t>6.1.1.21.4</t>
  </si>
  <si>
    <t>6.1.1.21.5</t>
  </si>
  <si>
    <t>6.1.1.22.1</t>
  </si>
  <si>
    <t>6.1.1.22.2</t>
  </si>
  <si>
    <t>6.1.1.22.3</t>
  </si>
  <si>
    <t>6.1.1.23.1</t>
  </si>
  <si>
    <t>6.1.1.23.2</t>
  </si>
  <si>
    <t>6.1.1.23.3</t>
  </si>
  <si>
    <t>6.1.1.23.4</t>
  </si>
  <si>
    <t>6.1.1.23.5</t>
  </si>
  <si>
    <t>6.1.1.24.1</t>
  </si>
  <si>
    <t>6.1.1.24.2</t>
  </si>
  <si>
    <t>6.1.1.25.1</t>
  </si>
  <si>
    <t>6.1.1.25.2</t>
  </si>
  <si>
    <t>6.1.2.1.1</t>
  </si>
  <si>
    <t>6.1.2.1.2</t>
  </si>
  <si>
    <t>6.1.2.1.3</t>
  </si>
  <si>
    <t>6.1.2.2.1</t>
  </si>
  <si>
    <t>6.1.2.2.2</t>
  </si>
  <si>
    <t>6.1.2.2.3</t>
  </si>
  <si>
    <t>6.1.2.2.4</t>
  </si>
  <si>
    <t>6.1.2.3.1</t>
  </si>
  <si>
    <t>6.1.2.3.2</t>
  </si>
  <si>
    <t>6.1.2.3.3</t>
  </si>
  <si>
    <t>6.1.2.4.1</t>
  </si>
  <si>
    <t>6.1.2.4.2</t>
  </si>
  <si>
    <t>6.1.2.5.1</t>
  </si>
  <si>
    <t>6.1.2.5.2</t>
  </si>
  <si>
    <t>6.1.2.6.1</t>
  </si>
  <si>
    <t>6.1.2.6.2</t>
  </si>
  <si>
    <t>6.1.3.1.1</t>
  </si>
  <si>
    <t>6.1.3.1.2</t>
  </si>
  <si>
    <t>6.1.3.1.3</t>
  </si>
  <si>
    <t>6.1.3.1.4</t>
  </si>
  <si>
    <t>6.1.3.1.5</t>
  </si>
  <si>
    <t>6.1.3.2.1</t>
  </si>
  <si>
    <t>6.1.3.2.2</t>
  </si>
  <si>
    <t>6.2.1.7.1</t>
  </si>
  <si>
    <t>6.2.1.7.2</t>
  </si>
  <si>
    <t>6.2.1.7.3</t>
  </si>
  <si>
    <t>6.2.1.7.4</t>
  </si>
  <si>
    <t>6.2.1.7.5</t>
  </si>
  <si>
    <t>6.2.2.8.1</t>
  </si>
  <si>
    <t>6.2.2.8.2</t>
  </si>
  <si>
    <t>6.2.2.8.3</t>
  </si>
  <si>
    <t>8.1.1.3.1</t>
  </si>
  <si>
    <t>8.1.1.3.2</t>
  </si>
  <si>
    <t>8.1.1.3.3</t>
  </si>
  <si>
    <t>8.1.4.3.1</t>
  </si>
  <si>
    <t>8.1.4.3.2</t>
  </si>
  <si>
    <t>8.1.4.3.3</t>
  </si>
  <si>
    <t>8.1.4.3.4</t>
  </si>
  <si>
    <t>8.1.7.1.1</t>
  </si>
  <si>
    <t>8.1.7.1.2</t>
  </si>
  <si>
    <t>8.1.7.1.3</t>
  </si>
  <si>
    <t>8.1.7.1.4</t>
  </si>
  <si>
    <t>8.1.7.1.5</t>
  </si>
  <si>
    <t>8.1.7.2.1</t>
  </si>
  <si>
    <t>8.1.7.2.2</t>
  </si>
  <si>
    <t>8.1.7.2.3</t>
  </si>
  <si>
    <t>8.1.7.2.4</t>
  </si>
  <si>
    <t>8.1.7.2.5</t>
  </si>
  <si>
    <t>8.1.7.2.6</t>
  </si>
  <si>
    <t>8.1.7.2.7</t>
  </si>
  <si>
    <t>8.1.7.2.8</t>
  </si>
  <si>
    <t>8.1.7.2.9</t>
  </si>
  <si>
    <t>8.1.7.2.10</t>
  </si>
  <si>
    <t>8.1.7.2.11</t>
  </si>
  <si>
    <t>8.1.7.2.12</t>
  </si>
  <si>
    <t>8.1.15.12.1</t>
  </si>
  <si>
    <t>8.1.15.12.2</t>
  </si>
  <si>
    <t>9.5.4.13.1</t>
  </si>
  <si>
    <t>9.5.4.13.2</t>
  </si>
  <si>
    <t>9.5.4.13.3</t>
  </si>
  <si>
    <t>9.5.20.1.1</t>
  </si>
  <si>
    <t>9.5.20.1.2</t>
  </si>
  <si>
    <t>9.5.20.1.3</t>
  </si>
  <si>
    <t>9.5.20.2.1</t>
  </si>
  <si>
    <t>9.5.20.2.2</t>
  </si>
  <si>
    <t>9.5.20.2.3</t>
  </si>
  <si>
    <t>9.5.20.3.1</t>
  </si>
  <si>
    <t>9.5.20.3.2</t>
  </si>
  <si>
    <t>9.5.20.3.3</t>
  </si>
  <si>
    <t>9.5.22.2.1</t>
  </si>
  <si>
    <t>9.5.22.2.2</t>
  </si>
  <si>
    <t>9.5.22.2.3</t>
  </si>
  <si>
    <t>9.5.29.5.1</t>
  </si>
  <si>
    <t>9.5.29.5.2</t>
  </si>
  <si>
    <t>9.5.29.5.3</t>
  </si>
  <si>
    <t>9.5.29.5.4</t>
  </si>
  <si>
    <t>Setting Up &amp; Strengthening of Skill Lab/ Other Training Centres or institutes including medical (DNB/CPS)/paramedical/nursing courses</t>
  </si>
  <si>
    <t>SUMAN Activities</t>
  </si>
  <si>
    <t>Upgradation of existing facilities as per IPHS norms including staff quarters</t>
  </si>
  <si>
    <t>HWC-HSCs</t>
  </si>
  <si>
    <t>New construction (to be initiated this year) as per the IPHS norms including staff quarters</t>
  </si>
  <si>
    <t>Summary of Capex Expenditure</t>
  </si>
  <si>
    <t>RCH Flexible Pool (including RI, IPPI, NIDDCP)</t>
  </si>
  <si>
    <t>A</t>
  </si>
  <si>
    <t>B</t>
  </si>
  <si>
    <t>Budget Summary II</t>
  </si>
  <si>
    <t>Budget Summary I</t>
  </si>
  <si>
    <t>C</t>
  </si>
  <si>
    <t>D</t>
  </si>
  <si>
    <t>E</t>
  </si>
  <si>
    <t>CPHC</t>
  </si>
  <si>
    <t>NDCP</t>
  </si>
  <si>
    <t>1.1.5.7</t>
  </si>
  <si>
    <t>Engagement with NGO CBO(Community Based Organisations) for outreach</t>
  </si>
  <si>
    <t>Orientation/Planning Meeting/Launch on SAANS initiative at State or District (Pneumonia)/IDCF orientation</t>
  </si>
  <si>
    <t>9.5.2.25</t>
  </si>
  <si>
    <t>State/District ToT of SAANS, Skill Stations under SAANS</t>
  </si>
  <si>
    <t>Any other IEC/BCC activities (please specify) including SAANS campaign IEC at state/district level</t>
  </si>
  <si>
    <t>Mobility support for supervision at State level (including SAANS supportive supervision)</t>
  </si>
  <si>
    <t>HRH&amp;HPIP/RI/CH</t>
  </si>
  <si>
    <t>Printing for National Childhood Pneumonia Management Guidelines under SAANS</t>
  </si>
  <si>
    <t>3.1.2.10</t>
  </si>
  <si>
    <t>Training of ASHAs in National Childhood Pneumonia Management Guidelines under SAANS</t>
  </si>
  <si>
    <t>CH/ NHSRC-CP</t>
  </si>
  <si>
    <t>Mobility Support for DPMU/District (including SAANS supportive supervision)</t>
  </si>
  <si>
    <t>Any other trainings (please specify) related to BB and blood disorders</t>
  </si>
  <si>
    <t>One time Screening to Identify the carriers of Sickle cell trait, β Thalassemia, Haemoglobin variants at school especially class 8 students and in newborns</t>
  </si>
  <si>
    <t>Quality Assurance Training (including training for internal assessors, service providers at State and District levels)</t>
  </si>
  <si>
    <t>Treatment Supporter Honorarium (Rs 1000)</t>
  </si>
  <si>
    <t>Treatment Supporter Honorarium (Rs 5000)</t>
  </si>
  <si>
    <t>H.3.1</t>
  </si>
  <si>
    <t>H.3.4</t>
  </si>
  <si>
    <t>Grant-in-aid (For newly selected districts under NPPCF):  Laboratory Diagnostic facilities</t>
  </si>
  <si>
    <t>Recurring Grant-in-aid (For ongoing selected districts under NPPCF):  Laboratory Diagnostic facilities</t>
  </si>
  <si>
    <t xml:space="preserve">Medical devices as per National Dialysis Programme </t>
  </si>
  <si>
    <t>Any other equipment for hospital strengthening as per IPHS (please specify)</t>
  </si>
  <si>
    <t>Drugs &amp; Consumables for Haemodialysis (Erythropoietin, iron, vitamin, etc) &amp; Peritoneal dialysis (refer page 17 of guideline)</t>
  </si>
  <si>
    <t>Any other drug (please specify)</t>
  </si>
  <si>
    <t>U.16.1.2.1</t>
  </si>
  <si>
    <t>U.16.1.2.2</t>
  </si>
  <si>
    <t>U.16.1.2.3</t>
  </si>
  <si>
    <t>U.16.1.3.1</t>
  </si>
  <si>
    <t>U.16.1.3.2</t>
  </si>
  <si>
    <t>U.16.1.3.3</t>
  </si>
  <si>
    <t>U.16.1.3.4</t>
  </si>
  <si>
    <t>U.16.1.3.5</t>
  </si>
  <si>
    <t>U.16.1.4.1</t>
  </si>
  <si>
    <t>U.16.1.4.2</t>
  </si>
  <si>
    <t>U.16.1.4.3</t>
  </si>
  <si>
    <t>U.16.1.4.4</t>
  </si>
  <si>
    <t>Mobility support for CPMU</t>
  </si>
  <si>
    <t>Administrative expenses (including Review meetings, workshops,  etc.) for CPMU</t>
  </si>
  <si>
    <t>Multi-skilling of ASHA for H&amp;WC</t>
  </si>
  <si>
    <t>(Please specify)</t>
  </si>
  <si>
    <t>2.3.1.11</t>
  </si>
  <si>
    <t>Outreach for demand generation, testing and treatment of Viral Hepatitis through Mobile Medical Units/NGOs/CBOs/etc</t>
  </si>
  <si>
    <t>9.5.28.7</t>
  </si>
  <si>
    <t>Training for Community Volunteers</t>
  </si>
  <si>
    <t>12.17.5</t>
  </si>
  <si>
    <t>Printing for formats/registers under NVHCP</t>
  </si>
  <si>
    <t>15.9.8</t>
  </si>
  <si>
    <t>PPP initiative under NVHCP</t>
  </si>
  <si>
    <t>14.2.14</t>
  </si>
  <si>
    <t>Sample transportation cost under NVHCP</t>
  </si>
  <si>
    <t>16.1.2.1.25</t>
  </si>
  <si>
    <t>State level review meeting under NVHCP</t>
  </si>
  <si>
    <t>Non-recurring GIA: New Construction @80  lakh/ Extension of existing ward @ 40 lakh/ Renovation @20 lakh/ for Geriatrics Unit with 10 beds and OPD facilities at DH</t>
  </si>
  <si>
    <t>Recurring GIA: Machinery &amp; Equipment for DH @ 3 lakh/ CHC @ 0.50 lakh/ PHC @ 0.20 lakh</t>
  </si>
  <si>
    <t>Aids and Appliances for Sub-Centre/HWC Sub Centre</t>
  </si>
  <si>
    <t>Training of doctors and staff at DH level under NPHCE</t>
  </si>
  <si>
    <t>Training of doctors and staff at CHC level under NPHCE</t>
  </si>
  <si>
    <t>Training of doctors and staff at PHC level under NPHCE</t>
  </si>
  <si>
    <t>IPC,Group activities and mass media for NPHCE</t>
  </si>
  <si>
    <t>Celebration of days-ie International Day for older persons</t>
  </si>
  <si>
    <t>10.2.16</t>
  </si>
  <si>
    <t>Research in the field of Geriatric health</t>
  </si>
  <si>
    <t>2.3.2.6</t>
  </si>
  <si>
    <t>Home based care for bed-ridden elderly under NPHCE</t>
  </si>
  <si>
    <t>16.1.2.1.26</t>
  </si>
  <si>
    <t>Workshops, Conferences &amp; review meetings under NPHCE</t>
  </si>
  <si>
    <t>HRH&amp;HPIP/NPHCE</t>
  </si>
  <si>
    <t>16.1.2.1.27</t>
  </si>
  <si>
    <t>State Task Force, State Technical Advisory Committee meeting, District coordination meeting, Cross border meetings Sub National Malaria Elimination Certification process (Malaria)</t>
  </si>
  <si>
    <t>16.1.5.3.15.1</t>
  </si>
  <si>
    <t>16.1.5.3.15.2</t>
  </si>
  <si>
    <t>16.1.5.3.16</t>
  </si>
  <si>
    <t>Epidemic preparedness &amp; Response (Malaria)</t>
  </si>
  <si>
    <t>2.3.2.7</t>
  </si>
  <si>
    <t>Special anti-malarial interventions for high risk groups, for tribal population, for hard to reach areas to control and prevent resurgence of Malaria cases</t>
  </si>
  <si>
    <t>Maintenance cost of vehicles</t>
  </si>
  <si>
    <t>Comprehensive Bio-Medical Equipment Mainteance Programme</t>
  </si>
  <si>
    <t>Maintenance of Microscope</t>
  </si>
  <si>
    <t>16.1.4.1.15</t>
  </si>
  <si>
    <t>Programme Administrative Costs</t>
  </si>
  <si>
    <t>ASHA Incentive/ Honorarium for Malaria and LLIN distribution</t>
  </si>
  <si>
    <t>3.2.5.1.6</t>
  </si>
  <si>
    <t>Community Health Volunteers (CHVs) for inaccessible villages</t>
  </si>
  <si>
    <t>12.11.4</t>
  </si>
  <si>
    <t>Printing of recording and reporting forms/registers for Malaria</t>
  </si>
  <si>
    <t>Support for referral transport</t>
  </si>
  <si>
    <t>7.4.1.1</t>
  </si>
  <si>
    <t>7.4.1.2</t>
  </si>
  <si>
    <t>7.4.1.2.1</t>
  </si>
  <si>
    <t>7.4.1.2.2</t>
  </si>
  <si>
    <t>Support for Call Centre</t>
  </si>
  <si>
    <t>7.4.2.1</t>
  </si>
  <si>
    <t>7.4.1.3</t>
  </si>
  <si>
    <t>7.4.1.4</t>
  </si>
  <si>
    <t>Bike ambulance</t>
  </si>
  <si>
    <t>Boat ambulance</t>
  </si>
  <si>
    <t>State basic ambulance/Dial 102/Dial 104</t>
  </si>
  <si>
    <t xml:space="preserve">Emergency ambulance/Dial 108 </t>
  </si>
  <si>
    <t>Emergency ambulance/Dial 108 -BLS</t>
  </si>
  <si>
    <t>Emergency ambulance/Dial 108 -ALS</t>
  </si>
  <si>
    <t>District - Plan as per DHAP/Aspirational District/Model Health District Plans.</t>
  </si>
  <si>
    <t>16.1.2.2.18</t>
  </si>
  <si>
    <t>Monitoring visists - DHAP implementation in Aspirational districts/model health districts</t>
  </si>
  <si>
    <t>Other construction/ Civil works except IPHS Infrastructure</t>
  </si>
  <si>
    <t>FMR removed</t>
  </si>
  <si>
    <t>Non-recurring grant-in-aid for  Vision Centre (PHC) (NGO)</t>
  </si>
  <si>
    <t xml:space="preserve">Grant-in-aid for Vision Centre (PHC) (Govt.) </t>
  </si>
  <si>
    <t>Grant-in-aid for Eye Bank (Govt.)</t>
  </si>
  <si>
    <t>Grant-in-aid for Eye Donation Centre (Govt.)</t>
  </si>
  <si>
    <t>State level IEC for Minor State @ Rs. 10 lakh and for Major States @ Rs. 20 lakh under NPCB&amp;VI</t>
  </si>
  <si>
    <t>Reimbursement for cataract operation for NGO and Private  Practitioners as per NGO norms @ Rs. 2000</t>
  </si>
  <si>
    <t>Diabetic Retinopathy @ Rs. 2000</t>
  </si>
  <si>
    <t>Childhood Blindness @ Rs. 2000</t>
  </si>
  <si>
    <t>Glaucoma @ Rs. 2000</t>
  </si>
  <si>
    <t>Keratoplasty @ Rs. 5000</t>
  </si>
  <si>
    <t>Vitreoretinal Surgery@ Rs. 7500</t>
  </si>
  <si>
    <t>Incentive for ASHA/AWW/Volunteer/etc for detection of Leprosy (Rs 250 for detection of an early case before onset of any visible deformity, Rs 200 for detection of new case with visible deformity in hands, feet or eye)</t>
  </si>
  <si>
    <t>Call centre-OPEX</t>
  </si>
  <si>
    <t xml:space="preserve">NHM Free Drug services </t>
  </si>
  <si>
    <t>Provision of Anti-Rabies Vaccine/Anti-Rabies Serum for animal bite victims</t>
  </si>
  <si>
    <t xml:space="preserve">Procurement of drugs, diagnostic kits, supplies etc under Programme for Prevention and Control of Leptospirosis </t>
  </si>
  <si>
    <t>6.2.24</t>
  </si>
  <si>
    <t>6.2.24.1</t>
  </si>
  <si>
    <t>6.2.24.2</t>
  </si>
  <si>
    <t>6.2.24.3</t>
  </si>
  <si>
    <t>Other Drugs (please specify)</t>
  </si>
  <si>
    <t>Training at State and District level under Programme for Prevention and Control of Leptospirosis</t>
  </si>
  <si>
    <t>11.24.4.7</t>
  </si>
  <si>
    <t>16.1.2.1.28</t>
  </si>
  <si>
    <t>Review meetings under Programme for Prevention and Control of Leptospirosis</t>
  </si>
  <si>
    <t>HRH&amp;HPIP/PPCL</t>
  </si>
  <si>
    <t>16.1.3.1.20</t>
  </si>
  <si>
    <t>Mobility support under Programme for Prevention and Control of Leptospirosis</t>
  </si>
  <si>
    <t>Abstract for PPCL</t>
  </si>
  <si>
    <t>9.5.29.10</t>
  </si>
  <si>
    <t>9.5.29.11</t>
  </si>
  <si>
    <t>Training on Training Management Information System</t>
  </si>
  <si>
    <t>Procurement of equipment &amp; computer for district level Model Anti Rabies Clinics in existing health facilities</t>
  </si>
  <si>
    <t>ASHA Involvement under NLEP</t>
  </si>
  <si>
    <t>ASHA Incentive for Treatment completion of PB cases (@ Rs 400)</t>
  </si>
  <si>
    <t>ASHA Incentive for Treatment completion of MB cases (@ Rs 500)</t>
  </si>
  <si>
    <t>HRH&amp;HPIP/NPCCHH</t>
  </si>
  <si>
    <t>3.2.6.1</t>
  </si>
  <si>
    <t>State/District TB Forums</t>
  </si>
  <si>
    <t>3.2.6.2</t>
  </si>
  <si>
    <t>Community engagement activities</t>
  </si>
  <si>
    <t>11.17.3</t>
  </si>
  <si>
    <t>TB Harega Desh Jeetega' Campaign</t>
  </si>
  <si>
    <t>10.5.1</t>
  </si>
  <si>
    <t>Sub-national Disease Free Certification</t>
  </si>
  <si>
    <t>1.1.5.8</t>
  </si>
  <si>
    <t>Diagnosis and Management under Latent TB Infection Management</t>
  </si>
  <si>
    <t>2.3.2.8</t>
  </si>
  <si>
    <t>Screening, referral linkages and follow-up under Latent TB Infection Management</t>
  </si>
  <si>
    <t>Any other</t>
  </si>
  <si>
    <t>10.5.2</t>
  </si>
  <si>
    <t>10.5.3</t>
  </si>
  <si>
    <t>10.5.4</t>
  </si>
  <si>
    <t>10.5.5</t>
  </si>
  <si>
    <t>10.5.6</t>
  </si>
  <si>
    <t>10.5.7</t>
  </si>
  <si>
    <t>15.5.4</t>
  </si>
  <si>
    <t>Multi-sectoral collaboration activities</t>
  </si>
  <si>
    <t>13.3.3</t>
  </si>
  <si>
    <t>Quality Management System for AEFI surveillance under Universal Immunisation Programme</t>
  </si>
  <si>
    <t>IEC under Programme for Prevention and Control of Leptospirosis</t>
  </si>
  <si>
    <t>IEC on Climate Sensitive Diseases at Block , District and State level  – Air pollution, Heat and other relevant Climate Sensitive diseases</t>
  </si>
  <si>
    <t>IEC/BCC under NOHP</t>
  </si>
  <si>
    <t>Digital hemoglobinometer (One digital hemoglobinometer per RBSK Team and One at each Sub-centre/ testing strip)</t>
  </si>
  <si>
    <t>6.1.1.2.3</t>
  </si>
  <si>
    <t>Handheld Pulse Oximeter and nebulizer under SAANS</t>
  </si>
  <si>
    <t>6.1.1.2.4</t>
  </si>
  <si>
    <t>1.1.6.5.3</t>
  </si>
  <si>
    <t>RO water testing (Bacteriological, endotoxin, Chemical) and tank/pipes disinfection (peracetic acid) for Dialysis</t>
  </si>
  <si>
    <t>11.24.4.8</t>
  </si>
  <si>
    <t>11.24.4.9</t>
  </si>
  <si>
    <t>HSS/NHSRC-HCT</t>
  </si>
  <si>
    <t>IEC/BCC- Free Diagnostic Service Initiative (Pathology &amp; Radiology)</t>
  </si>
  <si>
    <t>IEC/BCC - National Dialysis Programme (Haemodialysis and Peritoneal Dialysis)</t>
  </si>
  <si>
    <t>6.1.1.25.3</t>
  </si>
  <si>
    <t>9.5.29.12</t>
  </si>
  <si>
    <t>Training (quality, record keeping etc) for  lab technician on tests that are not covered under National disease control programs (Communicable and non-communicable).</t>
  </si>
  <si>
    <t>Training for Nurse, medical officer, Nephrologist, ANM/ASHA, patients &amp; bystanders on peritoneal dialysis/Haemodialysis</t>
  </si>
  <si>
    <t>9.5.29.13</t>
  </si>
  <si>
    <t>PPCL</t>
  </si>
  <si>
    <t>Spill over of Ongoing Upgradation Works approved in previous years</t>
  </si>
  <si>
    <t>H.18.1</t>
  </si>
  <si>
    <t>3.2.3.1.3</t>
  </si>
  <si>
    <t>Incentive for informant (Rs 500)</t>
  </si>
  <si>
    <t>9.1.7.1</t>
  </si>
  <si>
    <t>Support for setting up of ECHO hub at State &amp; District levels and spokes</t>
  </si>
  <si>
    <t>HSS/e-Gov</t>
  </si>
  <si>
    <t>9.1.7.2</t>
  </si>
  <si>
    <t xml:space="preserve">Honorarium/Incentive for trainers for trainings through ECHO </t>
  </si>
  <si>
    <t>9.1.7.3</t>
  </si>
  <si>
    <t>FMR Removed</t>
  </si>
  <si>
    <t>U.2.3.6</t>
  </si>
  <si>
    <t>U.6.1.5</t>
  </si>
  <si>
    <t>Equipment for AB-HWCs</t>
  </si>
  <si>
    <t>NHM Free Drug Services</t>
  </si>
  <si>
    <t>U.2.3.7</t>
  </si>
  <si>
    <t>Community based service delivery by AB-H&amp;WCs</t>
  </si>
  <si>
    <t xml:space="preserve">Procurement of Drugs &amp; Supplies </t>
  </si>
  <si>
    <t>U.16.1.2.2.1</t>
  </si>
  <si>
    <t>U.16.1.2.2.2</t>
  </si>
  <si>
    <t>P.4.4.1.1/P.4.4.1.2/P.4.4.1.3</t>
  </si>
  <si>
    <t>Procurement of drugs for facilities other than AB-HWCs (including UPHCs, UCHCs, Maternity Homes, etc)</t>
  </si>
  <si>
    <t>U.6.2.1.1</t>
  </si>
  <si>
    <t>U.6.2.1.2</t>
  </si>
  <si>
    <t>U.6.2.2.1</t>
  </si>
  <si>
    <t>U.6.2.2.2</t>
  </si>
  <si>
    <t>Supplies for Ayushman Bharat Health &amp; Wellness Centres (AB-H&amp;WC)</t>
  </si>
  <si>
    <t>Procurement of drugs for AB-H&amp;WCs</t>
  </si>
  <si>
    <t>Consumables/Supplies</t>
  </si>
  <si>
    <t>Supplies for facilities other than AB-HWCs (including UPHCs, UCHCs, Maternity Homes, etc)</t>
  </si>
  <si>
    <t>Provision of Free diagnostics at Ayushman Bharat Health &amp; Wellness Centres (AB-H&amp;WC)</t>
  </si>
  <si>
    <t>Provision of free diagnostics at facilities other than AB-HWCs (including UPHCs, UCHCs, Maternity Homes, etc)</t>
  </si>
  <si>
    <t>U.6.4.1</t>
  </si>
  <si>
    <t>U.6.4.2</t>
  </si>
  <si>
    <t>U.6.4.3</t>
  </si>
  <si>
    <t>1.2.3.4</t>
  </si>
  <si>
    <t>TB Patient Nutritional Support under Nikshay Poshan Yojana</t>
  </si>
  <si>
    <t>Patient wage loss for VL and PKDL</t>
  </si>
  <si>
    <t>3.1.1.4.8.1</t>
  </si>
  <si>
    <t>3.1.1.4.8.2</t>
  </si>
  <si>
    <t>3.1.1.4.8.3</t>
  </si>
  <si>
    <t>8.4.11</t>
  </si>
  <si>
    <t>B18.4</t>
  </si>
  <si>
    <t>U.9.5.7.1</t>
  </si>
  <si>
    <t>U.9.5.7.2</t>
  </si>
  <si>
    <t>U.9.5.7.3</t>
  </si>
  <si>
    <t>U.9.5.8.1</t>
  </si>
  <si>
    <t>U.9.5.8.2</t>
  </si>
  <si>
    <t>U.9.5.8.3</t>
  </si>
  <si>
    <t>U.9.5.8.5</t>
  </si>
  <si>
    <t>U.9.5.8.4</t>
  </si>
  <si>
    <t>U.6.3.1</t>
  </si>
  <si>
    <t>PPCL Grand Total</t>
  </si>
  <si>
    <t>PMNDP</t>
  </si>
  <si>
    <t>Approved</t>
  </si>
  <si>
    <t>Proposed</t>
  </si>
  <si>
    <t>Establishment of District level Adolescent Friendly Health Resource Centre (AFHRC)</t>
  </si>
  <si>
    <t>Infrastructure strengthening of SC  to H&amp;WC</t>
  </si>
  <si>
    <t>Infrastructure strengthening of PHC  to H&amp;WC</t>
  </si>
  <si>
    <t>Abstract for NPCB &amp; VI</t>
  </si>
  <si>
    <t>Operating Cost /OPEX for ambulances</t>
  </si>
  <si>
    <t>Trainings for Ayushman Bharat Health &amp; Wellness Centre (AB-H&amp;WC)</t>
  </si>
  <si>
    <t>Miscellaneous Activities under QA (Quality Course, etc.)</t>
  </si>
  <si>
    <t>Quality Assurance Monitoring cum Mentoring</t>
  </si>
  <si>
    <t>16.1.5.2.5.1</t>
  </si>
  <si>
    <t>16.1.5.2.5.2</t>
  </si>
  <si>
    <t>8.4.12</t>
  </si>
  <si>
    <t>Incentives under NVHCP for MO, Pharmacist and LT</t>
  </si>
  <si>
    <t>16.1.3.1.18.2</t>
  </si>
  <si>
    <t>16.1.3.1.21</t>
  </si>
  <si>
    <t>16.1.3.3.17</t>
  </si>
  <si>
    <t>Health System Strengthening (HSS)</t>
  </si>
  <si>
    <t>RMNCH+A including RI, IPPI, NIDDCP</t>
  </si>
  <si>
    <t>National Disease Control Programme</t>
  </si>
  <si>
    <t>National Tuberculosis Elimination Programme (NTEP)</t>
  </si>
  <si>
    <t>As in RoP 2020-21</t>
  </si>
  <si>
    <t>Physical Targets 2020-21</t>
  </si>
  <si>
    <t>Budget 2020-21</t>
  </si>
  <si>
    <t>Support for replacement of equipments (for meeting obligations of existing contract- signed before FY 2020-21, till tenancy of the same)</t>
  </si>
  <si>
    <t>Financial Progress FY 2020-21 (Rs. In Lakhs)</t>
  </si>
  <si>
    <t>Approved Budget as per RoPs 2020-21</t>
  </si>
  <si>
    <t>Expenditure
(till Dec '20)</t>
  </si>
  <si>
    <t>Proposed 2021-22 (Rs. In Lakhs)</t>
  </si>
  <si>
    <t>Approved 2021-22 (Rs. In Lakhs)</t>
  </si>
  <si>
    <t xml:space="preserve">Physical Achievement (as on Dec'20) </t>
  </si>
  <si>
    <t>Expenditure (as on Dec'20)</t>
  </si>
  <si>
    <t>Proposal for 2021-22</t>
  </si>
  <si>
    <t>Any Others</t>
  </si>
  <si>
    <t>8.1.1.5.1</t>
  </si>
  <si>
    <t>8.1.1.5.2</t>
  </si>
  <si>
    <t>Lab Technician</t>
  </si>
  <si>
    <t>Sr. Lab Technician 
(Graduate/ Post graduate in Biotech/ Microbiology/ Any science graduate (B.Sc) with DMLT</t>
  </si>
  <si>
    <t>18.1.1</t>
  </si>
  <si>
    <t>18.1.2</t>
  </si>
  <si>
    <t>18.1.3</t>
  </si>
  <si>
    <t>18.1.4</t>
  </si>
  <si>
    <t>18.1.5</t>
  </si>
  <si>
    <t>Innovations under RMNCH+A</t>
  </si>
  <si>
    <t>Innovations under HSS</t>
  </si>
  <si>
    <t>18.2.1</t>
  </si>
  <si>
    <t>18.2.2</t>
  </si>
  <si>
    <t>18.2.3</t>
  </si>
  <si>
    <t>18.2.4</t>
  </si>
  <si>
    <t>18.2.5</t>
  </si>
  <si>
    <t>Innovations under NDCP</t>
  </si>
  <si>
    <t>18.3.1</t>
  </si>
  <si>
    <t>18.3.2</t>
  </si>
  <si>
    <t>18.3.3</t>
  </si>
  <si>
    <t>18.3.4</t>
  </si>
  <si>
    <t>18.3.5</t>
  </si>
  <si>
    <t>Innovations under NCD</t>
  </si>
  <si>
    <t>18.4.1</t>
  </si>
  <si>
    <t>18.4.2</t>
  </si>
  <si>
    <t>18.4.3</t>
  </si>
  <si>
    <t>18.4.4</t>
  </si>
  <si>
    <t>18.4.5</t>
  </si>
  <si>
    <t>Approval for 2021-22</t>
  </si>
  <si>
    <t>Budget (Rs. In lakhs)</t>
  </si>
  <si>
    <t>Programmes</t>
  </si>
  <si>
    <t>F</t>
  </si>
  <si>
    <t>G</t>
  </si>
  <si>
    <t>H</t>
  </si>
  <si>
    <t xml:space="preserve">PM cost for E-rakt kosh- refer to strengthening of blood services guidelines </t>
  </si>
  <si>
    <t>Total no. of positions proposed</t>
  </si>
  <si>
    <t>Only for staff on deputation</t>
  </si>
  <si>
    <t>Pool/ Programme</t>
  </si>
  <si>
    <t>Ayushman Bharat Health &amp; Wellness Centre</t>
  </si>
  <si>
    <t>Strengthening of BCC/IEC Bureaus (state and district levels excl HR)</t>
  </si>
  <si>
    <t>HRH&amp;HPIP/NTEP</t>
  </si>
  <si>
    <t>NTEP</t>
  </si>
  <si>
    <t>Budget recommended by Programme Divisions (Rs. In lakhs)</t>
  </si>
  <si>
    <t>NTEP Grand Total</t>
  </si>
  <si>
    <t xml:space="preserve">Maternal Health </t>
  </si>
  <si>
    <t>Financing</t>
  </si>
  <si>
    <t>Medicines and Equipment</t>
  </si>
  <si>
    <t>Health Information Systems</t>
  </si>
  <si>
    <t>NDCP Flexi Pool</t>
  </si>
  <si>
    <t>National Program for Control of Blindness and Vision Impairment (NPCB&amp;VI)</t>
  </si>
  <si>
    <t>Pradhan Mantri National Dialysis Programme (PMNDP)</t>
  </si>
  <si>
    <t>National Programme for Prevention &amp; Control of Fluorosis (NPPCF)</t>
  </si>
  <si>
    <t>National Programme for Prevention &amp; Control of Deafness (NPPCD)</t>
  </si>
  <si>
    <t>National programme for Prevention and Management of Burns &amp; Injuries</t>
  </si>
  <si>
    <t>Programme for Prevention and Control of Leptospirosis (PPCL)</t>
  </si>
  <si>
    <t>NCD Flexi Pool</t>
  </si>
  <si>
    <t>Health workforce</t>
  </si>
  <si>
    <t>Leadership/ Governance</t>
  </si>
  <si>
    <t xml:space="preserve">IT Initiatives </t>
  </si>
  <si>
    <t>Referral Transport including NAS</t>
  </si>
  <si>
    <t>National MMU</t>
  </si>
  <si>
    <t>Community Action</t>
  </si>
  <si>
    <t>IEC</t>
  </si>
  <si>
    <t>National Free Diagnostics Services</t>
  </si>
  <si>
    <t>Human resources</t>
  </si>
  <si>
    <t>Comprehensive Primary Healthcare (CPHC)</t>
  </si>
  <si>
    <t>National Programmes (NRHM+NUHM)</t>
  </si>
  <si>
    <t>NUHM Flexi Pool</t>
  </si>
  <si>
    <t>Non-Metro</t>
  </si>
  <si>
    <t>Metro Cities</t>
  </si>
  <si>
    <t>NUHM Comprehensive Primary Healthcare (NUHM-CPHC)</t>
  </si>
  <si>
    <t>HSS Flexi Pool</t>
  </si>
  <si>
    <r>
      <t xml:space="preserve">Operating expenses for Facilities </t>
    </r>
    <r>
      <rPr>
        <sz val="11"/>
        <color indexed="8"/>
        <rFont val="Calibri"/>
        <family val="2"/>
        <scheme val="minor"/>
      </rPr>
      <t>(e.g. operating cost rent, electricity, stationary, internet, office expense etc.)</t>
    </r>
  </si>
  <si>
    <t>RKSK/ AH</t>
  </si>
  <si>
    <t>Imz</t>
  </si>
  <si>
    <t>RCH Flexible Pool</t>
  </si>
  <si>
    <t>NPPMBI</t>
  </si>
  <si>
    <t>Total</t>
  </si>
  <si>
    <t>RCH Tribal/ Vulnerable</t>
  </si>
  <si>
    <t>Blood Cell/ HSS</t>
  </si>
  <si>
    <t>National Free Drug Services</t>
  </si>
  <si>
    <t>HR</t>
  </si>
  <si>
    <t>PM</t>
  </si>
  <si>
    <t>Inv</t>
  </si>
  <si>
    <t>RT</t>
  </si>
  <si>
    <t>MMU</t>
  </si>
  <si>
    <t>CA</t>
  </si>
  <si>
    <t>Inf</t>
  </si>
  <si>
    <t>QA</t>
  </si>
  <si>
    <t>UF</t>
  </si>
  <si>
    <t>NFDS</t>
  </si>
  <si>
    <t>NGDgS</t>
  </si>
  <si>
    <t>BS</t>
  </si>
  <si>
    <t xml:space="preserve">HSS Others </t>
  </si>
  <si>
    <t>Total NHM</t>
  </si>
  <si>
    <t>Total NUHM</t>
  </si>
  <si>
    <t>FMR 1</t>
  </si>
  <si>
    <t>FMR 2</t>
  </si>
  <si>
    <t>FMR 3</t>
  </si>
  <si>
    <t>FMR 5</t>
  </si>
  <si>
    <t>FMR 7</t>
  </si>
  <si>
    <t>FMR 11</t>
  </si>
  <si>
    <t>FMR 12</t>
  </si>
  <si>
    <t>FMR 13</t>
  </si>
  <si>
    <t>FMR 4</t>
  </si>
  <si>
    <t>FMR 15</t>
  </si>
  <si>
    <t>FMR 6</t>
  </si>
  <si>
    <t>FMR 14</t>
  </si>
  <si>
    <t>FMR 8</t>
  </si>
  <si>
    <t>FMR 9</t>
  </si>
  <si>
    <t>FMR 16</t>
  </si>
  <si>
    <t>FMR 10</t>
  </si>
  <si>
    <t>FMR 17</t>
  </si>
  <si>
    <t>FMR 18</t>
  </si>
  <si>
    <t>NHM (Central Share)</t>
  </si>
  <si>
    <t>NHM (State Share)</t>
  </si>
  <si>
    <t>Ministry of Tribal Affairs</t>
  </si>
  <si>
    <t>Ministry of Minority Affairs</t>
  </si>
  <si>
    <t>Ministry of Social Justice and Empowerment</t>
  </si>
  <si>
    <t>Member of Parliament Local Area Development Scheme (MPLADS)</t>
  </si>
  <si>
    <t>Ministry of Development of North Eastern Region</t>
  </si>
  <si>
    <t>The Border Area Development Programme (BADP)</t>
  </si>
  <si>
    <t>District Mineral Foundation Fund</t>
  </si>
  <si>
    <t>Fund from Development partners</t>
  </si>
  <si>
    <t>Fund from CSR</t>
  </si>
  <si>
    <t>Fund for Aspirational Districts</t>
  </si>
  <si>
    <t>Sl. No</t>
  </si>
  <si>
    <t>Area specific Budget (in Cr)</t>
  </si>
  <si>
    <t>Total Budget (in Cr)</t>
  </si>
  <si>
    <t>Heads</t>
  </si>
  <si>
    <t>Summary of Budget of Annual State Health Plan</t>
  </si>
  <si>
    <t>Name of Districts</t>
  </si>
  <si>
    <t>Aspirational District (Y/N)</t>
  </si>
  <si>
    <t>% of State Allocation</t>
  </si>
  <si>
    <t>Sl No</t>
  </si>
  <si>
    <t>Name of State/ UT</t>
  </si>
  <si>
    <t>No. of Tribal Blocks</t>
  </si>
  <si>
    <t>No. of Blocks</t>
  </si>
  <si>
    <t>No. of SC Blocks</t>
  </si>
  <si>
    <t>HRH&amp;HPIP/ NPPCF</t>
  </si>
  <si>
    <t>HRH&amp;HPIP/ NPPC</t>
  </si>
  <si>
    <t>PMBI Grand Total</t>
  </si>
  <si>
    <t>I</t>
  </si>
  <si>
    <t>Abstract for NTEP</t>
  </si>
  <si>
    <t>NUHM Summary Sheet</t>
  </si>
  <si>
    <t>Operating cost for Paediatric HDU, Emergency, OPD and Ward</t>
  </si>
  <si>
    <t>6.2.6.6</t>
  </si>
  <si>
    <t>Staff for Obstetric ICUs/HDUs/ Emergency</t>
  </si>
  <si>
    <t>12.2.14</t>
  </si>
  <si>
    <t>Printing for Paediatric HDU, Emergency, OPD and Ward</t>
  </si>
  <si>
    <t>U.3.1.2.1</t>
  </si>
  <si>
    <t>U.3.1.2.2</t>
  </si>
  <si>
    <t>HMIS-RCH (MMPC Projects)</t>
  </si>
  <si>
    <t>Abstract for HMIS-RCH (MMPC Projects)</t>
  </si>
  <si>
    <t>Universal health check-up and screening of NCDs (May propose organizing outreach activities for NCD screening in non-PBS districts)</t>
  </si>
  <si>
    <t>Drugs &amp; Diagnostics Cancer care</t>
  </si>
  <si>
    <t>Drugs &amp; consumables for NCD management (includes Diabetes, Hypertension, Stroke, etc) for whole district</t>
  </si>
  <si>
    <t>COPD Drugs and Consumables in whole district</t>
  </si>
  <si>
    <t>Drugs &amp; Diagnostics for Cardiac care</t>
  </si>
  <si>
    <t>Drugs &amp; Diagnostics for NCD management (includes Diabetes, Hypertension, etc)</t>
  </si>
  <si>
    <t>Consumables for PHC level: Glucostrips, lancet, swabs, etc</t>
  </si>
  <si>
    <t>Consumables for Sub-Centre level: Glucostrips, lancet, swabs, etc</t>
  </si>
  <si>
    <t>Source of Funding</t>
  </si>
  <si>
    <t>Summary Sheets</t>
  </si>
  <si>
    <t>District Allocation and Sub Plan</t>
  </si>
  <si>
    <t>Budget Summary Table</t>
  </si>
  <si>
    <t>Upgradation</t>
  </si>
  <si>
    <t xml:space="preserve">Lab strengthening for SHC - HWC </t>
  </si>
  <si>
    <t xml:space="preserve">Lab strengthening for PHC - HWC </t>
  </si>
  <si>
    <t xml:space="preserve">Training on CPCH for CHOs </t>
  </si>
  <si>
    <t xml:space="preserve">Multiskilling of MPW and ASHAs at HWCs (SHC and PHC) </t>
  </si>
  <si>
    <t xml:space="preserve">Additional Training of CHOs </t>
  </si>
  <si>
    <t>Training of MO and Staff nurses</t>
  </si>
  <si>
    <t>U.1.1.1.1</t>
  </si>
  <si>
    <t>U.1.1.1.2</t>
  </si>
  <si>
    <t>U.1.1.1.3</t>
  </si>
  <si>
    <t>U.1.1.1.4</t>
  </si>
  <si>
    <t>Non Communicable Disease Control Programme and Zoonotic Diseases</t>
  </si>
  <si>
    <t>Total RE Allocated for the State/ UT (in Cr)</t>
  </si>
  <si>
    <t>Central Government (including Medical Education/ PMSSY/ Tertiary care programme/ Pharmacology etc.)</t>
  </si>
  <si>
    <t>NACO</t>
  </si>
  <si>
    <t>Ministry of AYUSH</t>
  </si>
  <si>
    <t>Finance Commission Grant</t>
  </si>
  <si>
    <t>c</t>
  </si>
  <si>
    <t>Incentive for RMNCH+A Services</t>
  </si>
  <si>
    <t>Incentive for MH Services</t>
  </si>
  <si>
    <t>Activity list</t>
  </si>
  <si>
    <t>NVBDCP- Malaria</t>
  </si>
  <si>
    <t>Incentive for CH Services</t>
  </si>
  <si>
    <t>Incentive for Immunization services</t>
  </si>
  <si>
    <t>Incentive for Immunization Services</t>
  </si>
  <si>
    <t>Incentive for National Disease Control Programmes</t>
  </si>
  <si>
    <t>Incentive for NVBDCP</t>
  </si>
  <si>
    <t>o</t>
  </si>
  <si>
    <t>t</t>
  </si>
  <si>
    <t>n</t>
  </si>
  <si>
    <t>MH/ NHSRC-CP</t>
  </si>
  <si>
    <t>RI/ NHSRC-CP</t>
  </si>
  <si>
    <t>FP/ NHSRC-CP</t>
  </si>
  <si>
    <t>AH/ NHSRC-CP</t>
  </si>
  <si>
    <t>Any other ASHA incentives</t>
  </si>
  <si>
    <t xml:space="preserve">Training of ASHA </t>
  </si>
  <si>
    <t>P</t>
  </si>
  <si>
    <t>y</t>
  </si>
  <si>
    <t xml:space="preserve">Support Mechanisms </t>
  </si>
  <si>
    <t>Supportive provisions  (uniform/ awards etc)</t>
  </si>
  <si>
    <t>ASHA incentive for supporting IRS / sensitizing community to accept IRS and Referral / Ensuring treatment for Kala-azar cases</t>
  </si>
  <si>
    <t xml:space="preserve">Filling up of CBAC form and mobilizing for NCD screening </t>
  </si>
  <si>
    <t xml:space="preserve">Follow up of NCD patients for treatment initiation and compliance </t>
  </si>
  <si>
    <t xml:space="preserve">Training on Expanded services packages at HWCs </t>
  </si>
  <si>
    <t xml:space="preserve">Supplementary /Refresher/ Other  training for ASHAs </t>
  </si>
  <si>
    <t xml:space="preserve">Supplementary /Refresher training for ASHAs </t>
  </si>
  <si>
    <t xml:space="preserve">Other training </t>
  </si>
  <si>
    <t>Support provisions to ASHA</t>
  </si>
  <si>
    <t>Uniform</t>
  </si>
  <si>
    <t>ID cards</t>
  </si>
  <si>
    <t>Awards</t>
  </si>
  <si>
    <t>Samelan</t>
  </si>
  <si>
    <t xml:space="preserve">CUG </t>
  </si>
  <si>
    <t>5.3.2/ B1.1.3.7</t>
  </si>
  <si>
    <t>Other Community level Interventions for AH Services</t>
  </si>
  <si>
    <t>Other Community level Interventions under NTEP</t>
  </si>
  <si>
    <t>O</t>
  </si>
  <si>
    <t>l</t>
  </si>
  <si>
    <t>Other Community level Interventions under NVHCP</t>
  </si>
  <si>
    <t>Community level Interventions for FP Services</t>
  </si>
  <si>
    <t>Other Community level Interventions for RMNCH+A Services</t>
  </si>
  <si>
    <t>Other Community level Interventions under NDCP</t>
  </si>
  <si>
    <t>Incentive under NCD</t>
  </si>
  <si>
    <t>Incentive under NIDDCP</t>
  </si>
  <si>
    <t>3.2.1.1</t>
  </si>
  <si>
    <t>3.2.1.2</t>
  </si>
  <si>
    <t>Community level Interventions for AH Services</t>
  </si>
  <si>
    <t>Community level Interventions under NVHCP</t>
  </si>
  <si>
    <t>Community Action for Health</t>
  </si>
  <si>
    <t>Other Community level Interventions under NVBDCP</t>
  </si>
  <si>
    <t>Community level Interventions under NVBDCP</t>
  </si>
  <si>
    <t>Other Community level Interventions under NCD</t>
  </si>
  <si>
    <t>Other Community level Interventions under NMHP</t>
  </si>
  <si>
    <t>Community level Interventions under NMHP</t>
  </si>
  <si>
    <t>3.2.2.1</t>
  </si>
  <si>
    <t>3.2.2.3</t>
  </si>
  <si>
    <t>Incentive under DCPs</t>
  </si>
  <si>
    <t>Incentive underNLEP</t>
  </si>
  <si>
    <t>B4.1.1 to B4.1.6/ B5.6/ A.9.10/ B.5.10</t>
  </si>
  <si>
    <t>B4.1.1 to B4.1.4/ B4.1.6/ B.5.10</t>
  </si>
  <si>
    <t>Additional building/ Major Upgradation of existing facilities/ Structure</t>
  </si>
  <si>
    <t>HSS/ CH</t>
  </si>
  <si>
    <t>Renovation of PC unit/ OPD/ Beds/ Miscellaneous equipment etc.</t>
  </si>
  <si>
    <t>Civil Works under NTEP</t>
  </si>
  <si>
    <t>Maintenance of office equipment for DTC, DRTB centre and Labs (under NTEP)</t>
  </si>
  <si>
    <t>Drugs &amp; supplies for NTEP</t>
  </si>
  <si>
    <t>Replacement of Vehicles under NTEP</t>
  </si>
  <si>
    <t>Trainings under NTEP</t>
  </si>
  <si>
    <t>IEC/BCC activities under NTEP</t>
  </si>
  <si>
    <t>Printing activities under NTEP</t>
  </si>
  <si>
    <t>Human resources for NTEP drug store</t>
  </si>
  <si>
    <t>PPP under NTEP</t>
  </si>
  <si>
    <t>All state level PM staff under IDSP, NVBDCP, NLEP, NTEP, NVHCP</t>
  </si>
  <si>
    <t>All district level PM staff under IDSP, NVBDCP, NLEP, NTEP, NVHCP</t>
  </si>
  <si>
    <t>All block level PM staff under IDSP, NVBDCP, NLEP, NTEP, NVHCP</t>
  </si>
  <si>
    <t>HSS/ Nursing</t>
  </si>
  <si>
    <t>HSS/ NHSRC-CP</t>
  </si>
  <si>
    <t>Procurement of bio-medical and other equipment: RI</t>
  </si>
  <si>
    <t>Procurement of bio-medical and other equipment: NIDDCP</t>
  </si>
  <si>
    <t xml:space="preserve">Procurement of bio-medical and other equipment: Training </t>
  </si>
  <si>
    <t>Procurement of bio-medical and other equipment: Blood Banks/BSUs</t>
  </si>
  <si>
    <t>Procurement of bio-medical and other Equipment: IDSP</t>
  </si>
  <si>
    <t>Procurement of bio-medical and other Equipment: NVBDCP</t>
  </si>
  <si>
    <t>Procurement of bio-medical and other Equipment: NLEP</t>
  </si>
  <si>
    <t>Procurement of bio-medical and other Equipment: NTEP</t>
  </si>
  <si>
    <t>Procurement of bio-medical and other Equipment: NPCB</t>
  </si>
  <si>
    <t>Procurement of bio-medical and other Equipment: NPPCD</t>
  </si>
  <si>
    <t>Procurement of bio-medical and other Equipment: NOHP</t>
  </si>
  <si>
    <t>Procurement of bio-medical and other Equipment: NPPC</t>
  </si>
  <si>
    <t>Procurement of bio-medical and other Equipment: Burns &amp; Injury</t>
  </si>
  <si>
    <t>Procurement of bio-medical and other Equipment: NMHP</t>
  </si>
  <si>
    <t>Procurement of bio-medical and other Equipment: NPHCE</t>
  </si>
  <si>
    <t>Procurement of bio-medical and other equipment: NTCP</t>
  </si>
  <si>
    <t>Procurement of bio-medical and other equipment: NPCDCS</t>
  </si>
  <si>
    <t>Procurement of bio-medical and other equipment: National Dialysis Programme</t>
  </si>
  <si>
    <t>6.1.1.16.2/ 6.1.2.2.5</t>
  </si>
  <si>
    <t>HSS/ HMIS-MCTS</t>
  </si>
  <si>
    <t>HCT</t>
  </si>
  <si>
    <t>Any other equipment (including equipment for SRC/MNCU/SNCU/ NBSU/NBCC/NRC/ etc</t>
  </si>
  <si>
    <t>J</t>
  </si>
  <si>
    <t>K</t>
  </si>
  <si>
    <t>L</t>
  </si>
  <si>
    <t>N</t>
  </si>
  <si>
    <t>Procurement of bio-medical and other equipment:  MH</t>
  </si>
  <si>
    <t>Procurement of bio-medical and other equipment under RMNCH+A</t>
  </si>
  <si>
    <t>Procurement of bio-medical and other equipment under HSS</t>
  </si>
  <si>
    <t>Procurement of bio-medical and other equipment under NDCP</t>
  </si>
  <si>
    <t>Procurement of bio-medical and other equipment under NCD</t>
  </si>
  <si>
    <t>Replenishment of ASHA HBNC and HBYC kits</t>
  </si>
  <si>
    <t>Procurement of drugs and suuplies under NDCP</t>
  </si>
  <si>
    <t>Procurement of drugs and suuplies under NCD</t>
  </si>
  <si>
    <t>Other Procurement</t>
  </si>
  <si>
    <t>II</t>
  </si>
  <si>
    <t>a</t>
  </si>
  <si>
    <t>b</t>
  </si>
  <si>
    <t>e</t>
  </si>
  <si>
    <t>d</t>
  </si>
  <si>
    <t>Procurement of Bio-medical and other Equipment under RMNCH+A</t>
  </si>
  <si>
    <t>Procurement of Bio-medical and other Equipment under HSS</t>
  </si>
  <si>
    <t>Procurement of bio-medical and other equipment: AYUSH</t>
  </si>
  <si>
    <t>Procurement of bio-medical and other equipment:  CH</t>
  </si>
  <si>
    <t>Procurement of bio-medical and other equipment:  FP</t>
  </si>
  <si>
    <t>Procurement of bio-medical and other equipment:  AH</t>
  </si>
  <si>
    <t>Procurement of bio-medical and other equipment:  RBSK</t>
  </si>
  <si>
    <t>Procurement of bio-medical and other Equipment: NRCP</t>
  </si>
  <si>
    <t>Maintenance of bio-medical and other equipment</t>
  </si>
  <si>
    <t>Procurement of drugs and supplies under RMNCH+A</t>
  </si>
  <si>
    <t>Drugs and supplies under NRCP</t>
  </si>
  <si>
    <t>Drugs and supplies under PPCL</t>
  </si>
  <si>
    <t>Procurement of Bio-medical and other Equipment under NDCP</t>
  </si>
  <si>
    <t>Free Diagnostic services under RMNCH+A</t>
  </si>
  <si>
    <t>Free Diagnostic Services</t>
  </si>
  <si>
    <t>6.1.4</t>
  </si>
  <si>
    <t>HSS/ Nursing/ Training</t>
  </si>
  <si>
    <t>6.1.4.1</t>
  </si>
  <si>
    <t>6.1.4.2</t>
  </si>
  <si>
    <t>6.1.4.3</t>
  </si>
  <si>
    <t>6.1.4.4</t>
  </si>
  <si>
    <t>6.1.4.5</t>
  </si>
  <si>
    <t>Procurement of Bio-medical and other Equipment under NCD</t>
  </si>
  <si>
    <t>6.1.5</t>
  </si>
  <si>
    <t>6.1.5.1</t>
  </si>
  <si>
    <t>6.1.5.2</t>
  </si>
  <si>
    <t>6.1.5.3</t>
  </si>
  <si>
    <t>6.1.5.4</t>
  </si>
  <si>
    <t>6.1.5.5</t>
  </si>
  <si>
    <t>6.1.5.6</t>
  </si>
  <si>
    <t>6.1.5.7</t>
  </si>
  <si>
    <t>Procurement of drugs and supplies under HSS</t>
  </si>
  <si>
    <t xml:space="preserve">Local purchase of spare parts ( for in-house repair of medical devices by biomedical engineers/technician) </t>
  </si>
  <si>
    <t>Comprehensive Bio-Medical Equipment Maintenance Programme</t>
  </si>
  <si>
    <t>Procurement of drugs and supplies under NDCP</t>
  </si>
  <si>
    <t>Procurement of drugs and supplies under NCD</t>
  </si>
  <si>
    <t>NVBDCP-Dengue &amp; Chikungunya</t>
  </si>
  <si>
    <t>NVBDCP-AES/JE</t>
  </si>
  <si>
    <t>NVBDCP-Lymphatic Filariasis</t>
  </si>
  <si>
    <t>NVBDCP- Kala-azar</t>
  </si>
  <si>
    <t>NVBDCP-Malaria</t>
  </si>
  <si>
    <t>NVBDCP – Malaria</t>
  </si>
  <si>
    <t>HRH&amp;HPIP/ NVBDCP – Malaria</t>
  </si>
  <si>
    <t>HRH&amp;HPIP/ NVBDCP - GFATM</t>
  </si>
  <si>
    <t>HRH&amp;HPIP/ NVBDCP-Dengue &amp; Chikungunya</t>
  </si>
  <si>
    <t>HRH&amp;HPIP/ NVBDCP-AES/JE</t>
  </si>
  <si>
    <t>HRH&amp;HPIP/ NVBDCP-Lymphatic Filariasis</t>
  </si>
  <si>
    <t>HRH&amp;HPIP/ NVBDCP- Kala-azar</t>
  </si>
  <si>
    <t>Mobility support for Field activities for State MVCR Cell</t>
  </si>
  <si>
    <t>HRH&amp;HPIP/ NVBDCP-Malaria</t>
  </si>
  <si>
    <t>CP</t>
  </si>
  <si>
    <t>Supplies for Immunization</t>
  </si>
  <si>
    <t>Procurement of Drugs and Supplies</t>
  </si>
  <si>
    <t>6.1.6</t>
  </si>
  <si>
    <t>6.1.5.8</t>
  </si>
  <si>
    <t>6.1.5.9</t>
  </si>
  <si>
    <t>6.1.5.10</t>
  </si>
  <si>
    <t>6.1.6.1</t>
  </si>
  <si>
    <t>6.1.6.2</t>
  </si>
  <si>
    <t>6.1.6.3</t>
  </si>
  <si>
    <t>6.1.6.4</t>
  </si>
  <si>
    <t>6.1.6.5</t>
  </si>
  <si>
    <t>6.1.6.6</t>
  </si>
  <si>
    <t>6.1.6.7</t>
  </si>
  <si>
    <t>6.2.3.3</t>
  </si>
  <si>
    <t>6.2.3.4</t>
  </si>
  <si>
    <t>6.2.3.5</t>
  </si>
  <si>
    <t>6.2.3.6</t>
  </si>
  <si>
    <t>6.2.4.5</t>
  </si>
  <si>
    <t>6.2.4.6</t>
  </si>
  <si>
    <t>6.2.4.7</t>
  </si>
  <si>
    <t xml:space="preserve">IT equipment for HWCs (PHC and SHCS) </t>
  </si>
  <si>
    <t>6.1.2.7</t>
  </si>
  <si>
    <t>ICT for HWC- Internet connection</t>
  </si>
  <si>
    <t>IT Equipment for HWC</t>
  </si>
  <si>
    <t>Sub-Annexure for Community Intervention</t>
  </si>
  <si>
    <t>Sub-Annexure for Procurement</t>
  </si>
  <si>
    <t>Sub-Annexure for Training and Capacity Building</t>
  </si>
  <si>
    <t>Setting up Training Institutions for MH Services</t>
  </si>
  <si>
    <t>Setting up of ECHO hub</t>
  </si>
  <si>
    <t>HR for Nursing Schools/ Institutions/ Nursing Directorate/ SIHFW supported under NHM</t>
  </si>
  <si>
    <t>Conducting Trainings including medical (DNB/CPS)/paramedical/nursing courses</t>
  </si>
  <si>
    <t>Trainings under RMNCH+A</t>
  </si>
  <si>
    <t xml:space="preserve">Development/ translation and duplication of training materials </t>
  </si>
  <si>
    <t>Development of SAANS training modules</t>
  </si>
  <si>
    <t>f</t>
  </si>
  <si>
    <t>g</t>
  </si>
  <si>
    <t>h</t>
  </si>
  <si>
    <t>j</t>
  </si>
  <si>
    <t>k</t>
  </si>
  <si>
    <t>m</t>
  </si>
  <si>
    <t>p</t>
  </si>
  <si>
    <t>q</t>
  </si>
  <si>
    <t>r</t>
  </si>
  <si>
    <t>s</t>
  </si>
  <si>
    <t>u</t>
  </si>
  <si>
    <t>v</t>
  </si>
  <si>
    <t>w</t>
  </si>
  <si>
    <t>x</t>
  </si>
  <si>
    <t>z</t>
  </si>
  <si>
    <t>aa</t>
  </si>
  <si>
    <t>ab</t>
  </si>
  <si>
    <t>Trainings under HSS</t>
  </si>
  <si>
    <t>Trainings under NDCP</t>
  </si>
  <si>
    <t>Trainings under NCD</t>
  </si>
  <si>
    <t>Trainings for NRCP</t>
  </si>
  <si>
    <t>Capacity Building of ARC HR at State Level</t>
  </si>
  <si>
    <t>Capacity Building of ARC HR at District Level</t>
  </si>
  <si>
    <t>Capacity Building of ARC HR at Block Level</t>
  </si>
  <si>
    <t>Trainings under NPCCHH</t>
  </si>
  <si>
    <t>Trainings for PPCL</t>
  </si>
  <si>
    <t>Other Trainings</t>
  </si>
  <si>
    <t>Other trainings</t>
  </si>
  <si>
    <t>Activity List</t>
  </si>
  <si>
    <t>9.1.4.1</t>
  </si>
  <si>
    <t>9.1.4.2</t>
  </si>
  <si>
    <t>9.1.4.3</t>
  </si>
  <si>
    <t>9.1.4.4</t>
  </si>
  <si>
    <t>9.1.4.5</t>
  </si>
  <si>
    <t>9.1.4.6</t>
  </si>
  <si>
    <t>9.2.1.1</t>
  </si>
  <si>
    <t>9.2.1.2</t>
  </si>
  <si>
    <t>9.2.1.3</t>
  </si>
  <si>
    <t>9.2.1.4</t>
  </si>
  <si>
    <t>9.2.1.5</t>
  </si>
  <si>
    <t>9.2.1.6</t>
  </si>
  <si>
    <t>9.2.1.7</t>
  </si>
  <si>
    <t>9.2.1.8</t>
  </si>
  <si>
    <t>Other trainings (including training under RCH Tribal/ Vulnerable)</t>
  </si>
  <si>
    <t>9.2.2.1</t>
  </si>
  <si>
    <t>9.2.2.2</t>
  </si>
  <si>
    <t>9.2.2.3</t>
  </si>
  <si>
    <t>9.2.2.4</t>
  </si>
  <si>
    <t>9.2.2.5</t>
  </si>
  <si>
    <t>9.2.2.6</t>
  </si>
  <si>
    <t>9.2.2.7</t>
  </si>
  <si>
    <t>9.2.2.8</t>
  </si>
  <si>
    <t>9.2.2.9</t>
  </si>
  <si>
    <t>9.2.2.10</t>
  </si>
  <si>
    <t>9.2.2.11</t>
  </si>
  <si>
    <t>9.2.2.12</t>
  </si>
  <si>
    <t>9.2.2.13</t>
  </si>
  <si>
    <t>9.2.2.14</t>
  </si>
  <si>
    <t>9.2.2.15</t>
  </si>
  <si>
    <t>9.2.2.16</t>
  </si>
  <si>
    <t>HR/ FMG</t>
  </si>
  <si>
    <t>PHA/ HSS</t>
  </si>
  <si>
    <t>Training related to Implementation of Clinical Establishment Act</t>
  </si>
  <si>
    <t>Trainings under PMNDP</t>
  </si>
  <si>
    <t>9.2.3.1</t>
  </si>
  <si>
    <t>9.2.4.1</t>
  </si>
  <si>
    <t>9.2.4.2</t>
  </si>
  <si>
    <t>9.2.4.3</t>
  </si>
  <si>
    <t>9.2.4.4</t>
  </si>
  <si>
    <t>9.2.4.5</t>
  </si>
  <si>
    <t>9.2.4.6</t>
  </si>
  <si>
    <t>9.2.4.7</t>
  </si>
  <si>
    <t>9.2.4.8</t>
  </si>
  <si>
    <t>9.2.4.9</t>
  </si>
  <si>
    <t>9.2.4.10</t>
  </si>
  <si>
    <t>9.2.3.2</t>
  </si>
  <si>
    <t>9.2.3.3</t>
  </si>
  <si>
    <t>9.2.3.4</t>
  </si>
  <si>
    <t>9.2.3.5</t>
  </si>
  <si>
    <t>9.2.3.6</t>
  </si>
  <si>
    <t>9.2.3.7</t>
  </si>
  <si>
    <t>Training and Capacity Building</t>
  </si>
  <si>
    <t>HSS / Nursing Directorate</t>
  </si>
  <si>
    <t>Trainings on Outreach Services/ RT</t>
  </si>
  <si>
    <t>RCH Pool</t>
  </si>
  <si>
    <t>NDCP Pool</t>
  </si>
  <si>
    <t>e-Gov</t>
  </si>
  <si>
    <t>NTEP/ HRH</t>
  </si>
  <si>
    <t>PPP under HSS</t>
  </si>
  <si>
    <t>PPP under RMNCH+A</t>
  </si>
  <si>
    <t>15.9.1/ B13.1</t>
  </si>
  <si>
    <t>15.9.2/ B13.2</t>
  </si>
  <si>
    <t>15.9.3/ B13.3</t>
  </si>
  <si>
    <t>15.9.5/ B14.1</t>
  </si>
  <si>
    <t>15.9.6/ B18.3</t>
  </si>
  <si>
    <t>15.2.2</t>
  </si>
  <si>
    <t>15.2.3</t>
  </si>
  <si>
    <t>15.2.4</t>
  </si>
  <si>
    <t>15.2.5</t>
  </si>
  <si>
    <t>15.2.6</t>
  </si>
  <si>
    <t>Any other PPP initiative under RMNCH+A</t>
  </si>
  <si>
    <t>Any other PPP initiative under HSS</t>
  </si>
  <si>
    <t>15.1.3</t>
  </si>
  <si>
    <t>PPP under NDCP</t>
  </si>
  <si>
    <t>15.3.1/ F.1.1.e</t>
  </si>
  <si>
    <t>15.3.2/ F.1.2.g</t>
  </si>
  <si>
    <t>15.3.1.1</t>
  </si>
  <si>
    <t>15.3.1.2</t>
  </si>
  <si>
    <t>15.4.1/ G.1.5</t>
  </si>
  <si>
    <t>15.4.3.1</t>
  </si>
  <si>
    <t>15.3.2.1</t>
  </si>
  <si>
    <t>15.3.2.2</t>
  </si>
  <si>
    <t>15.5.2/ H.9.1</t>
  </si>
  <si>
    <t>15.5.3/ H.9.2</t>
  </si>
  <si>
    <t>15.3.3</t>
  </si>
  <si>
    <t>15.3.3.1</t>
  </si>
  <si>
    <t>15.3.4</t>
  </si>
  <si>
    <t>PPP under NVHCP</t>
  </si>
  <si>
    <t>15.3.4.1</t>
  </si>
  <si>
    <t>15.3.5</t>
  </si>
  <si>
    <t>Any other PPP initiative under NDCP</t>
  </si>
  <si>
    <t>Public Private Partnership under NPPCD</t>
  </si>
  <si>
    <t>15.2.1/ B.25.1.2</t>
  </si>
  <si>
    <t>Reimbursement for Other Eye Diseases</t>
  </si>
  <si>
    <t>15.6.1/ I.1.1</t>
  </si>
  <si>
    <t>15.6.2/ I.1.2</t>
  </si>
  <si>
    <t>15.6.3/ I.2.3</t>
  </si>
  <si>
    <t>15.6.4/ I.2.6</t>
  </si>
  <si>
    <t>NGO based activities under NMHP</t>
  </si>
  <si>
    <t>15.8/ O.2.6</t>
  </si>
  <si>
    <t>15.8.1/ O.2.6.1</t>
  </si>
  <si>
    <t>15.8.2/ O.2.6.2</t>
  </si>
  <si>
    <t>15.8.3/ O.2.6.3</t>
  </si>
  <si>
    <t>15.9.4/ B.13.4</t>
  </si>
  <si>
    <t>PPP under NCD</t>
  </si>
  <si>
    <t>15.4.3</t>
  </si>
  <si>
    <t>15.4.3.2</t>
  </si>
  <si>
    <t>15.4.3.4</t>
  </si>
  <si>
    <t>15.4.3.5</t>
  </si>
  <si>
    <t>15.4.3.6</t>
  </si>
  <si>
    <t>15.4.4</t>
  </si>
  <si>
    <t>15.4.5</t>
  </si>
  <si>
    <t>15.4.5.1</t>
  </si>
  <si>
    <t>15.4.5.2</t>
  </si>
  <si>
    <t>15.4.5.3</t>
  </si>
  <si>
    <t>15.4.5.4</t>
  </si>
  <si>
    <t>15.4.6</t>
  </si>
  <si>
    <t>NCD Pool</t>
  </si>
  <si>
    <t>Any other PPP initiative under NCD</t>
  </si>
  <si>
    <t>Programme Management Activities under RMNCH+A</t>
  </si>
  <si>
    <t>Programme Management Activities under HSS</t>
  </si>
  <si>
    <t>Programme Management Activities under NDCP</t>
  </si>
  <si>
    <t>Programme Management Activities under NCD</t>
  </si>
  <si>
    <t>To be allocated proportionally as ber PM cost available</t>
  </si>
  <si>
    <t>PM cost related to NPCDCS</t>
  </si>
  <si>
    <t>Sub-Annexure for Programme Management Activities</t>
  </si>
  <si>
    <t>i</t>
  </si>
  <si>
    <t>r.2</t>
  </si>
  <si>
    <t>e.1</t>
  </si>
  <si>
    <t>e.2</t>
  </si>
  <si>
    <t>n.1</t>
  </si>
  <si>
    <t>o.1</t>
  </si>
  <si>
    <t>o.2</t>
  </si>
  <si>
    <t>HRH&amp;HPIP/ NHSRC-CP</t>
  </si>
  <si>
    <t>Others (SHSRC)</t>
  </si>
  <si>
    <t>Sub-Annexure for Printing</t>
  </si>
  <si>
    <t>Printing under RMNCH+A</t>
  </si>
  <si>
    <t>Printing under HSS</t>
  </si>
  <si>
    <t>Printing under NDCP</t>
  </si>
  <si>
    <t>Printing of formats for Monitoring and Surveillance under NRCP</t>
  </si>
  <si>
    <t>Printing activities under PPCL</t>
  </si>
  <si>
    <t>Printing activities under NPCB+VI</t>
  </si>
  <si>
    <t>Printing activities under NMHP</t>
  </si>
  <si>
    <t>Printing activities under NPHCE</t>
  </si>
  <si>
    <t>Printing activities under PMNDP</t>
  </si>
  <si>
    <t>Printing activities under Burns and Injuries</t>
  </si>
  <si>
    <t>Printing activities under NPPC</t>
  </si>
  <si>
    <t>Printing activities under NPPCD</t>
  </si>
  <si>
    <t>Printing activities under NOHP</t>
  </si>
  <si>
    <t>Printing activities under NPPCF</t>
  </si>
  <si>
    <t>Printing activities under PC-PNDT</t>
  </si>
  <si>
    <t>Printing activities under IDSP</t>
  </si>
  <si>
    <t>Printing under NCD</t>
  </si>
  <si>
    <t>12.1.6</t>
  </si>
  <si>
    <t>12.1.7</t>
  </si>
  <si>
    <t>12.3.6</t>
  </si>
  <si>
    <t>12.3.7</t>
  </si>
  <si>
    <t>12.4.7</t>
  </si>
  <si>
    <t>12.4.8</t>
  </si>
  <si>
    <t>12.4.9</t>
  </si>
  <si>
    <t>12.4.10</t>
  </si>
  <si>
    <t>12.4.11</t>
  </si>
  <si>
    <t>12.4.12</t>
  </si>
  <si>
    <t>12.17.1/ B.10.6.14.2</t>
  </si>
  <si>
    <t>Sub-Annexure for IEC/ BCC</t>
  </si>
  <si>
    <t>IEC/ BCC activities under RMNCH+A</t>
  </si>
  <si>
    <t>IEC/ BCC activities under HSS</t>
  </si>
  <si>
    <t>IEC/ BCC activities under NDCP</t>
  </si>
  <si>
    <t>IEC/ BCC activities under NCD</t>
  </si>
  <si>
    <t>IEC/BCC under NRCP: Rabies Awareness and Do's and Don'ts in the event of Animal Bites</t>
  </si>
  <si>
    <t>11.4/ B.10.3.1</t>
  </si>
  <si>
    <t>11.5/ B.10.3.2</t>
  </si>
  <si>
    <t>11.6/ B.10.3.3</t>
  </si>
  <si>
    <t>11.7/ B.10.3.4</t>
  </si>
  <si>
    <t>11.1/ B.10.2</t>
  </si>
  <si>
    <t>11.10/ B.10.7.4.5</t>
  </si>
  <si>
    <t>11.24.1/ B18.3</t>
  </si>
  <si>
    <t>11.19/ B.10.6.12</t>
  </si>
  <si>
    <t>11.22/ O.2.3</t>
  </si>
  <si>
    <t>11.11/ B.10.6.5</t>
  </si>
  <si>
    <t>11.4.4</t>
  </si>
  <si>
    <t>11.4.5</t>
  </si>
  <si>
    <t>11.4.6</t>
  </si>
  <si>
    <t>11.4.7</t>
  </si>
  <si>
    <t>11.4.8</t>
  </si>
  <si>
    <t>11.4.9</t>
  </si>
  <si>
    <t>11.4.10</t>
  </si>
  <si>
    <t>11.4.11</t>
  </si>
  <si>
    <t>11.1.1</t>
  </si>
  <si>
    <t>11.2.1</t>
  </si>
  <si>
    <t>11.3.1</t>
  </si>
  <si>
    <t>11.1.2</t>
  </si>
  <si>
    <t>11.1.3</t>
  </si>
  <si>
    <t>11.1.4</t>
  </si>
  <si>
    <t>11.1.5</t>
  </si>
  <si>
    <t>11.1.6</t>
  </si>
  <si>
    <t>11.1.7</t>
  </si>
  <si>
    <t>11.2.2</t>
  </si>
  <si>
    <t>11.2.3</t>
  </si>
  <si>
    <t>11.2.4</t>
  </si>
  <si>
    <t>11.2.5</t>
  </si>
  <si>
    <t>11.2.6</t>
  </si>
  <si>
    <t>11.2.7</t>
  </si>
  <si>
    <t>11.3.2</t>
  </si>
  <si>
    <t>11.3.3</t>
  </si>
  <si>
    <t>11.3.4</t>
  </si>
  <si>
    <t>11.3.5</t>
  </si>
  <si>
    <t>IEC under NVHCP</t>
  </si>
  <si>
    <t>11.3.6</t>
  </si>
  <si>
    <t>IEC/ BCC under NVHCP</t>
  </si>
  <si>
    <t>State Government (health budget other than NHM, including Medical Education)</t>
  </si>
  <si>
    <t>Any Other residual head (Please specify…)</t>
  </si>
  <si>
    <t>Budget Released in FY 2020-21</t>
  </si>
  <si>
    <t>No. of Minority Blocks</t>
  </si>
  <si>
    <t>Total district RE indicated for FY 21-22
(in Cr)</t>
  </si>
  <si>
    <t>RCH Others (Tribal and Vulnerable)</t>
  </si>
  <si>
    <t>RCH Pool (Excluding listed above)</t>
  </si>
  <si>
    <t>NDCP Pool (Excluding listed above)</t>
  </si>
  <si>
    <t>NCD Pool (Excluding listed above)</t>
  </si>
  <si>
    <t>Monthly meeting with the hospital staff, Weekly FGD with the tobacco users</t>
  </si>
  <si>
    <t>Implementation of Tobacco Free Educational Institutions (ToFEI) Guidelines in all Educational Institutions</t>
  </si>
  <si>
    <t>Coverage of Public School and Pvt School</t>
  </si>
  <si>
    <t>Sensitization campaign for college students and other educational institutions</t>
  </si>
  <si>
    <t>Trainings under NTCP at District level</t>
  </si>
  <si>
    <t>Trainings under NTCP at State level</t>
  </si>
  <si>
    <t>Support for implementation of NVBDCP</t>
  </si>
  <si>
    <t>Support for implementation of NTEP</t>
  </si>
  <si>
    <t>Support for implementation of NLEP</t>
  </si>
  <si>
    <t>Support for implementation of NRCP</t>
  </si>
  <si>
    <t>Support for implementation of NPPC</t>
  </si>
  <si>
    <t>Support for implementation of NVHCP</t>
  </si>
  <si>
    <t>Support for implementation of NMHP</t>
  </si>
  <si>
    <t>Support for implementation of NTCP</t>
  </si>
  <si>
    <t>Support for implementation of NPHCE</t>
  </si>
  <si>
    <t>Support for implementation of NPCDCS</t>
  </si>
  <si>
    <t>U.1.1.2.1</t>
  </si>
  <si>
    <t>U.1.1.2.2</t>
  </si>
  <si>
    <t>U.1.1.2.3</t>
  </si>
  <si>
    <t>U.1.1.2.4</t>
  </si>
  <si>
    <t>U.1.1.2.5</t>
  </si>
  <si>
    <t>U.1.1.2.6</t>
  </si>
  <si>
    <t>U.1.1.2.7</t>
  </si>
  <si>
    <t>Special outreach activities in slums and similar areas with focus on Communicable &amp; Non Communicable Diseases</t>
  </si>
  <si>
    <t>Module Training (Induction, VI &amp; VII)</t>
  </si>
  <si>
    <t>U.3.1.3.2</t>
  </si>
  <si>
    <t>U.3.1.3.3</t>
  </si>
  <si>
    <t>Not Applicable</t>
  </si>
  <si>
    <t>U.5.1.5</t>
  </si>
  <si>
    <t>U.6.1.6</t>
  </si>
  <si>
    <t>Biomedical Equipment Maintenance</t>
  </si>
  <si>
    <t>U.6.2.1.3</t>
  </si>
  <si>
    <t>HBNC Kits and HBYC-ECD kit</t>
  </si>
  <si>
    <t>U.6.1.7</t>
  </si>
  <si>
    <t>U.6.1.7.1</t>
  </si>
  <si>
    <t>U.6.1.7.2</t>
  </si>
  <si>
    <t>U.6.1.7.3</t>
  </si>
  <si>
    <t>U.6.3.2</t>
  </si>
  <si>
    <t>Conducting Trainings</t>
  </si>
  <si>
    <t>P.3.2.1/ U.9.5.1</t>
  </si>
  <si>
    <t>P.3.2.2/ U.9.5.2</t>
  </si>
  <si>
    <t>P.3.2.3/ U.9.5.3</t>
  </si>
  <si>
    <t>P.3.2.4/ U.9.5.4</t>
  </si>
  <si>
    <t>P.3.2.6/ U.9.5.5</t>
  </si>
  <si>
    <t>P.3.2.7/ U.9.5.6</t>
  </si>
  <si>
    <t>Training on Disease control program if required (Please specify )</t>
  </si>
  <si>
    <t>Performance linked Payment/ Team based incentives for Ayushman Bharat Health &amp; Wellness Centres (H&amp;WC)</t>
  </si>
  <si>
    <t>Multi-skilling of MPW for H&amp;WC</t>
  </si>
  <si>
    <t>Training on the Standard Treatment Protocols</t>
  </si>
  <si>
    <t>P.3.2.8/ U.9.5.7.4</t>
  </si>
  <si>
    <t>U.9.2.1</t>
  </si>
  <si>
    <t>U.9.2.2</t>
  </si>
  <si>
    <t>U.9.2.3</t>
  </si>
  <si>
    <t>U.9.2.4</t>
  </si>
  <si>
    <t>U.9.2.5</t>
  </si>
  <si>
    <t>U.9.2.6</t>
  </si>
  <si>
    <t>U.9.2.7</t>
  </si>
  <si>
    <t>U.9.2.7.1</t>
  </si>
  <si>
    <t>U.9.2.7.2</t>
  </si>
  <si>
    <t>U.9.2.7.3</t>
  </si>
  <si>
    <t>U.9.2.8</t>
  </si>
  <si>
    <t>U.9.2.9</t>
  </si>
  <si>
    <t>U.9.2.10</t>
  </si>
  <si>
    <t>U.9.2.11</t>
  </si>
  <si>
    <t>U.9.2.12</t>
  </si>
  <si>
    <t>U.9.2.13</t>
  </si>
  <si>
    <t>IEC/ BCC activities under NUHM</t>
  </si>
  <si>
    <t>Strengthening of services of AB-H&amp;WC through PPP</t>
  </si>
  <si>
    <t>E-Gov/CP-CPHC/NUHM</t>
  </si>
  <si>
    <t>PHA/ NUHM</t>
  </si>
  <si>
    <t>CPHC/ NUHM</t>
  </si>
  <si>
    <t>CP/ NUHM</t>
  </si>
  <si>
    <t>HCT/ NUHM</t>
  </si>
  <si>
    <t>HRH/ NUHM</t>
  </si>
  <si>
    <t>HMIS/ NUHM</t>
  </si>
  <si>
    <t>QA/ HRH/ NUHM</t>
  </si>
  <si>
    <t>CPHC/ HRH/ NUHM</t>
  </si>
  <si>
    <t>CPHC 2</t>
  </si>
  <si>
    <t>CPHC 5</t>
  </si>
  <si>
    <t>CPHC 6</t>
  </si>
  <si>
    <t>CPHC 8</t>
  </si>
  <si>
    <t>CPHC 9</t>
  </si>
  <si>
    <t>CPHC 11</t>
  </si>
  <si>
    <t>CPHC 12</t>
  </si>
  <si>
    <t>CPHC 15</t>
  </si>
  <si>
    <t>CPHC 16</t>
  </si>
  <si>
    <t>CPHC 17</t>
  </si>
  <si>
    <t>Maternal Health</t>
  </si>
  <si>
    <t>Operating expenses for SNCU</t>
  </si>
  <si>
    <t>Operating expenses for NBSU</t>
  </si>
  <si>
    <t>Operating expenses for NBCC</t>
  </si>
  <si>
    <t>Operating expenses for NRCs</t>
  </si>
  <si>
    <t>Operating expenses for Family participatory care (KMC)</t>
  </si>
  <si>
    <t>Operating expenses for AH/ RKSK Clinics</t>
  </si>
  <si>
    <t>Operating expenses for State new-born resource centre</t>
  </si>
  <si>
    <t>Operating expenses for Mother new-born Care Unit</t>
  </si>
  <si>
    <t>RKSK/ Adolscent health</t>
  </si>
  <si>
    <t>MTC: Meeting Costs/Office expenses/Contingency (photocopy, internet/communication/ Resistance testing in selected cases/ Printing M &amp; E tools/ Tablets for M &amp; E if needed) etc)</t>
  </si>
  <si>
    <t>MTC: Management of Hep A &amp; E</t>
  </si>
  <si>
    <t>TC: Meeting Costs/Office expenses/Contingency</t>
  </si>
  <si>
    <t>TC: Management of Hep A &amp; E</t>
  </si>
  <si>
    <t>Blood services (for MH)</t>
  </si>
  <si>
    <t>Sl. No.</t>
  </si>
  <si>
    <t xml:space="preserve">Key deliverables </t>
  </si>
  <si>
    <t>Major Milestone</t>
  </si>
  <si>
    <t>Definition</t>
  </si>
  <si>
    <t>Target for FY 2021-22</t>
  </si>
  <si>
    <t>Source</t>
  </si>
  <si>
    <t>Frequency of reporting (Monthly/Quarterly/Annually)</t>
  </si>
  <si>
    <t>Maternal Mortality Ratio (MMR)</t>
  </si>
  <si>
    <t>Number of maternal deaths per 1,00,000 live births</t>
  </si>
  <si>
    <t>Pregnant women given 180 Iron Folic Acid (IFA) Tablets</t>
  </si>
  <si>
    <t>HMIS</t>
  </si>
  <si>
    <t>Institutional Deliveries</t>
  </si>
  <si>
    <t>Skilled Birth Attendant [SBA) deliveries</t>
  </si>
  <si>
    <t>% of SBA (Skilled Birth Attendant] deliveries to total reported deliveries from 1st April 2020 to 31st March 2021.
Numerator: Total No. of Institutional Deliveries + home deliveries attended by SBA.
Denominator: Total No. of Deliveries reported (institutional + Home)</t>
  </si>
  <si>
    <t>Public health facilities notified under SUMAN</t>
  </si>
  <si>
    <t>Total number of public health facilities  notified under SUMAN from 1st April 2020 to 31st March 2021</t>
  </si>
  <si>
    <t>State report</t>
  </si>
  <si>
    <t>LR and Maternity OT Nationally certified under LaQshya</t>
  </si>
  <si>
    <t>Total TB cases notified (Both public and private sectors)</t>
  </si>
  <si>
    <t>Nikshay</t>
  </si>
  <si>
    <t>Monthly</t>
  </si>
  <si>
    <t>State TB Score</t>
  </si>
  <si>
    <t>Quarterly</t>
  </si>
  <si>
    <t>Nikshay Poshan Yojana (NPY) -
No. of eligible patient receiving first installment of DBT</t>
  </si>
  <si>
    <t>No. of districts to achieve TB free Status
# Bronze
# Silver
# Gold
#TB Free district/City</t>
  </si>
  <si>
    <t>MIS NTEP division MoHFW</t>
  </si>
  <si>
    <t>Annually</t>
  </si>
  <si>
    <t xml:space="preserve">Disease free certification in eligible blocks/disricts for  kalaazar, Lymphatic Filariasis, Malaria.  
MALARIA: 
• To achieve/sustain API &lt;1 as per categorization of states under Malaria Elimination 
• Zero indigenous malaria cases in Cat-1 states under Malaria elimination 
• To make malaria notifiable disease in the State/UT. 
KALA AZAR 
• Achieve and sustain Kala-azar elimination in all KA endemic blocks 
• Reduction in PKDL cases by 30% from the base year 2020 
FILARIA: 
• To conduct annual Mass Drug Administration (MDA)/IDA in all eligible districts with &gt;85% coverage 
• Successful conduction of Transmission Assessment Survey (TAS) 1/2/3 in eligible districts/Evaluation Units 
• To provide 100% coverage for home-based morbidity management for lymphoedema cases. To reduce backlog of hydrocele surgeries by 50% from the base year 2019. 
 DENGUE AND CHUKUNGUNYA: 
• Reduce/sustain case fatality rate for Dengue &lt;1% 
•  To make at least 1 Sentinel site hospital (SSH) functional in each district. 
•  To make Dengue notifiable disease in the State/UT 
JAPANES ENCEPHALITIS: 
• &gt;80% coverage for JE vaccination under routine immunization 
• To reduce morbidity and mortality due to JE/AES.
</t>
  </si>
  <si>
    <t>29.2 Kala- Azar</t>
  </si>
  <si>
    <t xml:space="preserve">Number of endemic blocks reporting  &lt; 1 Kala Azar case per 10,000 population at block level </t>
  </si>
  <si>
    <t>MIS,        NVBDCP division, MoHFW</t>
  </si>
  <si>
    <t>29.3  Lymphatic Filariasis</t>
  </si>
  <si>
    <t xml:space="preserve">29.4. Malaria </t>
  </si>
  <si>
    <t xml:space="preserve">Reduction in Dengue </t>
  </si>
  <si>
    <t xml:space="preserve">Reduction in Japanese Encephalitis </t>
  </si>
  <si>
    <t xml:space="preserve">Vaccination coverage for JE under Routine Immunization </t>
  </si>
  <si>
    <t>Functional SNCU at DH in all Aspirational districts</t>
  </si>
  <si>
    <t>Number of Aspirational Districts having functional SNCU at DH.</t>
  </si>
  <si>
    <t>SNCU Online</t>
  </si>
  <si>
    <t>Functional NBSU at CHC-FRU in all Aspirational districts</t>
  </si>
  <si>
    <t>Number of Aspirational Districts having functional NBSU at CHC-FRU.</t>
  </si>
  <si>
    <t>State Report</t>
  </si>
  <si>
    <t>Newborn visited under HBNC</t>
  </si>
  <si>
    <t>Implementation of HBYC Program</t>
  </si>
  <si>
    <t>Percentage of HBYC training (ASHA/ASHA facilitator/ANMs) batches conducted against approved in RoP 2021-22.</t>
  </si>
  <si>
    <t>Strengthening of facility based pediatric care services at district hospital</t>
  </si>
  <si>
    <t>Implementation of RBSK</t>
  </si>
  <si>
    <t>Percentage of 0-3 years screened biannually at community level by MHTs in last year</t>
  </si>
  <si>
    <r>
      <t>Numerator :</t>
    </r>
    <r>
      <rPr>
        <sz val="11"/>
        <color rgb="FF000000"/>
        <rFont val="Calibri"/>
        <family val="2"/>
        <scheme val="minor"/>
      </rPr>
      <t xml:space="preserve"> Number of 0-3 years screened biannually at community level by MHTs in last year</t>
    </r>
  </si>
  <si>
    <r>
      <t>Denominator :</t>
    </r>
    <r>
      <rPr>
        <sz val="11"/>
        <color rgb="FF000000"/>
        <rFont val="Calibri"/>
        <family val="2"/>
        <scheme val="minor"/>
      </rPr>
      <t xml:space="preserve"> Number of 0-3 years to be screened biannually at community level by MHTs in last year</t>
    </r>
  </si>
  <si>
    <t xml:space="preserve">Operationalisation of DEICs </t>
  </si>
  <si>
    <t>Percentage of DEICs made functional cumulatively out of total approved in the State/UT</t>
  </si>
  <si>
    <r>
      <t>Numerator</t>
    </r>
    <r>
      <rPr>
        <sz val="11"/>
        <color rgb="FF000000"/>
        <rFont val="Calibri"/>
        <family val="2"/>
        <scheme val="minor"/>
      </rPr>
      <t>- -Number of DEICs cumulatively made functional (with separate details on HR, Equipment and Training of HR for qualifying as fully functional)</t>
    </r>
  </si>
  <si>
    <r>
      <t>Denominator</t>
    </r>
    <r>
      <rPr>
        <sz val="11"/>
        <color rgb="FF000000"/>
        <rFont val="Calibri"/>
        <family val="2"/>
        <scheme val="minor"/>
      </rPr>
      <t>-Number of DEICs  approved in RoPs cumulatively till date</t>
    </r>
  </si>
  <si>
    <t>Operationalization of ECD</t>
  </si>
  <si>
    <t>Percentage of women with baby of 2 years of age received 6 ECD calls from ECD call Centre in last year</t>
  </si>
  <si>
    <r>
      <t>Numerator :</t>
    </r>
    <r>
      <rPr>
        <sz val="11"/>
        <color rgb="FF000000"/>
        <rFont val="Calibri"/>
        <family val="2"/>
        <scheme val="minor"/>
      </rPr>
      <t xml:space="preserve"> Number of women with baby who completed of 2 years of age in last month, received 6 ECD calls from ECD call Centre in last year</t>
    </r>
  </si>
  <si>
    <r>
      <t>Denominator :</t>
    </r>
    <r>
      <rPr>
        <sz val="11"/>
        <color rgb="FF000000"/>
        <rFont val="Calibri"/>
        <family val="2"/>
        <scheme val="minor"/>
      </rPr>
      <t xml:space="preserve"> Number of women with baby who completed of 2 years of age in last month</t>
    </r>
  </si>
  <si>
    <t>CAC Training of Medical Officers</t>
  </si>
  <si>
    <t>Implementation of CAC</t>
  </si>
  <si>
    <t>Number of public health facilities CHC and above providing CAC Services (ensuring availability of three components – Drugs (MMA), equipment (MVA/EVA) &amp; trained provider</t>
  </si>
  <si>
    <t xml:space="preserve">Strengthening CAC Training &amp; Service Delivery </t>
  </si>
  <si>
    <t xml:space="preserve">Strengthening of CAC training &amp; service delivery at the district hospitals by ensuring availability of functional training centre and separate service area developed for the provision of CAC services </t>
  </si>
  <si>
    <t>Strengthening Oral Health Services</t>
  </si>
  <si>
    <t>Cumulative no. of functional dental care unit under NOHP</t>
  </si>
  <si>
    <t xml:space="preserve"> Number of FRUs having Blood Banks/ Blood Stiorage Units</t>
  </si>
  <si>
    <t>Cumulative number of FRUs (including DHs) having Blood Banks/ Blood Storage Units against total no. of FRUs in the State</t>
  </si>
  <si>
    <t>NHM. MIS, eraktkosh</t>
  </si>
  <si>
    <t>Voluntary blood donation</t>
  </si>
  <si>
    <t>Voluntary blood donation against the blood collection units targeted for replacement/ donation</t>
  </si>
  <si>
    <t>Blood cell division, MoHFW,eraktkosh</t>
  </si>
  <si>
    <t xml:space="preserve">Number of patients requiring blood tranfusion </t>
  </si>
  <si>
    <t xml:space="preserve">Patients requiring blood tranfusion at PHC,CHC, district </t>
  </si>
  <si>
    <t>Number of integrated centres for hemoglobinopathies &amp; hemophilia in the district</t>
  </si>
  <si>
    <t>Blood cell division, MoHFW</t>
  </si>
  <si>
    <t>Implementation of RCH application -
Registration Coverage of Pregnant Women and Child (0-1 Year)</t>
  </si>
  <si>
    <t>(a) &gt;90% Registration coverage  of Pregnant women and Children on pro-rata basis  [For States]
(b) &gt;80% Registration coverage  of Pregnant women and Children on pro-rata basis [For UTs and NE States]</t>
  </si>
  <si>
    <t>RCH Portal</t>
  </si>
  <si>
    <t>Implementation of RCH application -Service Delivery Coverage  of PW</t>
  </si>
  <si>
    <t>(a) &gt;80% All ANC services of Pregnant women [For States]
(b) &gt;70% All ANC services of Pregnant women [For UTs and NE States]</t>
  </si>
  <si>
    <t>Implementation of RCH application -
Service Delivery Coverage  of Child</t>
  </si>
  <si>
    <t>(a) &gt;80% All Immunization services of Child(0-1 Year) [For States]
(b) &gt;70% All Immunization services of Child [For UTs and NE States]</t>
  </si>
  <si>
    <t>Implementation of RCH application -
Total Deliveries Reported</t>
  </si>
  <si>
    <t>(a) &gt;90% Delivery reported  [For States]
(b) &gt;85% Delivery reported [For UTs and NE States]</t>
  </si>
  <si>
    <t>RCH Portal,</t>
  </si>
  <si>
    <t>Implementation of RCH application -Data Validation</t>
  </si>
  <si>
    <t>(a) &gt;100% Health provider (ANM and  ASHA) are registered with validated Mobile Number  [For States]
(b) &gt;85% Health provider (ANM and  ASHA) are registered with validated Mobile Number  [For UTs and NE States]</t>
  </si>
  <si>
    <t>Implementation of ANMOL  application</t>
  </si>
  <si>
    <t>(a) &gt;90% Health provider (ANM) are doing data entry on ANMOL [For States]
(b) &gt;75% Health provider (ANM and  ASHA) are registered with validated Mobile Number  [For UTs and NE States]</t>
  </si>
  <si>
    <t>Implementation of Kilkari and Mobile Academy**</t>
  </si>
  <si>
    <t>Training and IEC for Implementation of Kilkari and Mobile Academy**</t>
  </si>
  <si>
    <t>(a) Minimum 1 training in a year to be conducted at each District  for ASHAs  and Block level coordinators and 1 training at State level for District level officers.
(b) IEC activity, Awareness campaigns, Promotional activities to spread  awareness amongst the beneficiaries and ASHAs</t>
  </si>
  <si>
    <t>Implementation of DVDMS application</t>
  </si>
  <si>
    <t>1. Implementation of IT based logistics system/DVDMS application upto PHC/HWC/SC
2. Stock out issue of EDL
3. DVDMS Application (API) Integration with DVDMS central dashboard.</t>
  </si>
  <si>
    <t>1.       100% implementation of IT based logistics system/DVDMS application upto PHC/HWC/SC to avoid manual processing of drugs inventory.
2.       Minimize the stock out issue of EDL with not more than 5 to 10%. Focused to improve the Key performance Indicators of DVDMS central dashboard.
3.       DVDMS Application (API) Integration with DVDMS central dashboard with required API by all States/UTs
4.       UTs to implement the common instants of DVDMS application upto PHC, thereafter, integrated with DVDMS central dashboard.</t>
  </si>
  <si>
    <t>DVDMS  Dashboard and State Report</t>
  </si>
  <si>
    <t>**Applicable for 13 States i.e. Assam,  Bihar, Chhattisgarh, Delhi, Haryana, Himachal Pradesh, Jharkhand, Madhya Pradesh, Odisha,  Rajasthan, Uttar Pradesh, Uttarakhand and West Bengal</t>
  </si>
  <si>
    <t xml:space="preserve">1)      To reduce The prevalence rate of leprosy less than 1/10,000 population at the district level
2)      To reduce Grade II disability rate per million to 1/million population
3)      To reduce Grade II disability percentage among new cases as per district’s category \
4)      To achieve zero child Grade II disability cases caused by leprosy at the district
5)      Implement Active Case Detection and Regular Surveillance in all the eligible districts
6)      Operationalize NIKUSTH in all the affected districts. 
</t>
  </si>
  <si>
    <t>Bring down Prevalence Rate of leprosy to less than 1/10,000 population at district level</t>
  </si>
  <si>
    <t>MIS (MRP, AR, Nikusth portal), CLD-NLEP Division, MoHFW</t>
  </si>
  <si>
    <t>Bring down Grade II disability rate per million population to less than 1/million population at district level</t>
  </si>
  <si>
    <t>Districts having Grade II disability percentage less than 2 %</t>
  </si>
  <si>
    <t>Bring down to ZERO</t>
  </si>
  <si>
    <t>Districts having Grade II disability percentage between (2-10) %</t>
  </si>
  <si>
    <t>Bring down to less than 2 %</t>
  </si>
  <si>
    <t>Districts having Grade II disability percentage more than 10 %</t>
  </si>
  <si>
    <t>Bring down to less than 10 %</t>
  </si>
  <si>
    <t>Child Grade II disability cases Bring down to ZERO cases at district level</t>
  </si>
  <si>
    <t xml:space="preserve">% of Reporting Units Reported In S form  </t>
  </si>
  <si>
    <t>IDSP Portal</t>
  </si>
  <si>
    <t>Weekly</t>
  </si>
  <si>
    <t xml:space="preserve">% of Reporting Units Reported In P form  </t>
  </si>
  <si>
    <t xml:space="preserve">% of Reporting Units Reported In L form  </t>
  </si>
  <si>
    <t>Lab Access of Outbreaks reported under IDSP excluding Chickenpox, Food Poisoning, Mushroom Poisoning</t>
  </si>
  <si>
    <t xml:space="preserve">To establish at least one Treatment site in each district </t>
  </si>
  <si>
    <t>Screening during ANC for HBsAg(Hepatitis B surface antigen)of 100% pregnant women subjected to ANCs</t>
  </si>
  <si>
    <t>To ensure institutional delivery of  100% pregnant women who test HBsAgpositive during ANCs</t>
  </si>
  <si>
    <t xml:space="preserve">  Administration of Hepatitis B birth dose to allNewborns</t>
  </si>
  <si>
    <t>AB-HWC Portal</t>
  </si>
  <si>
    <t>Roll out of teleconsultation at AB-HWCs</t>
  </si>
  <si>
    <t xml:space="preserve">Cumulative number of AB-HWCs where teleconsultations have been rolled out </t>
  </si>
  <si>
    <t xml:space="preserve">Roll out of NCD application at AB-HWCs </t>
  </si>
  <si>
    <t>Cumulative number of AB-HWCs where NCD application has been rolled out</t>
  </si>
  <si>
    <t>Number of AB-HWCs where disbursement of Team Based Performance Incentives has  been started</t>
  </si>
  <si>
    <t>Cumulative number of AB-HWCs where disbursement of Team Based Performance Incentives has been started</t>
  </si>
  <si>
    <t>State MIS</t>
  </si>
  <si>
    <t xml:space="preserve">Roll out of Fit Health Worker campaign </t>
  </si>
  <si>
    <t xml:space="preserve">Cumulative number of nursing colleges which have adopted  the CHO related Integrated B.Sc. Nursing curriculum against total number of nursing colleges (public &amp; private) available in the State </t>
  </si>
  <si>
    <t>Create regular posts as per IPHS and case load for main service delivery posts (ANM, Staff Nurse, Lab tech, pharmacists, MBBS doctors, Specialists)</t>
  </si>
  <si>
    <t>States have posts created in regular cadre as per IPHS at least for the for main service delivery posts (ANM, Staff Nurse, Lab tech, pharmacists, MBBS doctors, Specialists)</t>
  </si>
  <si>
    <t>Approved posts under NHM are filled to supplement the existing HR for providing quality health services</t>
  </si>
  <si>
    <t>Approved posts as per ROP 2021-22 are in-place</t>
  </si>
  <si>
    <t>Key Priorities for NTEP: 
1.    TB case detection–
1.1. Setting up\strengthening of TB diagnostic services (availability of molecular diagnostics at block level for upfront TB diagnostics)
1.2. Setting up/ strengthening of X-Ray services atleast at block level through health systems/outsourcing
1.3. Private sector engagement through domestic PPSA and transition of JEET PPSA
1.4. Deployment of sample collection and transportation for molecular diagnosis of TB and UDST
1.5. Vulnerability mapping and Active Case Finding
2.    TB prevention-
2.1. Strengthen TPT for PLHIV and household contacts &lt; 6 years
2.2. Expansion of TPT to adolescents, adult contacts at households &amp; work places and among vulnerable populations
2.3. Community engagement activities and State / District TB Forum
2.4. Create pool of TB Champions atleast at block level
2.5. Strengthen ACSM activities
3.    TB treatment –
3.1. Strengthen access of Anti-TB drugs to patients in private sector
3.2. Expand access of Bedaquiline/ Delamanid to DRTB patients including in private sector
3.3. Strengthen monitoring of adherence to treatment
3.4. Identification and targeted management of high risk TB patient for reducing mortality
3.5. Strengthen all DBT schemes including Nikshay Poshan Yojana
3.6. Estimate requirement for local procurement of medicines and indent for kind grant for central supplies of drugs and diagnostics
4.    Human Resource –
4.1. Redeployment of NTEP HR from Covid to TB
4.2. Proposal for additional STS/STLS/LT/TBHV based on workload</t>
  </si>
  <si>
    <t xml:space="preserve">State should convey the Approved District Health Action Plan within 15 days of receiving the State RoP approvals. Similarly, District will convey Block Health Action Plans. This would facilitate in proper implementation of NHM- Financial and Accounting Management System (N-FAMS). </t>
  </si>
  <si>
    <t>The State must ensure due diligence in expenditure and observe, in letter and spirit, all rules, regulations, and procedures to maintain financial discipline and integrity particularly with regard to procurement; competitive bidding must be ensured, and only need-based procurement should take place as per ROP approvals.</t>
  </si>
  <si>
    <t>The unit cost/rate approved for all activities including procurement, printing etc are only indicative for purpose of estimation. However, actuals are subject to transparent and open bidding process as per the relevant and extant purchase rules.</t>
  </si>
  <si>
    <t>Third party monitoring of civil works and certification of their completion through reputed institutions may be introduced to ensure quality. Also, Information on all ongoing works should be displayed on the NHM website.</t>
  </si>
  <si>
    <t>The annual audited accounts of the State Health Society must be placed before the Governing Body for acceptance.</t>
  </si>
  <si>
    <t>State to ensure regular meetings of State and district health missions/ societies.</t>
  </si>
  <si>
    <t>As per the Mission Steering Group (MSG) meeting decision, only up to 9% of the total Annual State Work Plan for that year could be budgeted for program management and M&amp;E; while the ceiling could go up to 14% for small states (NE) and UTs.</t>
  </si>
  <si>
    <t>The accounts of State/ grantee institution/ organization shall be open to inspection by the sanctioning authority and audit by the Comptroller &amp; Auditor General of India under the provisions of CAG (DPC) Act 1971 and internal audit by Principal Accounts Officer of the Ministry of Health &amp; Family Welfare.</t>
  </si>
  <si>
    <t>State shall ensure submission of details of unspent balance indicating inter alia, funds released in advance &amp; funds available under State Health Societies. The State shall also intimate the interest amount earned on unspent balance. This amount can be spent against approved activities.</t>
  </si>
  <si>
    <t xml:space="preserve">To avail the 2nd Tranche of release under NHM, the State should ensure that at least  10%  increase  in State  Budget  over  last year  and where  such  increase  over last year is less than 10%, then the average of last 3 years would be considered and the same should be &gt; 10 %. </t>
  </si>
  <si>
    <t>Further, out of the total allocation to health in the State budget, it is recommended that at least 2/3rd should be on Primary Health Care.</t>
  </si>
  <si>
    <t>Increase the share of expenditure of State on health to more than 8% of their total budgetary expenditure.</t>
  </si>
  <si>
    <t>The additional grants received from Incentive pool based on performance shall be utilized against the approved activities only.</t>
  </si>
  <si>
    <t>States/UTs should ensure that fund transfer and expenditure are made electronically and through PFMS.</t>
  </si>
  <si>
    <t>Quarter I  -20% of the available funds</t>
  </si>
  <si>
    <t xml:space="preserve">Quarter II – 40% of the available funds  </t>
  </si>
  <si>
    <t xml:space="preserve">Quarter III -65% of the available funds </t>
  </si>
  <si>
    <t xml:space="preserve">Quarter VI- 90% of the available funds </t>
  </si>
  <si>
    <t xml:space="preserve">Timely implementation of Concurrent Audit on Quarterly basis and action taken note on findings of previous audit report. </t>
  </si>
  <si>
    <t xml:space="preserve">Sharing the consolidated Quarterly findings with Ministry. </t>
  </si>
  <si>
    <t>Simultaneous credit of State share along with Central share to receive Central release on time.</t>
  </si>
  <si>
    <t>Quarterly Expenditure Target against the available funds in respect of each flexible pools of NHM 
(Available fund = Op Bal + Central Release + State share Release + Intertest earned)</t>
  </si>
  <si>
    <r>
      <t xml:space="preserve">Percentage of Registration  Coverage of Pregnant Women and Child on pro-rata basis
</t>
    </r>
    <r>
      <rPr>
        <b/>
        <sz val="11"/>
        <color rgb="FF000000"/>
        <rFont val="Calibri"/>
        <family val="2"/>
        <scheme val="minor"/>
      </rPr>
      <t>Numerator: </t>
    </r>
    <r>
      <rPr>
        <sz val="11"/>
        <color rgb="FF000000"/>
        <rFont val="Calibri"/>
        <family val="2"/>
        <scheme val="minor"/>
      </rPr>
      <t xml:space="preserve"> Total No. of Registered PW and Child  on RCH Portal 
</t>
    </r>
    <r>
      <rPr>
        <b/>
        <sz val="11"/>
        <color rgb="FF000000"/>
        <rFont val="Calibri"/>
        <family val="2"/>
        <scheme val="minor"/>
      </rPr>
      <t>Denominator</t>
    </r>
    <r>
      <rPr>
        <sz val="11"/>
        <color rgb="FF000000"/>
        <rFont val="Calibri"/>
        <family val="2"/>
        <scheme val="minor"/>
      </rPr>
      <t>: Estimated PW and Child on pro-rata basis.</t>
    </r>
  </si>
  <si>
    <r>
      <t xml:space="preserve">Percentage of Service Delivery Coverage of entitled Pregnant Women  for ANC services.
</t>
    </r>
    <r>
      <rPr>
        <b/>
        <sz val="11"/>
        <color rgb="FF000000"/>
        <rFont val="Calibri"/>
        <family val="2"/>
        <scheme val="minor"/>
      </rPr>
      <t>Numerator: </t>
    </r>
    <r>
      <rPr>
        <sz val="11"/>
        <color rgb="FF000000"/>
        <rFont val="Calibri"/>
        <family val="2"/>
        <scheme val="minor"/>
      </rPr>
      <t xml:space="preserve">Total No. of PW received All ANC services (ANC1 + ANC2 + ANC3 + ANC4 + TT1 / TT2 + 180 IFA tablet)
</t>
    </r>
    <r>
      <rPr>
        <b/>
        <sz val="11"/>
        <color rgb="FF000000"/>
        <rFont val="Calibri"/>
        <family val="2"/>
        <scheme val="minor"/>
      </rPr>
      <t>Denominator:</t>
    </r>
    <r>
      <rPr>
        <sz val="11"/>
        <color rgb="FF000000"/>
        <rFont val="Calibri"/>
        <family val="2"/>
        <scheme val="minor"/>
      </rPr>
      <t xml:space="preserve"> Total PW entitled for Service  based on reporting period</t>
    </r>
  </si>
  <si>
    <r>
      <t xml:space="preserve">Percentage of Service Delivery Coverage of entitled Child [0-1 Year]  for Immunization services.
</t>
    </r>
    <r>
      <rPr>
        <b/>
        <sz val="11"/>
        <color rgb="FF000000"/>
        <rFont val="Calibri"/>
        <family val="2"/>
        <scheme val="minor"/>
      </rPr>
      <t xml:space="preserve">Numerator:  </t>
    </r>
    <r>
      <rPr>
        <sz val="11"/>
        <color rgb="FF000000"/>
        <rFont val="Calibri"/>
        <family val="2"/>
        <scheme val="minor"/>
      </rPr>
      <t xml:space="preserve">Total No. of Child received All Immunization services (as per National Immunization Schedule)
</t>
    </r>
    <r>
      <rPr>
        <b/>
        <sz val="11"/>
        <color rgb="FF000000"/>
        <rFont val="Calibri"/>
        <family val="2"/>
        <scheme val="minor"/>
      </rPr>
      <t>Denominator:</t>
    </r>
    <r>
      <rPr>
        <sz val="11"/>
        <color rgb="FF000000"/>
        <rFont val="Calibri"/>
        <family val="2"/>
        <scheme val="minor"/>
      </rPr>
      <t xml:space="preserve"> Total child entitled for Service  based on reporting period </t>
    </r>
  </si>
  <si>
    <r>
      <t xml:space="preserve">Percentage of total Delivery reported of entitled Pregnant Women.
</t>
    </r>
    <r>
      <rPr>
        <b/>
        <sz val="11"/>
        <color rgb="FF000000"/>
        <rFont val="Calibri"/>
        <family val="2"/>
        <scheme val="minor"/>
      </rPr>
      <t>Numerator:</t>
    </r>
    <r>
      <rPr>
        <sz val="11"/>
        <color rgb="FF000000"/>
        <rFont val="Calibri"/>
        <family val="2"/>
        <scheme val="minor"/>
      </rPr>
      <t xml:space="preserve">  Total No. of Delivery reported
</t>
    </r>
    <r>
      <rPr>
        <b/>
        <sz val="11"/>
        <color rgb="FF000000"/>
        <rFont val="Calibri"/>
        <family val="2"/>
        <scheme val="minor"/>
      </rPr>
      <t>Denominator:</t>
    </r>
    <r>
      <rPr>
        <sz val="11"/>
        <color rgb="FF000000"/>
        <rFont val="Calibri"/>
        <family val="2"/>
        <scheme val="minor"/>
      </rPr>
      <t>Total PW entitled for Delivery based on reporting period</t>
    </r>
  </si>
  <si>
    <r>
      <t xml:space="preserve">Health providers are registered with validated Mobile Number
</t>
    </r>
    <r>
      <rPr>
        <b/>
        <sz val="11"/>
        <color rgb="FF000000"/>
        <rFont val="Calibri"/>
        <family val="2"/>
        <scheme val="minor"/>
      </rPr>
      <t>Numerator:</t>
    </r>
    <r>
      <rPr>
        <sz val="11"/>
        <color rgb="FF000000"/>
        <rFont val="Calibri"/>
        <family val="2"/>
        <scheme val="minor"/>
      </rPr>
      <t xml:space="preserve"> Total No. of Health providers registered with validated Mobile Number.
</t>
    </r>
    <r>
      <rPr>
        <b/>
        <sz val="11"/>
        <color rgb="FF000000"/>
        <rFont val="Calibri"/>
        <family val="2"/>
        <scheme val="minor"/>
      </rPr>
      <t xml:space="preserve">Denominator: </t>
    </r>
    <r>
      <rPr>
        <sz val="11"/>
        <color rgb="FF000000"/>
        <rFont val="Calibri"/>
        <family val="2"/>
        <scheme val="minor"/>
      </rPr>
      <t>Total no. active Health providers registered in RCH Portal.</t>
    </r>
  </si>
  <si>
    <r>
      <t xml:space="preserve">Health provider(ANM) using ANMOL application for entering Data
</t>
    </r>
    <r>
      <rPr>
        <b/>
        <sz val="11"/>
        <color rgb="FF000000"/>
        <rFont val="Calibri"/>
        <family val="2"/>
        <scheme val="minor"/>
      </rPr>
      <t>Numerator: </t>
    </r>
    <r>
      <rPr>
        <sz val="11"/>
        <color rgb="FF000000"/>
        <rFont val="Calibri"/>
        <family val="2"/>
        <scheme val="minor"/>
      </rPr>
      <t xml:space="preserve">Total No. of Users (ANM) doing data entry.
</t>
    </r>
    <r>
      <rPr>
        <b/>
        <sz val="11"/>
        <color rgb="FF000000"/>
        <rFont val="Calibri"/>
        <family val="2"/>
        <scheme val="minor"/>
      </rPr>
      <t xml:space="preserve">Denominator: </t>
    </r>
    <r>
      <rPr>
        <sz val="11"/>
        <color rgb="FF000000"/>
        <rFont val="Calibri"/>
        <family val="2"/>
        <scheme val="minor"/>
      </rPr>
      <t>Total no. active users (ANMs) registered in RCH Portal.</t>
    </r>
  </si>
  <si>
    <r>
      <t>Cumulative number of AB-HWCs to be made operational by 31</t>
    </r>
    <r>
      <rPr>
        <vertAlign val="superscript"/>
        <sz val="11"/>
        <color rgb="FF000000"/>
        <rFont val="Calibri"/>
        <family val="2"/>
        <scheme val="minor"/>
      </rPr>
      <t>st</t>
    </r>
    <r>
      <rPr>
        <sz val="11"/>
        <color rgb="FF000000"/>
        <rFont val="Calibri"/>
        <family val="2"/>
        <scheme val="minor"/>
      </rPr>
      <t xml:space="preserve"> March 2021 </t>
    </r>
  </si>
  <si>
    <r>
      <t>Percentage of health workers (staff at SC/PHC/UPHC including ASHA/MAS) whose health check-up was done as on 31</t>
    </r>
    <r>
      <rPr>
        <vertAlign val="superscript"/>
        <sz val="11"/>
        <color rgb="FF000000"/>
        <rFont val="Calibri"/>
        <family val="2"/>
        <scheme val="minor"/>
      </rPr>
      <t>st</t>
    </r>
    <r>
      <rPr>
        <sz val="11"/>
        <color rgb="FF000000"/>
        <rFont val="Calibri"/>
        <family val="2"/>
        <scheme val="minor"/>
      </rPr>
      <t xml:space="preserve"> March 2021 </t>
    </r>
  </si>
  <si>
    <r>
      <t>Numerator:</t>
    </r>
    <r>
      <rPr>
        <sz val="11"/>
        <color rgb="FF000000"/>
        <rFont val="Calibri"/>
        <family val="2"/>
        <scheme val="minor"/>
      </rPr>
      <t xml:space="preserve"> Number of health workers whose health check up was done </t>
    </r>
  </si>
  <si>
    <r>
      <t>Denominator:</t>
    </r>
    <r>
      <rPr>
        <sz val="11"/>
        <color rgb="FF000000"/>
        <rFont val="Calibri"/>
        <family val="2"/>
        <scheme val="minor"/>
      </rPr>
      <t xml:space="preserve"> Total number of health workers (staff at SC/PHC/UPHC) including ASHAs and MAS as on 31</t>
    </r>
    <r>
      <rPr>
        <vertAlign val="superscript"/>
        <sz val="11"/>
        <color rgb="FF000000"/>
        <rFont val="Calibri"/>
        <family val="2"/>
        <scheme val="minor"/>
      </rPr>
      <t>st</t>
    </r>
    <r>
      <rPr>
        <sz val="11"/>
        <color rgb="FF000000"/>
        <rFont val="Calibri"/>
        <family val="2"/>
        <scheme val="minor"/>
      </rPr>
      <t xml:space="preserve"> March 2021</t>
    </r>
  </si>
  <si>
    <r>
      <t>Implementation of Statutory Audit on Annual basis and sharing of report before due date 31</t>
    </r>
    <r>
      <rPr>
        <vertAlign val="superscript"/>
        <sz val="11"/>
        <color rgb="FF000000"/>
        <rFont val="Calibri"/>
        <family val="2"/>
        <scheme val="minor"/>
      </rPr>
      <t>st</t>
    </r>
    <r>
      <rPr>
        <sz val="11"/>
        <color rgb="FF000000"/>
        <rFont val="Calibri"/>
        <family val="2"/>
        <scheme val="minor"/>
      </rPr>
      <t xml:space="preserve"> July of the next financial year.</t>
    </r>
  </si>
  <si>
    <t>State Remarks (including key deliverable to be met)</t>
  </si>
  <si>
    <t>MH/ CP</t>
  </si>
  <si>
    <t>Nursing Directorate/ HSS</t>
  </si>
  <si>
    <t>Training division</t>
  </si>
  <si>
    <t>RCH-Others (incl Tribal/ Vulnerable Group)</t>
  </si>
  <si>
    <t>Training/ HRH</t>
  </si>
  <si>
    <t>Training division/ HRH</t>
  </si>
  <si>
    <t>COVID Package (ECRP)</t>
  </si>
  <si>
    <t>Support for implementation of IDSP</t>
  </si>
  <si>
    <t>Support for implementation of PPCL</t>
  </si>
  <si>
    <t>Support for implementation of NPCB+Vi</t>
  </si>
  <si>
    <t>Support for implementation of PMNDP</t>
  </si>
  <si>
    <t>Support for implementation of NPCCHH</t>
  </si>
  <si>
    <t>Support for implementation of NPPCD</t>
  </si>
  <si>
    <t>Support for implementation of NPPCF</t>
  </si>
  <si>
    <t>Support for implementation of NOHP</t>
  </si>
  <si>
    <t>U.1.1.2.8</t>
  </si>
  <si>
    <t>U.1.1.2.9</t>
  </si>
  <si>
    <t>U.1.1.2.10</t>
  </si>
  <si>
    <t>U.1.1.2.11</t>
  </si>
  <si>
    <t>U.1.1.1.5</t>
  </si>
  <si>
    <t>U.1.1.1.6</t>
  </si>
  <si>
    <t>U.1.1.1.7</t>
  </si>
  <si>
    <t>Urban Local Bodies (ULBs)</t>
  </si>
  <si>
    <t>PRIs/ ULBs</t>
  </si>
  <si>
    <t xml:space="preserve">Untied Funds/Annual Maintenance Grants /Corpus Grants to HMS/RKS/ Jan Arogya Samiti </t>
  </si>
  <si>
    <t>HMIS/ MCTC</t>
  </si>
  <si>
    <t>Sample collection &amp; transportation charges</t>
  </si>
  <si>
    <t>15.5.3</t>
  </si>
  <si>
    <t>Any PPM-PP/NGO Support</t>
  </si>
  <si>
    <t>Upgradation/ Renovation of HWC-HSCs</t>
  </si>
  <si>
    <t>Spill over of Ongoing Upgradation Works - HWC-HSCs</t>
  </si>
  <si>
    <t>Team based incentives for Health &amp; Wellness Centres (H&amp;WC - PHC)</t>
  </si>
  <si>
    <t>Team based incentives for Health &amp; Wellness Centres (H&amp;WC - Sub Centre)</t>
  </si>
  <si>
    <t>Other Community level Interventions under NDCP- NVBDCP, NVHCP</t>
  </si>
  <si>
    <t>Other Community level Interventions under NDCP- NTEP</t>
  </si>
  <si>
    <t>3.2.3.1.4</t>
  </si>
  <si>
    <t>Other Activities</t>
  </si>
  <si>
    <t>3.2.6</t>
  </si>
  <si>
    <t>Spill over of Ongoing Upgradation-MCH Wings</t>
  </si>
  <si>
    <t>Spill over of Ongoing Upgradation-Facility based new-born care centres (SNCU/NBSU/NBCC/KMC unit)/MNCU &amp; State resource centre/CLMC units/Paediatric HDUs</t>
  </si>
  <si>
    <t>New construction: MCH Wings</t>
  </si>
  <si>
    <t>New construction: Facility based new-born care centres (SNCU/NBSU/NBCC/KMC unit)</t>
  </si>
  <si>
    <t>New construction: DEIC (RBSK)</t>
  </si>
  <si>
    <t>Carry forward: DEIC (RBSK)</t>
  </si>
  <si>
    <t>Carry forward: Facility based new-born care centres (SNCU/NBSU/NBCC/KMC unit/ Mother New-born Care Unit/ State Resource Centre/Paediatric HDU</t>
  </si>
  <si>
    <t>Additional building/ Major Upgradation of MCH Wings</t>
  </si>
  <si>
    <t>Additional building/ Major Upgradation of Facility based new-born care centres (SNCU/NBSU/NBCC/KMC unit)</t>
  </si>
  <si>
    <t>IEC activities</t>
  </si>
  <si>
    <t>Procurement of equipment</t>
  </si>
  <si>
    <t/>
  </si>
  <si>
    <t>Epidemic preparedness</t>
  </si>
  <si>
    <t>Incentive under NVBDCP</t>
  </si>
  <si>
    <t>Sub-national Disease Free Certification: Tuberculosis</t>
  </si>
  <si>
    <t>Sub-national Disease Free Certification: Leprosy</t>
  </si>
  <si>
    <t>Sub-national Disease Free Certification: Kala Azar</t>
  </si>
  <si>
    <t>Sub-national Disease Free Certification: Lymphatic Filariasis</t>
  </si>
  <si>
    <t>Sub-national Disease Free Certification: Malaria</t>
  </si>
  <si>
    <t>Sub-national Disease Free Certification: Cataract/Blindness</t>
  </si>
  <si>
    <t>Any other Sub-national Disease Free Certification</t>
  </si>
  <si>
    <t>MH1</t>
  </si>
  <si>
    <t>MH2</t>
  </si>
  <si>
    <t>MH3</t>
  </si>
  <si>
    <t>MH4</t>
  </si>
  <si>
    <t>MH5</t>
  </si>
  <si>
    <t>MH6</t>
  </si>
  <si>
    <t>NTEP1</t>
  </si>
  <si>
    <t>NTEP2</t>
  </si>
  <si>
    <t>NTEP3</t>
  </si>
  <si>
    <t>NTEP4</t>
  </si>
  <si>
    <t>NVBDCP1</t>
  </si>
  <si>
    <t>NVBDCP2</t>
  </si>
  <si>
    <t>NVBDCP3</t>
  </si>
  <si>
    <t>RBSK1</t>
  </si>
  <si>
    <t>CAC</t>
  </si>
  <si>
    <t>CAC1</t>
  </si>
  <si>
    <t>CAC2</t>
  </si>
  <si>
    <t>CAC3</t>
  </si>
  <si>
    <t>RBSK2</t>
  </si>
  <si>
    <t>RBSK3</t>
  </si>
  <si>
    <t>CH1</t>
  </si>
  <si>
    <t>CH2</t>
  </si>
  <si>
    <t>CH3</t>
  </si>
  <si>
    <t>CH4</t>
  </si>
  <si>
    <t>CH5</t>
  </si>
  <si>
    <t>NOHP1</t>
  </si>
  <si>
    <t>BS1</t>
  </si>
  <si>
    <t>BS2</t>
  </si>
  <si>
    <t>BS3</t>
  </si>
  <si>
    <t>BS4</t>
  </si>
  <si>
    <t>MMP</t>
  </si>
  <si>
    <t>MMP1</t>
  </si>
  <si>
    <t>MMP2</t>
  </si>
  <si>
    <t>MMP3</t>
  </si>
  <si>
    <t>MMP4</t>
  </si>
  <si>
    <t>MMP5</t>
  </si>
  <si>
    <t>MMP6</t>
  </si>
  <si>
    <t>MMP7</t>
  </si>
  <si>
    <t>MMP8</t>
  </si>
  <si>
    <t>NLEP1</t>
  </si>
  <si>
    <t>NLEP3</t>
  </si>
  <si>
    <t>NLEP2</t>
  </si>
  <si>
    <t>NLEP4</t>
  </si>
  <si>
    <t>IDSP1</t>
  </si>
  <si>
    <t>IDSP2</t>
  </si>
  <si>
    <t>IDSP3</t>
  </si>
  <si>
    <t>IDSP4</t>
  </si>
  <si>
    <t>NVHCP1</t>
  </si>
  <si>
    <t>NVHCP2</t>
  </si>
  <si>
    <t>NVHCP3</t>
  </si>
  <si>
    <t>NVHCP4</t>
  </si>
  <si>
    <t>CPHC1</t>
  </si>
  <si>
    <t>CPHC2</t>
  </si>
  <si>
    <t>CPHC3</t>
  </si>
  <si>
    <t>CPHC4</t>
  </si>
  <si>
    <t>CPHC5</t>
  </si>
  <si>
    <t>CPHC6</t>
  </si>
  <si>
    <t>HRH1</t>
  </si>
  <si>
    <t>HRH2</t>
  </si>
  <si>
    <t>FIN</t>
  </si>
  <si>
    <t>FIN1</t>
  </si>
  <si>
    <t>FIN2</t>
  </si>
  <si>
    <t>FIN3</t>
  </si>
  <si>
    <t>FIN4</t>
  </si>
  <si>
    <t>FIN5</t>
  </si>
  <si>
    <t>FIN6</t>
  </si>
  <si>
    <t>FIN7</t>
  </si>
  <si>
    <t>FIN8</t>
  </si>
  <si>
    <t>FIN9</t>
  </si>
  <si>
    <t>FIN10</t>
  </si>
  <si>
    <t>FIN11</t>
  </si>
  <si>
    <t>FIN12</t>
  </si>
  <si>
    <t>FIN13</t>
  </si>
  <si>
    <t>FIN14</t>
  </si>
  <si>
    <t>FIN15</t>
  </si>
  <si>
    <t>FIN16</t>
  </si>
  <si>
    <t>FIN17</t>
  </si>
  <si>
    <t>Others (please specify) including welfare fund for staff</t>
  </si>
  <si>
    <t>16.4.6</t>
  </si>
  <si>
    <t>Fund for NHM staff welfare</t>
  </si>
  <si>
    <t>NUHM Metro</t>
  </si>
  <si>
    <t>NUHM Non-Metro</t>
  </si>
  <si>
    <t>PM-Activities Sub Annexure</t>
  </si>
  <si>
    <t>Community Interventions Sub Annexure</t>
  </si>
  <si>
    <t>Procurement Sub Annexure</t>
  </si>
  <si>
    <t>Training Sub Annexure</t>
  </si>
  <si>
    <t>IEC/ BCC Sub Annexure</t>
  </si>
  <si>
    <t>Printing Sub Annexure</t>
  </si>
  <si>
    <t>15.4.7</t>
  </si>
  <si>
    <t xml:space="preserve">1. JSSK
2. PMSMA
3. Notification of SUMAN compliant facility
4. Roll out of Midwifery initiative
5. MH trainings
6. Functionalization of MCH wings
7. Functionalization of Obstetric HDU/lCU
8. National LaQshya certification of Labour room and Maternity Operation Theater
9. Strengthening of Maternal death surveillance and review and roll out of MCDSR software. 
10. Implementation of AB-Health and Wellness Ambassador initiative 
</t>
  </si>
  <si>
    <t xml:space="preserve">1. Strengthening of Home Based Care of Newborn (HBNC)
2. Strengthening of Special Newborn Care Unit (SNCU)
3. Strengthening of District Early Intervention Centres (DEIC)
4. Newborn Screening at Delivery Points
5. Mobile Health Teams under RBSK Program
6. SAANS Program
7. Aspirational District Program
8. Strengthening of Newborn Stabilization Units including Reporting structure
9. Quality Certification of Facility Based Newborn Care Units
10. Roll out of Home Based Care of Young Child Program (HBYC)
11. Child Death and Still Birth Review System
12. Early Childhood Care and Development (ECD) interventions 
13. Strengthening Pediatric Care Service at District level and Sub District level
14. Operationalization of FP-LMIS
15. Comprehensive Abortion Care
16. Nutrition Rehabilitation Center (NRC)
17. Anemia Mukt Bharat Strategy (AMB)
18. National Deworming Day (NDD)
19. Mothers Absolute Affection (MAA)
20. Intensified Diarrhoea Control Fortnight (IDCF)
21. Comprehensive Lactation Management Centers (CLMCs) and Lactation Management Units (LMUs)  
</t>
  </si>
  <si>
    <t xml:space="preserve">No of ICHH centres in the state </t>
  </si>
  <si>
    <t>Number of AB-HWCs to be operationalized</t>
  </si>
  <si>
    <t>NTCP1</t>
  </si>
  <si>
    <t>Strengthening NTCP services</t>
  </si>
  <si>
    <t>No. of educational institutes (public/ private schools/ colleges) made tobacco free</t>
  </si>
  <si>
    <t>NTCP2</t>
  </si>
  <si>
    <t>QA1</t>
  </si>
  <si>
    <t>Ensuring NQAS certiication of public health facilities</t>
  </si>
  <si>
    <t>Number of NQAS certified public health facilities</t>
  </si>
  <si>
    <t xml:space="preserve">Cumulative number of NQAS certified public health facilities against total no. of public health facilities </t>
  </si>
  <si>
    <t>QA2</t>
  </si>
  <si>
    <t xml:space="preserve">Ensuring Kayakalp certfication of public health facilities </t>
  </si>
  <si>
    <t xml:space="preserve">Number of public health facilities with Kayakalp score &gt;70% </t>
  </si>
  <si>
    <t xml:space="preserve">Cumulative number of public health facilities with Kayakalp score &gt;70% against total no. of public health facilities </t>
  </si>
  <si>
    <t>QA3</t>
  </si>
  <si>
    <t>Ensuring Mera Aspataal uptake by public health facilities</t>
  </si>
  <si>
    <t>Strengthening quality assurance through Mera Aspataal</t>
  </si>
  <si>
    <t>Cumulative number of District Hospitals implementing Mera Aspataal application against total no. of District Hospitals in the State/UT***</t>
  </si>
  <si>
    <t>PMNDP1</t>
  </si>
  <si>
    <t>Roll out of Pradhan Mantri National Dialysis Programme (PMNDP)</t>
  </si>
  <si>
    <t xml:space="preserve">Number of districts where hemodialysis has been rolled out </t>
  </si>
  <si>
    <t>Cumulative number of Districts where hemodialysis has been rolled out</t>
  </si>
  <si>
    <t>PMNDP2</t>
  </si>
  <si>
    <t>No. of hemodialysis sessions conducted against installed capacity</t>
  </si>
  <si>
    <t> Number of hemodialysis sessions (@ 40 sessions per machine per month)</t>
  </si>
  <si>
    <t>PMNDP3</t>
  </si>
  <si>
    <t>Number of districts where peritoneal dialysis has been rolled out</t>
  </si>
  <si>
    <t>Cumulative number of Districts where peritoneal dialysis has been rolled out</t>
  </si>
  <si>
    <t>PMNDP4</t>
  </si>
  <si>
    <t xml:space="preserve">No. of patients to whom peritoneal dialysis services are provided </t>
  </si>
  <si>
    <t>Number of patients provided services against approvals in the PIP</t>
  </si>
  <si>
    <t xml:space="preserve">OOPE </t>
  </si>
  <si>
    <t>OOPE1</t>
  </si>
  <si>
    <t xml:space="preserve">Decrease OOPE </t>
  </si>
  <si>
    <t>Increase utilization of public health facilities</t>
  </si>
  <si>
    <t>% increase in OPD in current FY over pervious FY</t>
  </si>
  <si>
    <t>OOPE2</t>
  </si>
  <si>
    <t>% increase in IPD in current FY over pervious FY</t>
  </si>
  <si>
    <t>Cost per centre</t>
  </si>
  <si>
    <t>Cost per year</t>
  </si>
  <si>
    <t>Cost per batch</t>
  </si>
  <si>
    <t>11.24.4.3</t>
  </si>
  <si>
    <t>Ongoing</t>
  </si>
  <si>
    <t>New</t>
  </si>
  <si>
    <t>3.1.1.4.9</t>
  </si>
  <si>
    <t>Establishment of sewage treatment plant</t>
  </si>
  <si>
    <t>Ariyalur</t>
  </si>
  <si>
    <t>Chennai</t>
  </si>
  <si>
    <t>Chengalpattu</t>
  </si>
  <si>
    <t>Coimbatore</t>
  </si>
  <si>
    <t>Cuddalore</t>
  </si>
  <si>
    <t>Dindigul</t>
  </si>
  <si>
    <t>Erode</t>
  </si>
  <si>
    <t>Kallakurichi</t>
  </si>
  <si>
    <t>Karur</t>
  </si>
  <si>
    <t>Krishnagiri</t>
  </si>
  <si>
    <t>Madurai</t>
  </si>
  <si>
    <t>Nagapattinam</t>
  </si>
  <si>
    <t>Namakkal</t>
  </si>
  <si>
    <t>Perambalur</t>
  </si>
  <si>
    <t>Ramanathapuram</t>
  </si>
  <si>
    <t>Ranipet</t>
  </si>
  <si>
    <t>Salem</t>
  </si>
  <si>
    <t>Tenkasi</t>
  </si>
  <si>
    <t>Thanjavur</t>
  </si>
  <si>
    <t>The Nilgiris</t>
  </si>
  <si>
    <t>Theni</t>
  </si>
  <si>
    <t>Thiruvallur</t>
  </si>
  <si>
    <t>Tirunelveli</t>
  </si>
  <si>
    <t>Tiruppur</t>
  </si>
  <si>
    <t>Tiruvannamalai</t>
  </si>
  <si>
    <t>Vellore</t>
  </si>
  <si>
    <t>Villupuram</t>
  </si>
  <si>
    <t>Virudhunagar</t>
  </si>
  <si>
    <t>Dharmapuri</t>
  </si>
  <si>
    <t>Kancheepuram</t>
  </si>
  <si>
    <t>Kanniyakumari</t>
  </si>
  <si>
    <t>Pudukkottai</t>
  </si>
  <si>
    <t>Sivaganga</t>
  </si>
  <si>
    <t>Thirupattur</t>
  </si>
  <si>
    <t>Thiruvarur</t>
  </si>
  <si>
    <t>Thoothukkudi</t>
  </si>
  <si>
    <t>Tiruchirappalli</t>
  </si>
  <si>
    <t>Y</t>
  </si>
  <si>
    <t>TAMIL NADU</t>
  </si>
  <si>
    <t>Achievement during FY 2020-21 Apr'20 - Oct'20</t>
  </si>
  <si>
    <t>Remarks</t>
  </si>
  <si>
    <t>Quaterly</t>
  </si>
  <si>
    <t>Percentage of Pregnant Women received 180 lron Folic Acid (lFA) tablets against total pregnant women registered for ANC from 1st April 2020 to 31st March 2021.
Numerator: Number of Pregnant Women who have been given Iron Folic Acid (IFA) tablets 
Denominator: Total no. of Pregnant Women registered for ANC</t>
  </si>
  <si>
    <t>Percentage of institutional deliveries out of total reported deliveries from 1st April 2020 to 31st March 2021.
Numerator: Total number of institutional deliveries reported
Denominator: Total number of deliveries reported</t>
  </si>
  <si>
    <t>Number of new cases diagnosed and getting notified in NIKSHAY</t>
  </si>
  <si>
    <t>Composite score of the following parameters with the weightage summed upto 100: Achievement of notification against the target, HIV testing coverage of TB notified patients, UDST coverage among notified cases, treatement success rate among notified cases in the previous year, percentage of eligible beneficiaries under NIKSHAY POSHAN YOJANA&lt; DRTB treatment initiation among diagnosed cases, percentage expenditure of allotted budget, percentage of children given IPT chemoprophylaxis, percentage of eligible PLHIV patients given chemoprophylaxis</t>
  </si>
  <si>
    <t>No. of eligible patient receiving first installment of DBT</t>
  </si>
  <si>
    <t>1 bronze</t>
  </si>
  <si>
    <t>6 districts( TB Free Blocks) bronze</t>
  </si>
  <si>
    <t xml:space="preserve">None </t>
  </si>
  <si>
    <t xml:space="preserve">Number of districts to conduct MDA  
</t>
  </si>
  <si>
    <t>Nil</t>
  </si>
  <si>
    <t>state report</t>
  </si>
  <si>
    <t>Number of endemic districts with &lt;1% Mf rate</t>
  </si>
  <si>
    <t xml:space="preserve">Number of endemic districts with &lt;1% Mf rate validated by  TAS  </t>
  </si>
  <si>
    <t xml:space="preserve">Percentage reduction  in API </t>
  </si>
  <si>
    <t xml:space="preserve">Number of districts to achieve Disease Free Status - Malaria </t>
  </si>
  <si>
    <t xml:space="preserve"> 32.1. Reduce/sustain case fatality rate for Dengue at &lt;1%        </t>
  </si>
  <si>
    <t>nil</t>
  </si>
  <si>
    <t xml:space="preserve">                                                                                                                        32.2. Number of Sentinel site hospital (SSH) set up (1 per district) </t>
  </si>
  <si>
    <r>
      <t>Numerator:</t>
    </r>
    <r>
      <rPr>
        <sz val="11"/>
        <rFont val="Calibri"/>
        <family val="2"/>
        <scheme val="minor"/>
      </rPr>
      <t xml:space="preserve"> Total no. Aspirational districts having functional SNCU at DH.</t>
    </r>
  </si>
  <si>
    <r>
      <t>Denominator:</t>
    </r>
    <r>
      <rPr>
        <sz val="11"/>
        <rFont val="Calibri"/>
        <family val="2"/>
        <scheme val="minor"/>
      </rPr>
      <t xml:space="preserve"> Total no. of SNCU approved for Aspirational districts in RoP 2021-22.</t>
    </r>
  </si>
  <si>
    <t xml:space="preserve">Nil </t>
  </si>
  <si>
    <r>
      <t>Numerator:</t>
    </r>
    <r>
      <rPr>
        <sz val="11"/>
        <rFont val="Calibri"/>
        <family val="2"/>
        <scheme val="minor"/>
      </rPr>
      <t xml:space="preserve"> Total no. Aspirational districts havingfunctional NBSU at CHC-FRU in F.Y. 2021-22.</t>
    </r>
  </si>
  <si>
    <r>
      <t>Denominator:</t>
    </r>
    <r>
      <rPr>
        <sz val="11"/>
        <rFont val="Calibri"/>
        <family val="2"/>
        <scheme val="minor"/>
      </rPr>
      <t>Total no. of NBSU approved for Aspirational districts in RoP 2021-22.</t>
    </r>
  </si>
  <si>
    <r>
      <t>Numerator:</t>
    </r>
    <r>
      <rPr>
        <sz val="11"/>
        <rFont val="Calibri"/>
        <family val="2"/>
        <scheme val="minor"/>
      </rPr>
      <t xml:space="preserve"> No. of newborns received scheduled home visits under HBNC by ASHAs/VHN.</t>
    </r>
  </si>
  <si>
    <r>
      <t>Denominator:</t>
    </r>
    <r>
      <rPr>
        <sz val="11"/>
        <rFont val="Calibri"/>
        <family val="2"/>
        <scheme val="minor"/>
      </rPr>
      <t xml:space="preserve"> Target no. of newborns as approved in RoP 2021-22. (Apr'20-Sep'20)</t>
    </r>
  </si>
  <si>
    <t xml:space="preserve">Monthly Reporting </t>
  </si>
  <si>
    <r>
      <t>Numerator:</t>
    </r>
    <r>
      <rPr>
        <sz val="11"/>
        <rFont val="Calibri"/>
        <family val="2"/>
        <scheme val="minor"/>
      </rPr>
      <t xml:space="preserve"> No. of HBYC training (ASHA/ASHA facilitator/ANMs) batches completed in F.Y. 2021-22.</t>
    </r>
  </si>
  <si>
    <r>
      <t>Denominator:</t>
    </r>
    <r>
      <rPr>
        <sz val="11"/>
        <rFont val="Calibri"/>
        <family val="2"/>
        <scheme val="minor"/>
      </rPr>
      <t xml:space="preserve"> Total no. of HBYC training batches approved in RoP 2021-22.</t>
    </r>
  </si>
  <si>
    <r>
      <t xml:space="preserve">Total number of Operational Pediatric dedicated Emergency Triage and treatment (ETAT) centre. </t>
    </r>
    <r>
      <rPr>
        <b/>
        <sz val="11"/>
        <color theme="1"/>
        <rFont val="Calibri"/>
        <family val="2"/>
        <scheme val="minor"/>
      </rPr>
      <t/>
    </r>
  </si>
  <si>
    <t>29 functioning since 2017 as PREM Unit</t>
  </si>
  <si>
    <t xml:space="preserve">Quarterly from State HMIS through PREM application </t>
  </si>
  <si>
    <r>
      <rPr>
        <b/>
        <sz val="11"/>
        <rFont val="Calibri"/>
        <family val="2"/>
        <scheme val="minor"/>
      </rPr>
      <t>Numerator:</t>
    </r>
    <r>
      <rPr>
        <sz val="11"/>
        <rFont val="Calibri"/>
        <family val="2"/>
        <scheme val="minor"/>
      </rPr>
      <t xml:space="preserve"> Total no. of ETAT functional at district hospital in F.Y. 2021-22.</t>
    </r>
  </si>
  <si>
    <r>
      <t>Denominator:</t>
    </r>
    <r>
      <rPr>
        <sz val="11"/>
        <rFont val="Calibri"/>
        <family val="2"/>
        <scheme val="minor"/>
      </rPr>
      <t xml:space="preserve"> Total no. of ETAT approved in RoP 2021-22.</t>
    </r>
  </si>
  <si>
    <t>Number of Medical Officers trained in CAC as approved in RoP 2020-2021</t>
  </si>
  <si>
    <t>Target - 480 Mos. Achievement - 0 (due to Covid-19 pandemic)</t>
  </si>
  <si>
    <t>380 lady MBBS., doctors (76 batches/5 doctors per batch)</t>
  </si>
  <si>
    <t>567 [MCH-35, DH-37,SDH-148,CHC-346]</t>
  </si>
  <si>
    <t xml:space="preserve">37 DHQ hospitals are providing CAC service delivery. Out of 37, 3 DHQ (Cuddalore, Thiruvallur &amp; Dindigul) are functioning as CAC training centre </t>
  </si>
  <si>
    <t>NOHP division</t>
  </si>
  <si>
    <t>475/576</t>
  </si>
  <si>
    <t>1400 VBD Camps and 1,60,723 Blood units collection.</t>
  </si>
  <si>
    <t xml:space="preserve">300000 Blood Units </t>
  </si>
  <si>
    <t xml:space="preserve">Not Applicable to State of TamilNadu </t>
  </si>
  <si>
    <t xml:space="preserve">All 32 Districts  Prevalence Rate of leprosy to less than 1 / 10,000 population </t>
  </si>
  <si>
    <t xml:space="preserve">As based on indicators </t>
  </si>
  <si>
    <t>24 Districts (Chennai, Coimbatore, Dharmapuri, Erode, Kanchipuram, Kanniyakumari, Karur, Krishnagiri, Madurai, Nagapattinam, Namakkal, Pudukottai, Ramanathapuram, Thanjavur, Tirunelveli, Tiruvannamalai, Tiruvallur, Tiruvarur, Tiruppur, Trichy, Tuticorin, Vellore, Virudhunagar, Udagamandalam)</t>
  </si>
  <si>
    <t xml:space="preserve">7 Districts (Ariyalur, Cuddalore, Dindigul, Salem, Sivagangai, Theni, Villupuram)  </t>
  </si>
  <si>
    <t>1 District (Perambalur)</t>
  </si>
  <si>
    <t>NIL</t>
  </si>
  <si>
    <t>Cases are reported on the basis of signs &amp; symptoms by health workers</t>
  </si>
  <si>
    <t>Reporting was low due to COVID pandemic</t>
  </si>
  <si>
    <t>Cases are diagnosed and reported based on typical history and clinical examination by Medical Officers.</t>
  </si>
  <si>
    <t>Clinical cases are confirmed by an appropriate laboratory test.</t>
  </si>
  <si>
    <t>An outbreak is the occurrence of a disease or syndrome clearly in excess (or more than expected) in a given area (such as clustering of cases), over a particular period of time or among a specific group of people. Laboratory confirmation is identifying the cause or agent of the outbreak</t>
  </si>
  <si>
    <t>SVHMU</t>
  </si>
  <si>
    <t>856 HSCs, 1371 PHCs and 453 U-PHCs.           TN will transform the target set in 2021-22 on time since the HR policy for MLHP got Governmnet approval (for placing GNM SN as MLHP in HSC-HWCs)</t>
  </si>
  <si>
    <t>4848 HSC 1384 PHC and 460 UPHC</t>
  </si>
  <si>
    <t xml:space="preserve">TN has completed more than 3.1 lakh e-sanjeevani consultations as on 10.12.2020. Teleconsultations piloting rolled out in 5 districts (5 HUBS and 51 spokes). Total 896 consulatationas as on 10.12.2020 for all UHC PHCs through HUB and spoke model will be rolled out soon. 104 Hub is established and integration with other spokes are under process. </t>
  </si>
  <si>
    <t>104 Hubs and all HWCs as Spokes (4848 HSC 1384 PHC and 460 UPHC)</t>
  </si>
  <si>
    <t xml:space="preserve">State has already discussed with Dell-Tata Trusts Team and is planning to pilot GoI NCD application by January 2021. </t>
  </si>
  <si>
    <t>All HWCs</t>
  </si>
  <si>
    <r>
      <t xml:space="preserve">No of Persons Screened during FIT Health Worker Campaign </t>
    </r>
    <r>
      <rPr>
        <b/>
        <sz val="11"/>
        <color rgb="FF000000"/>
        <rFont val="Calibri"/>
        <family val="2"/>
        <scheme val="minor"/>
      </rPr>
      <t xml:space="preserve">1,63,446 </t>
    </r>
    <r>
      <rPr>
        <sz val="11"/>
        <color rgb="FF000000"/>
        <rFont val="Calibri"/>
        <family val="2"/>
        <scheme val="minor"/>
      </rPr>
      <t>as on 09.12.2020</t>
    </r>
  </si>
  <si>
    <t>196 (2020-21)</t>
  </si>
  <si>
    <t>All nursing colleges have adopted  the CHO related Integrated B.Sc. Nursing curriculum</t>
  </si>
  <si>
    <t>TNNC Website</t>
  </si>
  <si>
    <t>HRMIS</t>
  </si>
  <si>
    <t>To achieve a Time line</t>
  </si>
  <si>
    <t>Dissemination of state ROP</t>
  </si>
  <si>
    <t>Not yet started. Now in  orientation stage.</t>
  </si>
  <si>
    <t>pilot for two districts.</t>
  </si>
  <si>
    <t>Thuthukudi and Vellore</t>
  </si>
  <si>
    <t>As per NHM guidelines</t>
  </si>
  <si>
    <t>Procurement through TNMSC</t>
  </si>
  <si>
    <t>Achieved</t>
  </si>
  <si>
    <t>FMR of Districts</t>
  </si>
  <si>
    <t>Periodically as and when received from TNMSC</t>
  </si>
  <si>
    <t>Through PWD</t>
  </si>
  <si>
    <t>Will be done</t>
  </si>
  <si>
    <t>A.G Board</t>
  </si>
  <si>
    <t>Conducted through Zoom meetings. Will be done in Person in 2021-2022</t>
  </si>
  <si>
    <t>Maintained.</t>
  </si>
  <si>
    <t>Yes.</t>
  </si>
  <si>
    <t>These details are exhibited in Statutory Audit Report.</t>
  </si>
  <si>
    <t>10.78%  increse in State Budget Under Health Department.</t>
  </si>
  <si>
    <t>2/3rd of NHM Fund is allocated for Primary Health Care.</t>
  </si>
  <si>
    <t>Every year nearly 11% is increased on Health Budget in State Budget</t>
  </si>
  <si>
    <t>Incentive grants is utilized for approved pool  activites.</t>
  </si>
  <si>
    <t>All the financial transcations are made through PFMS.</t>
  </si>
  <si>
    <t>45% is achieved upto 3rd Quarter.</t>
  </si>
  <si>
    <t>Monthly Concurrent Audit is conducted.</t>
  </si>
  <si>
    <t>Due to Covid-19 the Statutory Audit Report is made ready now  for the year 2021-2022.</t>
  </si>
  <si>
    <t>Yes, GOI and State shares are drawn and credited into SHS A/C.</t>
  </si>
  <si>
    <t>All Educational Institutions in the State will be made Tobacco free</t>
  </si>
  <si>
    <t>Tobacco Control Division, MOHFW</t>
  </si>
  <si>
    <t>Setting up of Tobacco Cessation Centres</t>
  </si>
  <si>
    <t>Cumulative number of District Tobacco Cessation Centres (TCCs) functional against total no. of district hospitals</t>
  </si>
  <si>
    <t>73/253</t>
  </si>
  <si>
    <t>1171/3546</t>
  </si>
  <si>
    <t>MIS</t>
  </si>
  <si>
    <t xml:space="preserve">Manual </t>
  </si>
  <si>
    <t xml:space="preserve">Monthly </t>
  </si>
  <si>
    <t xml:space="preserve">41 Session per machine per month </t>
  </si>
  <si>
    <t xml:space="preserve">42 Session per machine per month </t>
  </si>
  <si>
    <t xml:space="preserve">0/150 </t>
  </si>
  <si>
    <t xml:space="preserve">67 ( November 2019 to Oct 2020) </t>
  </si>
  <si>
    <t xml:space="preserve">State HMIS data for 12 months period </t>
  </si>
  <si>
    <t>SRS 2016-18 MMR is 60 / Lakh live births</t>
  </si>
  <si>
    <t>95% ( April 2020 - September 2020)</t>
  </si>
  <si>
    <t>Quarterly AMB Portal Report of GOI</t>
  </si>
  <si>
    <t xml:space="preserve">3606 
( CEmONC packages - 126
BEmONC packages -629 
Basic Packages in  1866 Additional PHC/ UPHC  and 985  Health and Wellness HSC </t>
  </si>
  <si>
    <t>1463 are the HWC HSC (2448-985 ) which need to included as Basic packages under Suman</t>
  </si>
  <si>
    <t>Total number of nationally certified labour rooms against total number of LR in identified LaQshya facilities and  Total number of nationally certified Maternity Operation Theater against total number of Maternity OT in identified LaQshya facilities (high caseload facilities-CHC &amp; above) from 1st April 2020 to 31st March 2021.</t>
  </si>
  <si>
    <t xml:space="preserve">
11/169  (LR)
11/169 (OT) 
</t>
  </si>
  <si>
    <t xml:space="preserve">2018-19 - 2 centre LaQshya certified 
2019-20-17 Centre LaQshya certified 
2020-21- 11 Centre LaQshya Certified Toatalling to 30 Centres </t>
  </si>
  <si>
    <t>Achievement in reduction in incidence of TB s compared to 2015 incidence rate in terms of number of incident TB cases per lakh population: 1) Bronze: 20% reduction, 2)Silver: 40% reduction, 3)Gold: 60% reduction, 4)TB free district/state: &gt;80% reduction</t>
  </si>
  <si>
    <t>Percentage of newborns visited under Home Based Newborn Care (HBNC)</t>
  </si>
  <si>
    <t xml:space="preserve">State  PICME Report </t>
  </si>
  <si>
    <t xml:space="preserve">12.4 % 
2520 ASHAs trained .
Due to Covid pandemic  HBYC training  will be taken during Jan 2021. 
The Excecutive Committee of NHM Tamilnadu have  given approval for 10 districts instead of 24 districts.
 Hence the Target of ASHA- AWW are 20356.
</t>
  </si>
  <si>
    <t xml:space="preserve">ECD call centre has been integrated with  the existing 102 call centre.  
91700 Mothers were councelled by 102  Call centre  April 2020 to October 2020 </t>
  </si>
  <si>
    <t xml:space="preserve">The existing 102 Call centre is linked with MCTS , PICME preregisteration. JSSK etc . The Call Centre  will be strenthened by updating the SOPs and Capacity Buidling </t>
  </si>
  <si>
    <t xml:space="preserve"> </t>
  </si>
  <si>
    <t xml:space="preserve">
</t>
  </si>
  <si>
    <t>15.3.3.2</t>
  </si>
  <si>
    <t>15.3.3.4</t>
  </si>
  <si>
    <t>PM Approved</t>
  </si>
  <si>
    <t>PM To be approved</t>
  </si>
  <si>
    <t>RE</t>
  </si>
  <si>
    <t>PM 9%</t>
  </si>
  <si>
    <t>Balance</t>
  </si>
  <si>
    <t>PM to be approved</t>
  </si>
  <si>
    <t>Details in CI Sub Annexure</t>
  </si>
  <si>
    <t>Details in Procurement Sub Annexure</t>
  </si>
  <si>
    <t>Details in Training Sub Annexure</t>
  </si>
  <si>
    <t>Details in IEC Sub Annexure</t>
  </si>
  <si>
    <t>Details in Printing Sub Annexure</t>
  </si>
  <si>
    <t>NATIONAL HEALTH MISSION - TAMIL NADU</t>
  </si>
  <si>
    <t>RMNCH+A (in lakhs)</t>
  </si>
  <si>
    <t>Amount in lakhs</t>
  </si>
  <si>
    <t>Amopunt in lakhs</t>
  </si>
  <si>
    <t>RKSK</t>
  </si>
  <si>
    <t>IMM</t>
  </si>
  <si>
    <t>OTHERS</t>
  </si>
  <si>
    <t>H&amp;WC</t>
  </si>
  <si>
    <t>NPCC</t>
  </si>
  <si>
    <t>TOTAL</t>
  </si>
  <si>
    <t>ROP ABSTRACT 2021-22</t>
  </si>
  <si>
    <t>CAPEX</t>
  </si>
  <si>
    <t>ROTN</t>
  </si>
  <si>
    <t>GCC</t>
  </si>
  <si>
    <t>GRAND TOTAL</t>
  </si>
  <si>
    <t>Ongoing Activity</t>
  </si>
  <si>
    <t>New Activity</t>
  </si>
  <si>
    <t>NRHM</t>
  </si>
  <si>
    <t>PIP ABSTRACT 2021-22</t>
  </si>
  <si>
    <t xml:space="preserve">Percentage </t>
  </si>
  <si>
    <t xml:space="preserve">Ongoing activity.  Proposed for Office Expenses @ Rs.5000/m/UPHC for 280 UPHCs for remaining 3 months </t>
  </si>
  <si>
    <t>Ongoing activity: Proposed for 840 camps @ Rs.10000/-pm @ 1 camps/month/UPHC for 280 UPHCs for remaining 3 months.</t>
  </si>
  <si>
    <t>Cost per camp</t>
  </si>
  <si>
    <t>Cost for 3 months</t>
  </si>
  <si>
    <t>Ongoing activity: Proposed for 790 existing ANM @ Rs.15000/- pm for remaining 3 months.</t>
  </si>
  <si>
    <r>
      <rPr>
        <b/>
        <sz val="11"/>
        <rFont val="Cambria"/>
        <family val="1"/>
      </rPr>
      <t>New Activity:</t>
    </r>
    <r>
      <rPr>
        <sz val="11"/>
        <rFont val="Cambria"/>
        <family val="1"/>
      </rPr>
      <t xml:space="preserve"> Proposed for 723 additional WHV as required in remaining Municipalities in addition to the  Existing 775 approved. The funds towards addl.WHV(723) will be met out from TNHSRP funds upto March 2022. Hence, activity approval for addl. 723 WHVs requested.</t>
    </r>
  </si>
  <si>
    <t>cost for 3 months</t>
  </si>
  <si>
    <t>Ongoing activity: Proposed for 285  Lab. Technicians @Rs.15000/-pm for remaining 3 months (Existing 280 UPHC, 5 UMMU)</t>
  </si>
  <si>
    <t>Ongoing activity: Proposed for 250 Pharmacists @ Rs.15000/-pm for remaining 3 months - Existing-230(UPHC), 20(RBSK).</t>
  </si>
  <si>
    <t xml:space="preserve">Ongoing activity
1. Upgradation of Cemonc Centres at RSRM, Thiruvarur, Villupuram and Theni approved in ROP 2018-19. Construction work completed. Equipment cost proposed for Rs. 6.00 Cr. At Rs. 1.5 Cr per each Centre in ROP 2021-22.  
2. Construction of MCH Centres was approved in ROP 2018-19 at Virudhunagar, Kanchipuram, Tiruppathur, Kumbakonam, Ramnad, Jeyamkondan &amp; Ootty. Construction work completed. Equipment cost proposed for Rs. 14.00 Crore at Rs. 2 Cr each per MCH Centre in ROP 2021-22. 
3. Construction of MCH Centres was approved in ROP 2019-20 at 8 DH/sub district hospital viz GMCH Kanniyakumari, DHQH Cheyyar, Kallakurichi, Karaikudi, Pollachi, Perambalur, Kovilpatty and SDH Hosur. Construction work completed. Equipment cost proposed for Rs. 16.00 Crore at Rs. 2 Cr each per MCH Centre in ROP 2021-22. 
4. Upgradation of Cemonc Centres was approved in ROP 2019-20 at IRT Perundurai, GMCH COimbatore and GMCH Dharumapuri. Construction work completed.  Equipment cost proposed for Rs. 4.5 Cr. at Rs. 1.5 Cr. Each per Cemonc Centre in ROP 2021-22.  
Out of Total cost of Rs. 40.50 Cr. 50 % of the the amount Rs. 20.25 Cr. only proposed in the PIP 2021-22 and approved by GOI. Now all the equipment has been placed order and partial supply also completed and the balance equipments are under supply. Hence the balance 50% of Rs. 20.25 Cr. is proposed now. </t>
  </si>
  <si>
    <t>Cost per DPHL</t>
  </si>
  <si>
    <t xml:space="preserve">New activity.
Proposed to establish a State Referral Lab for Leptospirosis in Hosur, Krishnagiri 
1. Equipments such as Dark Field Microscope, Fridge, -20 deg Freezer and -80 deg Freezer, Magnetic Stirrer, Vortex, Centrifuge, Water Bath, Incubator and BSL-II @ Rs. 20.15 Lakhs
2. Chemicals, Glasswares, Reagents etc. @ Rs. 7.5 Lakhs
Details enclosed in Annex 6.2.24.3
</t>
  </si>
  <si>
    <t xml:space="preserve">New activity.
Proposed to establish a State Referral Lab for Leptospirosis in Hosur, Krishnagiri  
1. Civil Works - Rs. 20.00 Lakhs
</t>
  </si>
  <si>
    <t>Cost per month</t>
  </si>
  <si>
    <t>New activity.
Establsihment of Referral Laboratory for Leptospirosis in IVCZ, Hosur, Krishnagiri District. 2 LT proposed @ Rs.15000 /pm.  Proposed for one month only.</t>
  </si>
  <si>
    <t>New activity.
Establsihment of Referral Laboratory for Leptospirosis in IVCZ, Hosur, Krishnagiri District. One Lab Attendant proposed @Rs.8500/pm. Proposed for one month only.</t>
  </si>
  <si>
    <t>New activity.
Establsihment of Referral Laboratory for Leptospirosis in IVCZ, Hosur, Krishnagiri District. 2 Research Assistant proposed @ Rs.40000/pm. Proposed for one month only.</t>
  </si>
  <si>
    <t>Cost per district</t>
  </si>
  <si>
    <t>Cost per patient</t>
  </si>
  <si>
    <t xml:space="preserve">Procurement of Isoniazid and Rifapentine - 12 Doses - Once per week (3HP) 15,408 patients in 6 Districts - Kanniyakumari, Thiruvallur, Thiruvanamalai (State), Pudukottai, Chennai and Kancehpuram (JEET). </t>
  </si>
  <si>
    <t xml:space="preserve">New activity.
GOI has approved Rs. 5.2 Cr towards procurement of Urological Equipment for 10 Secondary Care Hospitals in the PIP 2017-18. TNMSC has finalised the Rate for the total equipment to the tune of Rs. 10,28,62,263/-. Orders have been placed so far for Rs. 2,76,53,097, balance Rs. 7,52,09,166/- needed for other equipment. Now the available balance is only Rs. 2,43,46,903/-, hence additional amount required i.e. Rs. 5.10 Cr is proposed in Supplementary PIP 2021-22. </t>
  </si>
  <si>
    <t>Cost per vehicle</t>
  </si>
  <si>
    <t xml:space="preserve">Ongoing activity.
Proposed to increase the operational expenses of the 805 RBSK Mobile Health Teams from Rs 30000/month to Rs. 40000/month. Now proposed for Rs. 10,000 balance amount for 3 months. </t>
  </si>
  <si>
    <t>Cost per session</t>
  </si>
  <si>
    <t>Ongoing activity.
Incentive to Palliative care Nurses (Rs.250 x 26 x 385 x 3) for 3 months, since 9 months approved in ROP 2021-22.
Incentive to Geriatric care Physiotherapst (385 x 18 x 6) for 6 monsth, since 6 month already approved in ROP 2021-22</t>
  </si>
  <si>
    <t>Ongoing activity.  Contingency for District NCD cell for Makkali Thedi Maruthuvam Programme</t>
  </si>
  <si>
    <t>Ongoing activity: Proposed for 1145 Staff Nurses @ Rs.20000/-pm and 115 SHN @ Rs.25000/-pm for 3 months.</t>
  </si>
  <si>
    <t>Ongoing activity: Proposed for 21Staff Nurses @ Rs.20000/-pm for 3 months.</t>
  </si>
  <si>
    <t xml:space="preserve">Ongoing Activity: Proposed for 149 Medical Officers @ Rs.40000/m for remaining 3 months. ( Exist-124 UPHC, 20 RBSK, 5 UMMU).  </t>
  </si>
  <si>
    <t xml:space="preserve">Ongoing Activity: Proposed for 56 UCHC Medical Officers @ Rs.40000/m for remaining 3 months. </t>
  </si>
  <si>
    <t>Cost per Quarter</t>
  </si>
  <si>
    <t xml:space="preserve">Ongoing activity: Proposed for 10 Public Health managers @ Rs.25000/-pm for remaining 3 months.  </t>
  </si>
  <si>
    <t xml:space="preserve">Ongoing activity: Proposed for 382 existing  Support staff in 280 UPHCs @ Rs.8500/-pm per Support staff for remaining 3 months. </t>
  </si>
  <si>
    <t>Cost for 6 months</t>
  </si>
  <si>
    <t>Ongoing activity: Proposed for recurring cost @Rs.100000/-per month for 6 months.</t>
  </si>
  <si>
    <r>
      <rPr>
        <b/>
        <sz val="11"/>
        <rFont val="Verdana"/>
        <family val="2"/>
      </rPr>
      <t>New Activity:</t>
    </r>
    <r>
      <rPr>
        <sz val="11"/>
        <rFont val="Verdana"/>
        <family val="2"/>
      </rPr>
      <t xml:space="preserve"> Proposed for Hiring charges for vehicle under the newly launched Makkalai Thedi Maruthuvam (MTM) Scheme in all Municipalities &amp; Corporations  @ Rs.30000/- per vehicle for 97 vehicles for 6 months (Oct 21- Mar 22).</t>
    </r>
  </si>
  <si>
    <t>Ongoing activity: Proposed for 60 Polyclinics in UPHCs @ Rs.128800/- for remaining 3 months.</t>
  </si>
  <si>
    <t>Cost per clinic</t>
  </si>
  <si>
    <r>
      <rPr>
        <b/>
        <sz val="11"/>
        <rFont val="Verdana"/>
        <family val="2"/>
      </rPr>
      <t>New Activity:</t>
    </r>
    <r>
      <rPr>
        <sz val="11"/>
        <rFont val="Verdana"/>
        <family val="2"/>
      </rPr>
      <t xml:space="preserve"> Proposed for 140 additional WHV as required in addition to the  Existing 560 approved.  Proposed for activity approval for additional 140 WHVs.  The fund for the additional WHVs is met out from the TNHSRP funds upto March 2022.</t>
    </r>
  </si>
  <si>
    <t>Cost per quarter</t>
  </si>
  <si>
    <t>Ongoing activity: Proposed for 382 ANMs @Rs.15000/-pm for remaining 3 months</t>
  </si>
  <si>
    <t xml:space="preserve">Ongoing activity: Proposed for 2 ANMs @Rs.15000/-pm for remaining 3 months  
</t>
  </si>
  <si>
    <t>Ongoing Activity: Proposed for 396 SNs in total - (UPHC-302, NBSU-48, UMMU - 5, Polyclinics - 36 &amp; C in C - 5) ) @ Rs.20000 per month for remaining 3 months</t>
  </si>
  <si>
    <t xml:space="preserve">Ongoing activity: Proposed for 96 @Rs.20000 per month for remaining 3 months </t>
  </si>
  <si>
    <t xml:space="preserve">Ongoing activity: Proposed for 6 SN @ Rs.20000 per month for remaining 3 months.  
</t>
  </si>
  <si>
    <t>Ongoing activity: Proposed for 80 existing Lab. Technician ( UPHC-75, UMMU-5) @ Rs.15000 per month for remaining 3 months</t>
  </si>
  <si>
    <r>
      <t xml:space="preserve">Ongoing activity: Proposed for 28 UCHC LT @ Rs.15000 per month for remaining 3 months.
</t>
    </r>
    <r>
      <rPr>
        <b/>
        <sz val="11"/>
        <color theme="1"/>
        <rFont val="Verdana"/>
        <family val="2"/>
      </rPr>
      <t/>
    </r>
  </si>
  <si>
    <t>Ongoing activity:  Proposed for 3 LT for 3 Maternity Homes (Perumalpet, Shenoy Nagar and Saidapet) @ Rs.15000/month for remaining 3 months.</t>
  </si>
  <si>
    <t xml:space="preserve">Ongoing activity: Proposed for 83 existing Pharmacists @ Rs.15000 per month for remaining 3 months.
</t>
  </si>
  <si>
    <t xml:space="preserve">Ongoing activity: Proposed for 16 Pharmacists @ Rs.15000 per month for remaining 3 months.
</t>
  </si>
  <si>
    <t xml:space="preserve">Ongoing activity. Proposed for 16 existing X Ray technicians @Rs.12000/m for remaining 3 months.                                                                                                                         </t>
  </si>
  <si>
    <t xml:space="preserve">Ongoing activity: Proposed for 9 existing OT Asst. @Rs.8400/-pm for remaining 3 months. </t>
  </si>
  <si>
    <t>Ongoing activity: Proposed for existing 5 UMMU Driver @ Rs.10000 per month for remaining 3 months and  5 Opthalmic Assistant @Rs.12000/- per month for remaining 3 months.</t>
  </si>
  <si>
    <t xml:space="preserve">Ongoing activity. Proposed for existing 21 OGICIANs @ Rs.90000 per month for remaining 3 months.
</t>
  </si>
  <si>
    <t xml:space="preserve">Ongoing activity: Proposed for existing 19 Paediatrician posts @ Rs.90000 per month for remaining 3 months
</t>
  </si>
  <si>
    <t xml:space="preserve">Ongoing activity: Proposed for  16 existing Surgeons @ Rs.90000 per month for remaining 3 months.
</t>
  </si>
  <si>
    <t xml:space="preserve">Ongoing activity: Proposed for 18 existing Specialists (General Surgeon) @ Rs.90000/- pm for remaining 3 months. </t>
  </si>
  <si>
    <r>
      <rPr>
        <b/>
        <sz val="11"/>
        <color rgb="FF000000"/>
        <rFont val="Verdana"/>
        <family val="2"/>
      </rPr>
      <t>Ongoing Activity :</t>
    </r>
    <r>
      <rPr>
        <sz val="11"/>
        <color rgb="FF000000"/>
        <rFont val="Verdana"/>
        <family val="2"/>
      </rPr>
      <t xml:space="preserve"> Proposed for 16 Dentists @ one/unit in 16 UCHCs @ Rs.34000/month for remaining 3 months.</t>
    </r>
  </si>
  <si>
    <t>Ongoing activity: Proposed for existing 89 Medical Officers 
(UPHC-84, UMMU-5) @ Rs.40000/- per month for remaining 3 months.</t>
  </si>
  <si>
    <t xml:space="preserve">Ongoing activity: Proposed for 23 existing Medical Officers @ Rs.40000/- per month for remaining 3 months.                                                                                                                </t>
  </si>
  <si>
    <t xml:space="preserve">Ongoing activity: Proposed for 8 PHM at Rs.35000/- pm for remaining 3 months.
</t>
  </si>
  <si>
    <t xml:space="preserve">Ongoing activity: Proposed for 319 Support staff @ Rs 10166/- per month  for remaining 3 months                                </t>
  </si>
  <si>
    <r>
      <rPr>
        <b/>
        <sz val="11"/>
        <rFont val="Verdana"/>
        <family val="2"/>
      </rPr>
      <t>New Activity:</t>
    </r>
    <r>
      <rPr>
        <sz val="11"/>
        <rFont val="Verdana"/>
        <family val="2"/>
      </rPr>
      <t xml:space="preserve"> Proposed for Hiring charges for vehicle under the newly launched Makkalai Thedi Maruthuvam (MTM) Scheme @ Rs.30000/- per vehicle for 15 vehicles for 6 months (Oct 21- Mar 22).</t>
    </r>
  </si>
  <si>
    <t>Cost per unit</t>
  </si>
  <si>
    <t>Ongoing activity: Proposed for 36 Polyclinics in UPHCs @Rs.158800/-pm for remaining 3 months.</t>
  </si>
  <si>
    <t>Ongoing activity
As per the DO.Lr.No.Z-28015/109/2021-TB from Deputy Director (TB),  CTD, Govt.of India Dated:22nd April 2021, it is instructed to procure the Laboratory items for NTEP which was supported by the CTD, should be procured by the respective states and propose the same in upcoming supplementary PIP of 2021-22. Hence the following is proposed: 
Procurement of Lab Consumables - LPA, Liquid Culture, DST 7 MGIT @ Rs. 14.34 Cr, CBNAAT Tests @ Rs. 17.90 Cr, totalling to Rs. 32.24 Cr. 
In ROP 2021-22, Rs. 3.39 Cr has been approved, hence the rest Rs. 28.58 Cr is proposed in the supplementary PIP 2021-22.</t>
  </si>
  <si>
    <t xml:space="preserve">Proposed to increase the POL Cost for 395 Mobile Medical Units from Rs. 10,000 to Rs. 20,000 for per month. Proposed for Rs. 10K for 3 months only.  </t>
  </si>
  <si>
    <t>Cost per facility</t>
  </si>
  <si>
    <t xml:space="preserve">Funding proposed towards Kayakalp Award Money based on GoI norms for District Hospitals, Sub District Hospitals, CHCs, PHCs and HWCs, for 2100 facilities at a total cost of Rs. 13.58 Crore. </t>
  </si>
  <si>
    <t>Funding proposed for Incentivisation for institutions for LaQshya Certifications: 
Rs. 12 lakhs per facility x 8  LaQshya Incentives for Medical College Hospitals Nationally Certified. 
Rs. 6 lakhs per facility x 16 LaQshya Incentives for DH  Nationally Certified. 
Rs. 4 lakhs per facility x 6 LaQshya Incentives for SDH  Nationally Certified.</t>
  </si>
  <si>
    <t xml:space="preserve">Proposed cost for National Certification:
Cost of DH/SDH- Rs. 210000 x 15  = Rs. 31.5 L
Cost of CHC- 146000  x 20  =29.2 L+
Cost of  (PHC)- 120000 x 25  = 30  
Cost of  (HWC)- 96000 x 7  = 6.72 
Proposed cost for State Certification :
Cost of  (DH/SDH)- 89500 x 22  = 19.69 
Cost of  (CHC)- 63000 x 22  = 13.86
Cost of  (PHC)- 43000 x 27  = 11.61 
Cost of  (HWS)- 28000 x 10  = 2.80 </t>
  </si>
  <si>
    <t>New activity.
Placement of 20 Multipurpose Health worker @ Rs. 8,500 per post per month.  Proposed for one month only  to Kovilpatti DH, Cheyyar DH , Jayamkondan SDH , Kallakurichi MCH .</t>
  </si>
  <si>
    <t>New activity.
Proposed for ER Equipment in 4 Sub District Hospitals - 
The Govt. Hospital, Sangakiri, Salem , Govt. Hospital, Bhavani, Erode , Govt. Hospital, Mettupalayam, Coimbatore  and Govt. Hospital, Ponneri, Thiruvallur  @ Rs/ 32.02 Lakhs per District</t>
  </si>
  <si>
    <t xml:space="preserve">New activity.
Proposed f 1 DEO @ Rs. 12,000 per month </t>
  </si>
  <si>
    <t>New activity.
Proposed for 1 ZRC Manager @ Rs. 30,000 per month</t>
  </si>
  <si>
    <t>New activity.
Proposed for CLMC training @ Rs. 4.47 Lakhs</t>
  </si>
  <si>
    <t>New activity.
Proposed for  HACCP Training @ Rs. 4.68 Lakhs</t>
  </si>
  <si>
    <t>New activity.
Placement of 22 Obstetrician and Gynaecologists @ Rs. 70,000 per post per month, 12 Anaesthetists @ Rs. 70,000 per post per month, 8 Paediatricians @ Rs. 70,000 per post per month, Proposed for one month only to Kovilpatti DH, Cheyyar DH , Jayamkondan SDH , Kallakurichi MCH .</t>
  </si>
  <si>
    <t xml:space="preserve">New activity.
Proposed for 2 Lactation Counsellor @ Rs. 18,000 per month for one month only. </t>
  </si>
  <si>
    <t>New activity
Procurement of High End Ultrasound Machine to Institute of Obstetrics and Gynaecology, Egmore, Chennai, Madurai District Hospital and RSRM District Hospital @ Rs. 45.00 Lakhs  each</t>
  </si>
  <si>
    <t>New activiyt.
Placement of 50 Staff Nurse @ Rs. 18,000  per month. Proposed for one month only   to Kovilpatti DH, Cheyyar DH , Jayamkondan SDH , Kallakurichi MCH .</t>
  </si>
  <si>
    <t>New activity
Fully Automated Indian make pasteurizer @ Rs. 10 Lakhs and Consumables for Ra. 2 Lakhs</t>
  </si>
  <si>
    <t>New activity.
Proposed for 1500 MLHP for one month</t>
  </si>
  <si>
    <t>Cost per Centre</t>
  </si>
  <si>
    <t>New activity.
Proposed for construction of UPHCs in Karur district @ Rs.80 lakhs each.  Total cost Rs.160 lakhs.  5% of the cost Rs.8 lakhs proposed this year and balance will be proposed in PIP 2022-23</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</si>
</sst>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 #,##0.00_ ;_ * \-#,##0.00_ ;_ * &quot;-&quot;??_ ;_ @_ "/>
    <numFmt numFmtId="164" formatCode="_(* #,##0.00_);_(* \(#,##0.00\);_(* &quot;-&quot;??_);_(@_)"/>
    <numFmt numFmtId="165" formatCode="0.0"/>
    <numFmt numFmtId="166" formatCode="_(* #,##0_);_(* \(#,##0\);_(* &quot;-&quot;??_);_(@_)"/>
    <numFmt numFmtId="167" formatCode="_-* #,##0.00_-;\-* #,##0.00_-;_-* &quot;-&quot;??_-;_-@_-"/>
    <numFmt numFmtId="168" formatCode="0.000"/>
    <numFmt numFmtId="169" formatCode="0.0000"/>
    <numFmt numFmtId="170" formatCode="_ * #,##0_ ;_ * \-#,##0_ ;_ * &quot;-&quot;??_ ;_ @_ "/>
    <numFmt numFmtId="171" formatCode="_ * #,##0.000_ ;_ * \-#,##0.000_ ;_ * &quot;-&quot;??_ ;_ @_ "/>
    <numFmt numFmtId="172" formatCode="#,##0.00_ ;\-#,##0.00\ "/>
  </numFmts>
  <fonts count="16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Verdana"/>
      <family val="2"/>
    </font>
    <font>
      <b/>
      <sz val="9"/>
      <name val="Verdana"/>
      <family val="2"/>
    </font>
    <font>
      <sz val="9"/>
      <name val="Verdana"/>
      <family val="2"/>
    </font>
    <font>
      <b/>
      <sz val="10"/>
      <name val="Verdana"/>
      <family val="2"/>
    </font>
    <font>
      <b/>
      <sz val="10"/>
      <name val="Arial"/>
      <family val="2"/>
    </font>
    <font>
      <b/>
      <u/>
      <sz val="9"/>
      <name val="Verdana"/>
      <family val="2"/>
    </font>
    <font>
      <sz val="8"/>
      <name val="Arial"/>
      <family val="2"/>
    </font>
    <font>
      <sz val="11"/>
      <color theme="1"/>
      <name val="Calibri"/>
      <family val="2"/>
      <scheme val="minor"/>
    </font>
    <font>
      <u/>
      <sz val="10"/>
      <color theme="10"/>
      <name val="Arial"/>
      <family val="2"/>
    </font>
    <font>
      <b/>
      <sz val="9"/>
      <color rgb="FF000000"/>
      <name val="Verdana"/>
      <family val="2"/>
    </font>
    <font>
      <sz val="9"/>
      <color rgb="FF000000"/>
      <name val="Verdana"/>
      <family val="2"/>
    </font>
    <font>
      <sz val="10"/>
      <color theme="1"/>
      <name val="Verdana"/>
      <family val="2"/>
    </font>
    <font>
      <b/>
      <sz val="10"/>
      <color theme="1"/>
      <name val="Verdana"/>
      <family val="2"/>
    </font>
    <font>
      <b/>
      <sz val="10"/>
      <color theme="0"/>
      <name val="Verdana"/>
      <family val="2"/>
    </font>
    <font>
      <sz val="10"/>
      <color theme="0"/>
      <name val="Verdana"/>
      <family val="2"/>
    </font>
    <font>
      <u/>
      <sz val="10"/>
      <color theme="10"/>
      <name val="Verdana"/>
      <family val="2"/>
    </font>
    <font>
      <sz val="10"/>
      <color theme="1"/>
      <name val="Arial"/>
      <family val="2"/>
    </font>
    <font>
      <b/>
      <sz val="10"/>
      <color theme="1"/>
      <name val="Arial"/>
      <family val="2"/>
    </font>
    <font>
      <b/>
      <sz val="10"/>
      <color theme="0"/>
      <name val="Arial"/>
      <family val="2"/>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i/>
      <sz val="11"/>
      <name val="Calibri"/>
      <family val="2"/>
      <scheme val="minor"/>
    </font>
    <font>
      <sz val="11"/>
      <name val="Calibri"/>
      <family val="2"/>
      <scheme val="minor"/>
    </font>
    <font>
      <u/>
      <sz val="11"/>
      <color theme="10"/>
      <name val="Calibri"/>
      <family val="2"/>
      <scheme val="minor"/>
    </font>
    <font>
      <b/>
      <sz val="11"/>
      <name val="Calibri"/>
      <family val="2"/>
      <scheme val="minor"/>
    </font>
    <font>
      <b/>
      <i/>
      <sz val="11"/>
      <color theme="1"/>
      <name val="Calibri"/>
      <family val="2"/>
      <scheme val="minor"/>
    </font>
    <font>
      <b/>
      <sz val="11"/>
      <color rgb="FFFF0000"/>
      <name val="Calibri"/>
      <family val="2"/>
      <scheme val="minor"/>
    </font>
    <font>
      <b/>
      <u/>
      <sz val="11"/>
      <color theme="0"/>
      <name val="Calibri"/>
      <family val="2"/>
      <scheme val="minor"/>
    </font>
    <font>
      <u/>
      <sz val="11"/>
      <color theme="1"/>
      <name val="Calibri"/>
      <family val="2"/>
      <scheme val="minor"/>
    </font>
    <font>
      <b/>
      <u/>
      <sz val="11"/>
      <color theme="1"/>
      <name val="Calibri"/>
      <family val="2"/>
      <scheme val="minor"/>
    </font>
    <font>
      <u/>
      <sz val="11"/>
      <name val="Calibri"/>
      <family val="2"/>
      <scheme val="minor"/>
    </font>
    <font>
      <sz val="11"/>
      <name val="Calibri"/>
      <family val="2"/>
    </font>
    <font>
      <b/>
      <i/>
      <sz val="11"/>
      <color theme="0"/>
      <name val="Calibri"/>
      <family val="2"/>
      <scheme val="minor"/>
    </font>
    <font>
      <sz val="11"/>
      <color indexed="8"/>
      <name val="Calibri"/>
      <family val="2"/>
      <scheme val="minor"/>
    </font>
    <font>
      <sz val="11"/>
      <color rgb="FF222222"/>
      <name val="Calibri"/>
      <family val="2"/>
      <scheme val="minor"/>
    </font>
    <font>
      <b/>
      <sz val="16"/>
      <color rgb="FF000000"/>
      <name val="Calibri"/>
      <family val="2"/>
      <scheme val="minor"/>
    </font>
    <font>
      <b/>
      <sz val="11"/>
      <color rgb="FF000000"/>
      <name val="Calibri"/>
      <family val="2"/>
      <scheme val="minor"/>
    </font>
    <font>
      <b/>
      <sz val="11"/>
      <color rgb="FF2F5496"/>
      <name val="Calibri"/>
      <family val="2"/>
      <scheme val="minor"/>
    </font>
    <font>
      <sz val="11"/>
      <color rgb="FF000000"/>
      <name val="Calibri"/>
      <family val="2"/>
      <scheme val="minor"/>
    </font>
    <font>
      <b/>
      <u/>
      <sz val="10"/>
      <color theme="10"/>
      <name val="Arial"/>
      <family val="2"/>
    </font>
    <font>
      <i/>
      <sz val="11"/>
      <color theme="1"/>
      <name val="Calibri"/>
      <family val="2"/>
      <scheme val="minor"/>
    </font>
    <font>
      <sz val="11"/>
      <color rgb="FF000000"/>
      <name val="Calibri"/>
      <family val="2"/>
    </font>
    <font>
      <sz val="10"/>
      <color rgb="FF000000"/>
      <name val="Arial"/>
      <family val="2"/>
    </font>
    <font>
      <sz val="11"/>
      <color rgb="FF1F497D"/>
      <name val="Calibri"/>
      <family val="2"/>
      <scheme val="minor"/>
    </font>
    <font>
      <vertAlign val="superscript"/>
      <sz val="11"/>
      <color rgb="FF000000"/>
      <name val="Calibri"/>
      <family val="2"/>
      <scheme val="minor"/>
    </font>
    <font>
      <b/>
      <sz val="11"/>
      <name val="Calibri"/>
      <family val="2"/>
    </font>
    <font>
      <b/>
      <sz val="11"/>
      <color rgb="FFFFFFFF"/>
      <name val="Calibri"/>
      <family val="2"/>
    </font>
    <font>
      <b/>
      <sz val="11"/>
      <color rgb="FF000000"/>
      <name val="Calibri"/>
      <family val="2"/>
    </font>
    <font>
      <b/>
      <sz val="11"/>
      <name val="Cambria"/>
      <family val="1"/>
    </font>
    <font>
      <sz val="11"/>
      <name val="Cambria"/>
      <family val="1"/>
    </font>
    <font>
      <sz val="11"/>
      <color rgb="FFFF0000"/>
      <name val="Cambria"/>
      <family val="1"/>
    </font>
    <font>
      <sz val="11"/>
      <name val="Bookman Old Style"/>
      <family val="1"/>
    </font>
    <font>
      <sz val="11"/>
      <name val="Calibri Light"/>
      <family val="1"/>
      <scheme val="major"/>
    </font>
    <font>
      <sz val="11"/>
      <color theme="1"/>
      <name val="Cambria"/>
      <family val="1"/>
    </font>
    <font>
      <sz val="11"/>
      <color rgb="FF002060"/>
      <name val="Cambria"/>
      <family val="1"/>
    </font>
    <font>
      <b/>
      <sz val="11"/>
      <color theme="0"/>
      <name val="Cambria"/>
      <family val="1"/>
    </font>
    <font>
      <b/>
      <i/>
      <sz val="11"/>
      <color theme="0"/>
      <name val="Cambria"/>
      <family val="1"/>
    </font>
    <font>
      <b/>
      <sz val="11"/>
      <color theme="1"/>
      <name val="Cambria"/>
      <family val="1"/>
    </font>
    <font>
      <u/>
      <sz val="11"/>
      <color theme="10"/>
      <name val="Cambria"/>
      <family val="1"/>
    </font>
    <font>
      <b/>
      <i/>
      <sz val="11"/>
      <name val="Cambria"/>
      <family val="1"/>
    </font>
    <font>
      <b/>
      <sz val="11"/>
      <color rgb="FFFFFFFF"/>
      <name val="Cambria"/>
      <family val="1"/>
    </font>
    <font>
      <b/>
      <sz val="11"/>
      <color rgb="FF000000"/>
      <name val="Cambria"/>
      <family val="1"/>
    </font>
    <font>
      <sz val="11"/>
      <color theme="0"/>
      <name val="Cambria"/>
      <family val="1"/>
    </font>
    <font>
      <sz val="11"/>
      <color rgb="FF000000"/>
      <name val="Cambria"/>
      <family val="1"/>
    </font>
    <font>
      <b/>
      <sz val="11"/>
      <color rgb="FFFF0000"/>
      <name val="Cambria"/>
      <family val="1"/>
    </font>
    <font>
      <sz val="11"/>
      <color rgb="FFFFFFFF"/>
      <name val="Cambria"/>
      <family val="1"/>
    </font>
    <font>
      <sz val="11"/>
      <color rgb="FFC00000"/>
      <name val="Cambria"/>
      <family val="1"/>
    </font>
    <font>
      <b/>
      <sz val="11"/>
      <color rgb="FFC00000"/>
      <name val="Cambria"/>
      <family val="1"/>
    </font>
    <font>
      <sz val="10"/>
      <name val="Cambria"/>
      <family val="1"/>
    </font>
    <font>
      <sz val="10"/>
      <color theme="1"/>
      <name val="Cambria"/>
      <family val="1"/>
    </font>
    <font>
      <b/>
      <sz val="10"/>
      <color rgb="FFC00000"/>
      <name val="Cambria"/>
      <family val="1"/>
    </font>
    <font>
      <sz val="10"/>
      <color rgb="FFFF0000"/>
      <name val="Cambria"/>
      <family val="1"/>
    </font>
    <font>
      <b/>
      <sz val="10"/>
      <color theme="1"/>
      <name val="Cambria"/>
      <family val="1"/>
    </font>
    <font>
      <sz val="9"/>
      <color theme="1"/>
      <name val="Verdana"/>
      <family val="2"/>
    </font>
    <font>
      <sz val="12"/>
      <color rgb="FF000000"/>
      <name val="Tahoma"/>
      <family val="2"/>
    </font>
    <font>
      <sz val="9"/>
      <name val="Calibri"/>
      <family val="2"/>
      <scheme val="minor"/>
    </font>
    <font>
      <sz val="11"/>
      <name val="Trebuchet MS"/>
      <family val="2"/>
    </font>
    <font>
      <sz val="10"/>
      <color rgb="FFC00000"/>
      <name val="Verdana"/>
      <family val="2"/>
    </font>
    <font>
      <sz val="9"/>
      <color rgb="FFFF0000"/>
      <name val="Verdana"/>
      <family val="2"/>
    </font>
    <font>
      <sz val="11"/>
      <color theme="1"/>
      <name val="Trebuchet MS"/>
      <family val="2"/>
    </font>
    <font>
      <b/>
      <sz val="12"/>
      <color theme="1"/>
      <name val="Calibri"/>
      <family val="2"/>
      <scheme val="minor"/>
    </font>
    <font>
      <sz val="12"/>
      <name val="Calibri"/>
      <family val="2"/>
      <scheme val="minor"/>
    </font>
    <font>
      <sz val="12"/>
      <color rgb="FF000000"/>
      <name val="Calibri"/>
      <family val="2"/>
      <scheme val="minor"/>
    </font>
    <font>
      <b/>
      <sz val="12"/>
      <name val="Calibri"/>
      <family val="2"/>
      <scheme val="minor"/>
    </font>
    <font>
      <sz val="12"/>
      <color theme="1"/>
      <name val="Calibri"/>
      <family val="2"/>
      <scheme val="minor"/>
    </font>
    <font>
      <sz val="11"/>
      <color rgb="FFC00000"/>
      <name val="Calibri"/>
      <family val="2"/>
      <scheme val="minor"/>
    </font>
    <font>
      <b/>
      <sz val="11"/>
      <color rgb="FFC00000"/>
      <name val="Calibri"/>
      <family val="2"/>
      <scheme val="minor"/>
    </font>
    <font>
      <b/>
      <sz val="12"/>
      <color theme="0"/>
      <name val="Calibri"/>
      <family val="2"/>
      <scheme val="minor"/>
    </font>
    <font>
      <b/>
      <sz val="12"/>
      <color rgb="FFFF0000"/>
      <name val="Calibri"/>
      <family val="2"/>
      <scheme val="minor"/>
    </font>
    <font>
      <sz val="12"/>
      <color rgb="FFFF0000"/>
      <name val="Calibri"/>
      <family val="2"/>
      <scheme val="minor"/>
    </font>
    <font>
      <sz val="12"/>
      <color rgb="FFC00000"/>
      <name val="Calibri"/>
      <family val="2"/>
      <scheme val="minor"/>
    </font>
    <font>
      <sz val="12"/>
      <color theme="0"/>
      <name val="Calibri"/>
      <family val="2"/>
      <scheme val="minor"/>
    </font>
    <font>
      <sz val="9"/>
      <color rgb="FFFF0000"/>
      <name val="Calibri"/>
      <family val="2"/>
      <scheme val="minor"/>
    </font>
    <font>
      <b/>
      <sz val="12"/>
      <color rgb="FFC00000"/>
      <name val="Calibri"/>
      <family val="2"/>
      <scheme val="minor"/>
    </font>
    <font>
      <sz val="9"/>
      <color rgb="FFC00000"/>
      <name val="Verdana"/>
      <family val="2"/>
    </font>
    <font>
      <sz val="10"/>
      <color rgb="FFC00000"/>
      <name val="Cambria"/>
      <family val="1"/>
    </font>
    <font>
      <sz val="8"/>
      <color rgb="FFFF0000"/>
      <name val="Arial"/>
      <family val="2"/>
    </font>
    <font>
      <sz val="14"/>
      <color rgb="FF000000"/>
      <name val="Verdana"/>
      <family val="2"/>
    </font>
    <font>
      <b/>
      <sz val="11"/>
      <color rgb="FFFF0000"/>
      <name val="Calibri"/>
      <family val="2"/>
    </font>
    <font>
      <sz val="10"/>
      <name val="Calibri"/>
      <family val="2"/>
    </font>
    <font>
      <sz val="12"/>
      <color rgb="FF000000"/>
      <name val="Calibri"/>
      <family val="2"/>
    </font>
    <font>
      <sz val="11"/>
      <color indexed="8"/>
      <name val="Calibri"/>
      <family val="2"/>
    </font>
    <font>
      <sz val="10"/>
      <color rgb="FF222222"/>
      <name val="Calibri"/>
      <family val="2"/>
    </font>
    <font>
      <sz val="11"/>
      <name val="Verdana"/>
      <family val="2"/>
    </font>
    <font>
      <sz val="11"/>
      <color theme="1"/>
      <name val="Verdana"/>
      <family val="2"/>
    </font>
    <font>
      <b/>
      <sz val="11"/>
      <name val="Verdana"/>
      <family val="2"/>
    </font>
    <font>
      <b/>
      <sz val="11"/>
      <color theme="1"/>
      <name val="Verdana"/>
      <family val="2"/>
    </font>
    <font>
      <sz val="11"/>
      <color rgb="FF000000"/>
      <name val="Verdana"/>
      <family val="2"/>
    </font>
    <font>
      <b/>
      <sz val="11"/>
      <color rgb="FF000000"/>
      <name val="Verdana"/>
      <family val="2"/>
    </font>
    <font>
      <sz val="11"/>
      <color rgb="FFFF0000"/>
      <name val="Verdana"/>
      <family val="2"/>
    </font>
  </fonts>
  <fills count="60">
    <fill>
      <patternFill patternType="none"/>
    </fill>
    <fill>
      <patternFill patternType="gray125"/>
    </fill>
    <fill>
      <patternFill patternType="solid">
        <fgColor theme="8" tint="0.59999389629810485"/>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2"/>
        <bgColor indexed="64"/>
      </patternFill>
    </fill>
    <fill>
      <patternFill patternType="solid">
        <fgColor theme="4"/>
        <bgColor indexed="64"/>
      </patternFill>
    </fill>
    <fill>
      <patternFill patternType="solid">
        <fgColor rgb="FF66FF99"/>
        <bgColor indexed="64"/>
      </patternFill>
    </fill>
    <fill>
      <patternFill patternType="solid">
        <fgColor rgb="FF002060"/>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rgb="FFFFFF00"/>
        <bgColor indexed="64"/>
      </patternFill>
    </fill>
    <fill>
      <patternFill patternType="solid">
        <fgColor theme="1"/>
        <bgColor indexed="64"/>
      </patternFill>
    </fill>
    <fill>
      <patternFill patternType="solid">
        <fgColor theme="4" tint="-0.499984740745262"/>
        <bgColor indexed="64"/>
      </patternFill>
    </fill>
    <fill>
      <patternFill patternType="solid">
        <fgColor theme="5" tint="-0.249977111117893"/>
        <bgColor indexed="64"/>
      </patternFill>
    </fill>
    <fill>
      <patternFill patternType="solid">
        <fgColor theme="8" tint="-0.499984740745262"/>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theme="7"/>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00B050"/>
        <bgColor indexed="64"/>
      </patternFill>
    </fill>
    <fill>
      <patternFill patternType="solid">
        <fgColor theme="9" tint="-0.49998474074526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rgb="FF5B9BD5"/>
        <bgColor indexed="64"/>
      </patternFill>
    </fill>
    <fill>
      <patternFill patternType="solid">
        <fgColor theme="2" tint="-0.499984740745262"/>
        <bgColor indexed="64"/>
      </patternFill>
    </fill>
    <fill>
      <patternFill patternType="solid">
        <fgColor rgb="FFB4C6E7"/>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66FFFF"/>
        <bgColor indexed="64"/>
      </patternFill>
    </fill>
    <fill>
      <patternFill patternType="solid">
        <fgColor rgb="FF00B0F0"/>
        <bgColor indexed="64"/>
      </patternFill>
    </fill>
    <fill>
      <patternFill patternType="solid">
        <fgColor theme="2" tint="-0.89999084444715716"/>
        <bgColor indexed="64"/>
      </patternFill>
    </fill>
    <fill>
      <patternFill patternType="solid">
        <fgColor rgb="FFE7E6E6"/>
        <bgColor indexed="64"/>
      </patternFill>
    </fill>
    <fill>
      <patternFill patternType="solid">
        <fgColor rgb="FFFFFFFF"/>
        <bgColor indexed="64"/>
      </patternFill>
    </fill>
    <fill>
      <patternFill patternType="solid">
        <fgColor rgb="FF203764"/>
        <bgColor indexed="64"/>
      </patternFill>
    </fill>
    <fill>
      <patternFill patternType="solid">
        <fgColor rgb="FFBDD7EE"/>
        <bgColor indexed="64"/>
      </patternFill>
    </fill>
    <fill>
      <patternFill patternType="solid">
        <fgColor rgb="FFACB9CA"/>
        <bgColor indexed="64"/>
      </patternFill>
    </fill>
    <fill>
      <patternFill patternType="solid">
        <fgColor rgb="FFFCE4D6"/>
        <bgColor indexed="64"/>
      </patternFill>
    </fill>
    <fill>
      <patternFill patternType="solid">
        <fgColor rgb="FF000000"/>
        <bgColor indexed="64"/>
      </patternFill>
    </fill>
    <fill>
      <patternFill patternType="solid">
        <fgColor rgb="FFFFF2CC"/>
        <bgColor indexed="64"/>
      </patternFill>
    </fill>
    <fill>
      <patternFill patternType="solid">
        <fgColor rgb="FFD0CECE"/>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C000"/>
        <bgColor indexed="64"/>
      </patternFill>
    </fill>
    <fill>
      <patternFill patternType="solid">
        <fgColor theme="5" tint="0.79995117038483843"/>
        <bgColor indexed="64"/>
      </patternFill>
    </fill>
    <fill>
      <patternFill patternType="solid">
        <fgColor theme="3" tint="0.79995117038483843"/>
        <bgColor indexed="64"/>
      </patternFill>
    </fill>
    <fill>
      <patternFill patternType="solid">
        <fgColor rgb="FFFF0000"/>
        <bgColor indexed="64"/>
      </patternFill>
    </fill>
    <fill>
      <patternFill patternType="solid">
        <fgColor theme="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110">
    <xf numFmtId="0" fontId="0" fillId="0" borderId="0"/>
    <xf numFmtId="43" fontId="50" fillId="0" borderId="0" applyFont="0" applyFill="0" applyBorder="0" applyAlignment="0" applyProtection="0"/>
    <xf numFmtId="43" fontId="50" fillId="0" borderId="0" applyFont="0" applyFill="0" applyBorder="0" applyAlignment="0" applyProtection="0"/>
    <xf numFmtId="0" fontId="59" fillId="0" borderId="0" applyNumberFormat="0" applyFill="0" applyBorder="0" applyAlignment="0" applyProtection="0"/>
    <xf numFmtId="0" fontId="50" fillId="0" borderId="0"/>
    <xf numFmtId="0" fontId="50"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0"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9" fontId="50" fillId="0" borderId="0" applyFont="0" applyFill="0" applyBorder="0" applyAlignment="0" applyProtection="0"/>
    <xf numFmtId="0" fontId="43" fillId="0" borderId="0"/>
    <xf numFmtId="0" fontId="43" fillId="0" borderId="0"/>
    <xf numFmtId="0" fontId="43" fillId="0" borderId="0"/>
    <xf numFmtId="0" fontId="43" fillId="0" borderId="0"/>
    <xf numFmtId="43" fontId="43" fillId="0" borderId="0" applyFont="0" applyFill="0" applyBorder="0" applyAlignment="0" applyProtection="0"/>
    <xf numFmtId="0" fontId="43" fillId="0" borderId="0"/>
    <xf numFmtId="0" fontId="76" fillId="0" borderId="0" applyNumberFormat="0" applyFill="0" applyBorder="0" applyAlignment="0" applyProtection="0"/>
    <xf numFmtId="0" fontId="42" fillId="0" borderId="0"/>
    <xf numFmtId="0" fontId="38" fillId="0" borderId="0"/>
    <xf numFmtId="0" fontId="37" fillId="0" borderId="0"/>
    <xf numFmtId="0" fontId="37" fillId="0" borderId="0"/>
    <xf numFmtId="0" fontId="50" fillId="0" borderId="0"/>
    <xf numFmtId="0" fontId="28" fillId="0" borderId="0"/>
    <xf numFmtId="0" fontId="50" fillId="0" borderId="0"/>
    <xf numFmtId="0" fontId="50" fillId="0" borderId="0"/>
    <xf numFmtId="0" fontId="28" fillId="0" borderId="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5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0" fillId="0" borderId="0" applyFont="0" applyFill="0" applyBorder="0" applyAlignment="0" applyProtection="0"/>
    <xf numFmtId="43" fontId="5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50" fillId="0" borderId="0"/>
    <xf numFmtId="0" fontId="9" fillId="0" borderId="0"/>
    <xf numFmtId="0" fontId="50" fillId="0" borderId="0"/>
    <xf numFmtId="0" fontId="9" fillId="0" borderId="0"/>
    <xf numFmtId="0" fontId="9" fillId="0" borderId="0"/>
    <xf numFmtId="0" fontId="5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50" fillId="0" borderId="0" applyFont="0" applyFill="0" applyBorder="0" applyAlignment="0" applyProtection="0"/>
    <xf numFmtId="43" fontId="5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50" fillId="0" borderId="0" applyFont="0" applyFill="0" applyBorder="0" applyAlignment="0" applyProtection="0"/>
    <xf numFmtId="43" fontId="5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xf numFmtId="0" fontId="9" fillId="0" borderId="0"/>
    <xf numFmtId="0" fontId="9" fillId="0" borderId="0"/>
    <xf numFmtId="0" fontId="9" fillId="0" borderId="0"/>
    <xf numFmtId="0" fontId="9" fillId="0" borderId="0"/>
    <xf numFmtId="0" fontId="9" fillId="0" borderId="0"/>
    <xf numFmtId="43" fontId="50" fillId="0" borderId="0" applyFont="0" applyFill="0" applyBorder="0" applyAlignment="0" applyProtection="0"/>
    <xf numFmtId="43" fontId="5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50" fillId="0" borderId="0" applyFont="0" applyFill="0" applyBorder="0" applyAlignment="0" applyProtection="0"/>
    <xf numFmtId="43" fontId="5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50" fillId="0" borderId="0" applyFont="0" applyFill="0" applyBorder="0" applyAlignment="0" applyProtection="0"/>
    <xf numFmtId="43" fontId="5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cellStyleXfs>
  <cellXfs count="4121">
    <xf numFmtId="0" fontId="0" fillId="0" borderId="0" xfId="0"/>
    <xf numFmtId="0" fontId="0" fillId="0" borderId="0" xfId="0" applyAlignment="1">
      <alignment vertical="center" wrapText="1"/>
    </xf>
    <xf numFmtId="0" fontId="51" fillId="0" borderId="0" xfId="0" applyFont="1" applyAlignment="1">
      <alignment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0" fontId="0" fillId="0" borderId="0" xfId="0" applyAlignment="1">
      <alignment vertical="center"/>
    </xf>
    <xf numFmtId="0" fontId="51" fillId="0" borderId="0" xfId="0" applyFont="1" applyAlignment="1">
      <alignment horizontal="left" vertical="center" wrapText="1"/>
    </xf>
    <xf numFmtId="0" fontId="0" fillId="0" borderId="0" xfId="0" applyAlignment="1">
      <alignment horizontal="center" vertical="center"/>
    </xf>
    <xf numFmtId="2" fontId="51" fillId="0" borderId="1" xfId="0" applyNumberFormat="1" applyFont="1" applyBorder="1" applyAlignment="1">
      <alignment horizontal="right" vertical="center" wrapText="1"/>
    </xf>
    <xf numFmtId="2" fontId="51" fillId="0" borderId="1" xfId="0" applyNumberFormat="1" applyFont="1" applyBorder="1" applyAlignment="1">
      <alignment vertical="center" wrapText="1"/>
    </xf>
    <xf numFmtId="0" fontId="51" fillId="0" borderId="1" xfId="0" applyFont="1" applyBorder="1" applyAlignment="1">
      <alignment horizontal="right" vertical="center" wrapText="1"/>
    </xf>
    <xf numFmtId="0" fontId="54" fillId="0" borderId="0" xfId="0" applyFont="1" applyAlignment="1">
      <alignment vertical="center" wrapText="1"/>
    </xf>
    <xf numFmtId="2" fontId="51" fillId="0" borderId="1" xfId="0" applyNumberFormat="1" applyFont="1" applyBorder="1" applyAlignment="1">
      <alignment horizontal="left" vertical="center" wrapText="1"/>
    </xf>
    <xf numFmtId="0" fontId="51" fillId="0" borderId="1" xfId="0" applyFont="1" applyFill="1" applyBorder="1" applyAlignment="1">
      <alignment vertical="center" wrapText="1"/>
    </xf>
    <xf numFmtId="0" fontId="66" fillId="13" borderId="1" xfId="3" applyFont="1" applyFill="1" applyBorder="1" applyAlignment="1"/>
    <xf numFmtId="0" fontId="0" fillId="0" borderId="0" xfId="0" applyFill="1" applyAlignment="1">
      <alignment vertical="center"/>
    </xf>
    <xf numFmtId="0" fontId="0" fillId="0" borderId="0" xfId="0" applyAlignment="1">
      <alignment horizontal="center" vertical="center" wrapText="1"/>
    </xf>
    <xf numFmtId="0" fontId="63" fillId="12" borderId="1" xfId="38" applyFont="1" applyFill="1" applyBorder="1" applyAlignment="1">
      <alignment horizontal="center" vertical="center" wrapText="1"/>
    </xf>
    <xf numFmtId="0" fontId="63" fillId="12" borderId="1" xfId="38" applyFont="1" applyFill="1" applyBorder="1" applyAlignment="1">
      <alignment horizontal="left" vertical="center" wrapText="1"/>
    </xf>
    <xf numFmtId="0" fontId="54" fillId="4" borderId="1" xfId="0" applyFont="1" applyFill="1" applyBorder="1" applyAlignment="1">
      <alignment vertical="center" wrapText="1"/>
    </xf>
    <xf numFmtId="0" fontId="54" fillId="4" borderId="1" xfId="0" applyFont="1" applyFill="1" applyBorder="1" applyAlignment="1">
      <alignment horizontal="left" vertical="center" wrapText="1"/>
    </xf>
    <xf numFmtId="0" fontId="0" fillId="0" borderId="1" xfId="0" applyBorder="1" applyAlignment="1">
      <alignment vertical="center"/>
    </xf>
    <xf numFmtId="0" fontId="59" fillId="0" borderId="1" xfId="3" applyFill="1"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indent="1"/>
    </xf>
    <xf numFmtId="0" fontId="59" fillId="0" borderId="5" xfId="3" applyFill="1" applyBorder="1" applyAlignment="1">
      <alignment vertical="center"/>
    </xf>
    <xf numFmtId="0" fontId="59" fillId="8" borderId="1" xfId="3" applyFill="1" applyBorder="1"/>
    <xf numFmtId="0" fontId="59" fillId="0" borderId="1" xfId="3" applyBorder="1" applyAlignment="1">
      <alignment vertical="center"/>
    </xf>
    <xf numFmtId="0" fontId="66" fillId="8" borderId="1" xfId="3" applyFont="1" applyFill="1" applyBorder="1" applyAlignment="1">
      <alignment vertical="center" wrapText="1"/>
    </xf>
    <xf numFmtId="0" fontId="64" fillId="0" borderId="1" xfId="8" applyFont="1" applyFill="1" applyBorder="1" applyAlignment="1">
      <alignment horizontal="left" vertical="center" wrapText="1"/>
    </xf>
    <xf numFmtId="0" fontId="51" fillId="0" borderId="0" xfId="0" applyFont="1" applyBorder="1" applyAlignment="1">
      <alignment vertical="center" wrapText="1"/>
    </xf>
    <xf numFmtId="0" fontId="64" fillId="7" borderId="1" xfId="0" applyFont="1" applyFill="1" applyBorder="1" applyAlignment="1">
      <alignment horizontal="left" vertical="center" wrapText="1"/>
    </xf>
    <xf numFmtId="0" fontId="54" fillId="2" borderId="1" xfId="0" applyFont="1" applyFill="1" applyBorder="1" applyAlignment="1">
      <alignment horizontal="left" vertical="center" wrapText="1"/>
    </xf>
    <xf numFmtId="0" fontId="64" fillId="17" borderId="1" xfId="0" applyFont="1" applyFill="1" applyBorder="1" applyAlignment="1">
      <alignment horizontal="left" vertical="center" wrapText="1"/>
    </xf>
    <xf numFmtId="0" fontId="54" fillId="5" borderId="1" xfId="0" applyFont="1" applyFill="1" applyBorder="1" applyAlignment="1">
      <alignment horizontal="left" vertical="center" wrapText="1"/>
    </xf>
    <xf numFmtId="0" fontId="51" fillId="4" borderId="1" xfId="0" applyFont="1" applyFill="1" applyBorder="1" applyAlignment="1">
      <alignment horizontal="left" vertical="center" wrapText="1"/>
    </xf>
    <xf numFmtId="2" fontId="63" fillId="12" borderId="1" xfId="38" applyNumberFormat="1" applyFont="1" applyFill="1" applyBorder="1" applyAlignment="1">
      <alignment horizontal="center" vertical="center" wrapText="1"/>
    </xf>
    <xf numFmtId="0" fontId="62" fillId="0" borderId="0" xfId="0" applyFont="1" applyFill="1" applyAlignment="1">
      <alignment vertical="center" wrapText="1"/>
    </xf>
    <xf numFmtId="2" fontId="64" fillId="7" borderId="1" xfId="0" applyNumberFormat="1" applyFont="1" applyFill="1" applyBorder="1" applyAlignment="1">
      <alignment horizontal="right" vertical="center" wrapText="1"/>
    </xf>
    <xf numFmtId="2" fontId="54" fillId="2" borderId="1" xfId="0" applyNumberFormat="1" applyFont="1" applyFill="1" applyBorder="1" applyAlignment="1">
      <alignment horizontal="right" vertical="center" wrapText="1"/>
    </xf>
    <xf numFmtId="2" fontId="54" fillId="4" borderId="1" xfId="0" applyNumberFormat="1" applyFont="1" applyFill="1" applyBorder="1" applyAlignment="1">
      <alignment horizontal="right" vertical="center" wrapText="1"/>
    </xf>
    <xf numFmtId="2" fontId="64" fillId="17" borderId="1" xfId="0" applyNumberFormat="1" applyFont="1" applyFill="1" applyBorder="1" applyAlignment="1">
      <alignment horizontal="right" vertical="center" wrapText="1"/>
    </xf>
    <xf numFmtId="2" fontId="54" fillId="5" borderId="1" xfId="0" applyNumberFormat="1" applyFont="1" applyFill="1" applyBorder="1" applyAlignment="1">
      <alignment horizontal="right" vertical="center" wrapText="1"/>
    </xf>
    <xf numFmtId="2" fontId="51" fillId="4" borderId="1" xfId="0" applyNumberFormat="1" applyFont="1" applyFill="1" applyBorder="1" applyAlignment="1">
      <alignment horizontal="right" vertical="center" wrapText="1"/>
    </xf>
    <xf numFmtId="0" fontId="65" fillId="0" borderId="0" xfId="0" applyFont="1" applyAlignment="1">
      <alignment vertical="center" wrapText="1"/>
    </xf>
    <xf numFmtId="2" fontId="63" fillId="12" borderId="1" xfId="38" applyNumberFormat="1" applyFont="1" applyFill="1" applyBorder="1" applyAlignment="1">
      <alignment horizontal="right" vertical="center" wrapText="1"/>
    </xf>
    <xf numFmtId="0" fontId="54" fillId="0" borderId="1" xfId="0" applyFont="1" applyFill="1" applyBorder="1" applyAlignment="1">
      <alignment horizontal="left" vertical="center" wrapText="1"/>
    </xf>
    <xf numFmtId="0" fontId="54" fillId="0" borderId="1" xfId="0" applyFont="1" applyFill="1" applyBorder="1" applyAlignment="1">
      <alignment horizontal="right" vertical="center" wrapText="1"/>
    </xf>
    <xf numFmtId="2" fontId="54" fillId="2" borderId="1" xfId="0" applyNumberFormat="1" applyFont="1" applyFill="1" applyBorder="1" applyAlignment="1">
      <alignment vertical="center" wrapText="1"/>
    </xf>
    <xf numFmtId="0" fontId="55" fillId="28" borderId="1" xfId="0" applyFont="1" applyFill="1" applyBorder="1" applyAlignment="1">
      <alignment vertical="center"/>
    </xf>
    <xf numFmtId="0" fontId="54" fillId="24" borderId="1" xfId="38" applyFont="1" applyFill="1" applyBorder="1" applyAlignment="1">
      <alignment horizontal="center" vertical="center" wrapText="1"/>
    </xf>
    <xf numFmtId="2" fontId="54" fillId="24" borderId="1" xfId="38" applyNumberFormat="1" applyFont="1" applyFill="1" applyBorder="1" applyAlignment="1">
      <alignment horizontal="center" vertical="center" wrapText="1"/>
    </xf>
    <xf numFmtId="0" fontId="54" fillId="18" borderId="1" xfId="38" applyFont="1" applyFill="1" applyBorder="1" applyAlignment="1">
      <alignment horizontal="center" vertical="center" wrapText="1"/>
    </xf>
    <xf numFmtId="0" fontId="54" fillId="18" borderId="1" xfId="38" applyFont="1" applyFill="1" applyBorder="1" applyAlignment="1" applyProtection="1">
      <alignment horizontal="center" vertical="center" wrapText="1"/>
      <protection locked="0"/>
    </xf>
    <xf numFmtId="0" fontId="54" fillId="5" borderId="1" xfId="38" applyFont="1" applyFill="1" applyBorder="1" applyAlignment="1">
      <alignment horizontal="center" vertical="center" wrapText="1"/>
    </xf>
    <xf numFmtId="2" fontId="54" fillId="5" borderId="1" xfId="38" applyNumberFormat="1" applyFont="1" applyFill="1" applyBorder="1" applyAlignment="1">
      <alignment horizontal="center" vertical="center" wrapText="1"/>
    </xf>
    <xf numFmtId="0" fontId="70" fillId="0" borderId="1" xfId="8" applyFont="1" applyFill="1" applyBorder="1" applyAlignment="1">
      <alignment horizontal="left" vertical="center"/>
    </xf>
    <xf numFmtId="0" fontId="77" fillId="18" borderId="1" xfId="38" applyFont="1" applyFill="1" applyBorder="1" applyAlignment="1">
      <alignment horizontal="center" vertical="center" wrapText="1"/>
    </xf>
    <xf numFmtId="0" fontId="77" fillId="18" borderId="1" xfId="38" applyFont="1" applyFill="1" applyBorder="1" applyAlignment="1" applyProtection="1">
      <alignment horizontal="center" vertical="center" wrapText="1"/>
      <protection locked="0"/>
    </xf>
    <xf numFmtId="0" fontId="77" fillId="24" borderId="1" xfId="38" applyFont="1" applyFill="1" applyBorder="1" applyAlignment="1">
      <alignment horizontal="center" vertical="center" wrapText="1"/>
    </xf>
    <xf numFmtId="0" fontId="77" fillId="5" borderId="1" xfId="38" applyFont="1" applyFill="1" applyBorder="1" applyAlignment="1">
      <alignment horizontal="center" vertical="center" wrapText="1"/>
    </xf>
    <xf numFmtId="0" fontId="75" fillId="0" borderId="0" xfId="0" applyFont="1" applyAlignment="1">
      <alignment horizontal="center"/>
    </xf>
    <xf numFmtId="0" fontId="70" fillId="7" borderId="1" xfId="50" applyFont="1" applyFill="1" applyBorder="1" applyAlignment="1">
      <alignment horizontal="left" vertical="center" wrapText="1"/>
    </xf>
    <xf numFmtId="0" fontId="70" fillId="7" borderId="1" xfId="50" applyFont="1" applyFill="1" applyBorder="1" applyAlignment="1" applyProtection="1">
      <alignment horizontal="left" vertical="center" wrapText="1"/>
      <protection locked="0"/>
    </xf>
    <xf numFmtId="0" fontId="72" fillId="4" borderId="1" xfId="8" applyFont="1" applyFill="1" applyBorder="1" applyAlignment="1" applyProtection="1">
      <alignment horizontal="center" vertical="center" wrapText="1"/>
      <protection locked="0"/>
    </xf>
    <xf numFmtId="2" fontId="72" fillId="4" borderId="1" xfId="0" applyNumberFormat="1" applyFont="1" applyFill="1" applyBorder="1" applyAlignment="1" applyProtection="1">
      <alignment horizontal="right" vertical="center" wrapText="1"/>
    </xf>
    <xf numFmtId="0" fontId="77" fillId="4" borderId="1" xfId="0" applyFont="1" applyFill="1" applyBorder="1" applyAlignment="1" applyProtection="1">
      <alignment horizontal="left" vertical="center"/>
      <protection locked="0"/>
    </xf>
    <xf numFmtId="0" fontId="75" fillId="0" borderId="1" xfId="0" applyFont="1" applyBorder="1" applyAlignment="1" applyProtection="1">
      <alignment horizontal="left" vertical="center" wrapText="1"/>
      <protection locked="0"/>
    </xf>
    <xf numFmtId="0" fontId="75" fillId="0" borderId="1" xfId="0" applyFont="1" applyBorder="1" applyAlignment="1" applyProtection="1">
      <alignment horizontal="left" vertical="center"/>
      <protection locked="0"/>
    </xf>
    <xf numFmtId="0" fontId="72" fillId="30" borderId="1" xfId="0" applyFont="1" applyFill="1" applyBorder="1" applyAlignment="1">
      <alignment horizontal="center" vertical="center" wrapText="1"/>
    </xf>
    <xf numFmtId="0" fontId="77" fillId="10" borderId="1" xfId="8" applyFont="1" applyFill="1" applyBorder="1" applyAlignment="1">
      <alignment horizontal="center" vertical="center" wrapText="1"/>
    </xf>
    <xf numFmtId="0" fontId="77" fillId="28" borderId="1" xfId="0" applyFont="1" applyFill="1" applyBorder="1" applyAlignment="1" applyProtection="1">
      <alignment horizontal="center" vertical="center"/>
      <protection locked="0"/>
    </xf>
    <xf numFmtId="0" fontId="75" fillId="0" borderId="0" xfId="0" applyFont="1" applyAlignment="1">
      <alignment horizontal="left" vertical="center"/>
    </xf>
    <xf numFmtId="0" fontId="75" fillId="0" borderId="0" xfId="0" applyFont="1" applyAlignment="1">
      <alignment vertical="center"/>
    </xf>
    <xf numFmtId="0" fontId="75" fillId="0" borderId="0" xfId="0" applyFont="1" applyFill="1" applyAlignment="1">
      <alignment vertical="center"/>
    </xf>
    <xf numFmtId="0" fontId="75" fillId="0" borderId="0" xfId="0" applyFont="1" applyFill="1" applyAlignment="1">
      <alignment horizontal="center" vertical="center"/>
    </xf>
    <xf numFmtId="0" fontId="75" fillId="0" borderId="0" xfId="0" applyFont="1" applyAlignment="1">
      <alignment horizontal="center" vertical="center"/>
    </xf>
    <xf numFmtId="0" fontId="77" fillId="0" borderId="0" xfId="0" applyFont="1" applyAlignment="1">
      <alignment vertical="center"/>
    </xf>
    <xf numFmtId="0" fontId="77" fillId="4" borderId="1" xfId="0" applyFont="1" applyFill="1" applyBorder="1" applyAlignment="1">
      <alignment horizontal="left" vertical="center"/>
    </xf>
    <xf numFmtId="0" fontId="77" fillId="4" borderId="1" xfId="0" applyFont="1" applyFill="1" applyBorder="1" applyAlignment="1" applyProtection="1">
      <alignment vertical="center"/>
      <protection locked="0"/>
    </xf>
    <xf numFmtId="0" fontId="75" fillId="0" borderId="1" xfId="0" applyFont="1" applyBorder="1" applyAlignment="1">
      <alignment horizontal="left" vertical="center"/>
    </xf>
    <xf numFmtId="0" fontId="75" fillId="0" borderId="1" xfId="0" applyFont="1" applyBorder="1" applyAlignment="1" applyProtection="1">
      <alignment vertical="center"/>
      <protection locked="0"/>
    </xf>
    <xf numFmtId="0" fontId="75" fillId="0" borderId="1" xfId="0" applyFont="1" applyBorder="1" applyAlignment="1" applyProtection="1">
      <alignment vertical="center" wrapText="1"/>
      <protection locked="0"/>
    </xf>
    <xf numFmtId="0" fontId="70" fillId="0" borderId="1" xfId="8" applyFont="1" applyFill="1" applyBorder="1" applyAlignment="1">
      <alignment horizontal="center" vertical="center"/>
    </xf>
    <xf numFmtId="0" fontId="70" fillId="7" borderId="1" xfId="50" applyFont="1" applyFill="1" applyBorder="1" applyAlignment="1" applyProtection="1">
      <alignment horizontal="center" vertical="center" wrapText="1"/>
      <protection locked="0"/>
    </xf>
    <xf numFmtId="0" fontId="77" fillId="4" borderId="1" xfId="0" applyFont="1" applyFill="1" applyBorder="1" applyAlignment="1" applyProtection="1">
      <alignment horizontal="center" vertical="center"/>
      <protection locked="0"/>
    </xf>
    <xf numFmtId="0" fontId="77" fillId="29" borderId="1" xfId="0" applyFont="1" applyFill="1" applyBorder="1" applyAlignment="1" applyProtection="1">
      <alignment horizontal="center" vertical="center"/>
      <protection locked="0"/>
    </xf>
    <xf numFmtId="0" fontId="70" fillId="0" borderId="1" xfId="48" applyFont="1" applyFill="1" applyBorder="1" applyAlignment="1">
      <alignment horizontal="center" vertical="center"/>
    </xf>
    <xf numFmtId="0" fontId="75" fillId="0" borderId="1" xfId="0" applyFont="1" applyBorder="1" applyAlignment="1">
      <alignment horizontal="left" vertical="center" wrapText="1"/>
    </xf>
    <xf numFmtId="0" fontId="75" fillId="0" borderId="0" xfId="0" applyFont="1" applyAlignment="1">
      <alignment vertical="center" wrapText="1"/>
    </xf>
    <xf numFmtId="0" fontId="79" fillId="0" borderId="1" xfId="0" applyFont="1" applyFill="1" applyBorder="1" applyAlignment="1" applyProtection="1">
      <alignment vertical="center" wrapText="1"/>
      <protection locked="0"/>
    </xf>
    <xf numFmtId="0" fontId="79" fillId="0" borderId="1" xfId="0" applyFont="1" applyFill="1" applyBorder="1" applyAlignment="1" applyProtection="1">
      <alignment horizontal="center" vertical="center" wrapText="1"/>
      <protection locked="0"/>
    </xf>
    <xf numFmtId="0" fontId="77" fillId="0" borderId="1" xfId="0" applyFont="1" applyFill="1" applyBorder="1" applyAlignment="1" applyProtection="1">
      <alignment vertical="center" wrapText="1"/>
      <protection locked="0"/>
    </xf>
    <xf numFmtId="0" fontId="77" fillId="0" borderId="1" xfId="0" applyFont="1" applyFill="1" applyBorder="1" applyAlignment="1" applyProtection="1">
      <alignment horizontal="left" vertical="center" wrapText="1"/>
      <protection locked="0"/>
    </xf>
    <xf numFmtId="0" fontId="71" fillId="0" borderId="1" xfId="0" applyFont="1" applyBorder="1" applyAlignment="1" applyProtection="1">
      <alignment vertical="center" wrapText="1"/>
      <protection locked="0"/>
    </xf>
    <xf numFmtId="0" fontId="71" fillId="0" borderId="1" xfId="0" applyFont="1" applyBorder="1" applyAlignment="1" applyProtection="1">
      <alignment horizontal="center" vertical="center" wrapText="1"/>
      <protection locked="0"/>
    </xf>
    <xf numFmtId="2" fontId="71" fillId="0" borderId="1" xfId="0" applyNumberFormat="1" applyFont="1" applyBorder="1" applyAlignment="1" applyProtection="1">
      <alignment horizontal="right" vertical="center" wrapText="1"/>
      <protection locked="0"/>
    </xf>
    <xf numFmtId="2" fontId="79" fillId="0" borderId="1" xfId="0" applyNumberFormat="1" applyFont="1" applyBorder="1" applyAlignment="1" applyProtection="1">
      <alignment vertical="center" wrapText="1"/>
      <protection locked="0"/>
    </xf>
    <xf numFmtId="0" fontId="72" fillId="12" borderId="1" xfId="38" applyFont="1" applyFill="1" applyBorder="1" applyAlignment="1" applyProtection="1">
      <alignment horizontal="center" vertical="center" wrapText="1"/>
    </xf>
    <xf numFmtId="0" fontId="77" fillId="2" borderId="1" xfId="4" applyFont="1" applyFill="1" applyBorder="1" applyAlignment="1" applyProtection="1">
      <alignment horizontal="left" vertical="center" wrapText="1"/>
    </xf>
    <xf numFmtId="0" fontId="77" fillId="4" borderId="1" xfId="4" applyFont="1" applyFill="1" applyBorder="1" applyAlignment="1" applyProtection="1">
      <alignment horizontal="left" vertical="center" wrapText="1"/>
    </xf>
    <xf numFmtId="0" fontId="49" fillId="0" borderId="1" xfId="38" applyFont="1" applyFill="1" applyBorder="1" applyAlignment="1" applyProtection="1">
      <alignment horizontal="left" vertical="center" wrapText="1"/>
    </xf>
    <xf numFmtId="0" fontId="72" fillId="0" borderId="1" xfId="38" applyFont="1" applyFill="1" applyBorder="1" applyAlignment="1" applyProtection="1">
      <alignment horizontal="left" vertical="center" wrapText="1"/>
      <protection locked="0"/>
    </xf>
    <xf numFmtId="0" fontId="75" fillId="0" borderId="1" xfId="0" applyFont="1" applyBorder="1" applyAlignment="1" applyProtection="1">
      <alignment horizontal="left" vertical="center" wrapText="1"/>
    </xf>
    <xf numFmtId="0" fontId="72" fillId="0" borderId="1" xfId="38" applyFont="1" applyFill="1" applyBorder="1" applyAlignment="1" applyProtection="1">
      <alignment horizontal="left" vertical="center" wrapText="1"/>
    </xf>
    <xf numFmtId="0" fontId="75" fillId="4" borderId="1" xfId="4" applyFont="1" applyFill="1" applyBorder="1" applyAlignment="1" applyProtection="1">
      <alignment vertical="center" wrapText="1"/>
      <protection locked="0"/>
    </xf>
    <xf numFmtId="0" fontId="76" fillId="0" borderId="1" xfId="3" applyFont="1" applyFill="1" applyBorder="1" applyAlignment="1">
      <alignment horizontal="center"/>
    </xf>
    <xf numFmtId="0" fontId="75" fillId="0" borderId="0" xfId="0" applyFont="1" applyAlignment="1">
      <alignment horizontal="center" vertical="center" wrapText="1"/>
    </xf>
    <xf numFmtId="0" fontId="75" fillId="0" borderId="0" xfId="0" applyFont="1" applyFill="1" applyAlignment="1">
      <alignment horizontal="center" vertical="center" wrapText="1"/>
    </xf>
    <xf numFmtId="0" fontId="77" fillId="2" borderId="1" xfId="4" applyFont="1" applyFill="1" applyBorder="1" applyAlignment="1" applyProtection="1">
      <alignment horizontal="left" vertical="center" wrapText="1"/>
      <protection locked="0"/>
    </xf>
    <xf numFmtId="0" fontId="77" fillId="4" borderId="1" xfId="4" applyFont="1" applyFill="1" applyBorder="1" applyAlignment="1" applyProtection="1">
      <alignment horizontal="left" vertical="center" wrapText="1"/>
      <protection locked="0"/>
    </xf>
    <xf numFmtId="0" fontId="77" fillId="3" borderId="1" xfId="8" applyFont="1" applyFill="1" applyBorder="1" applyAlignment="1" applyProtection="1">
      <alignment horizontal="left" vertical="center" wrapText="1"/>
      <protection locked="0"/>
    </xf>
    <xf numFmtId="0" fontId="75" fillId="2" borderId="1" xfId="8" applyFont="1" applyFill="1" applyBorder="1" applyAlignment="1" applyProtection="1">
      <alignment horizontal="left" vertical="center" wrapText="1"/>
      <protection locked="0"/>
    </xf>
    <xf numFmtId="0" fontId="75" fillId="4" borderId="1" xfId="8" applyFont="1" applyFill="1" applyBorder="1" applyAlignment="1" applyProtection="1">
      <alignment horizontal="left" vertical="center" wrapText="1"/>
      <protection locked="0"/>
    </xf>
    <xf numFmtId="0" fontId="75" fillId="0" borderId="1" xfId="8" applyFont="1" applyBorder="1" applyAlignment="1" applyProtection="1">
      <alignment horizontal="left" vertical="center" wrapText="1"/>
      <protection locked="0"/>
    </xf>
    <xf numFmtId="0" fontId="75" fillId="0" borderId="1" xfId="4" applyFont="1" applyBorder="1" applyAlignment="1" applyProtection="1">
      <alignment horizontal="left" vertical="center" wrapText="1"/>
      <protection locked="0"/>
    </xf>
    <xf numFmtId="2" fontId="75" fillId="0" borderId="1" xfId="0" applyNumberFormat="1" applyFont="1" applyBorder="1" applyAlignment="1">
      <alignment horizontal="left" vertical="center" wrapText="1"/>
    </xf>
    <xf numFmtId="0" fontId="70" fillId="7" borderId="1" xfId="38" applyFont="1" applyFill="1" applyBorder="1" applyAlignment="1" applyProtection="1">
      <alignment horizontal="left" vertical="center" wrapText="1"/>
      <protection locked="0"/>
    </xf>
    <xf numFmtId="0" fontId="77" fillId="4" borderId="1" xfId="8" applyFont="1" applyFill="1" applyBorder="1" applyAlignment="1" applyProtection="1">
      <alignment horizontal="left" vertical="center" wrapText="1"/>
      <protection locked="0"/>
    </xf>
    <xf numFmtId="0" fontId="77" fillId="0" borderId="1" xfId="0" applyFont="1" applyBorder="1" applyAlignment="1" applyProtection="1">
      <alignment horizontal="left" vertical="center" wrapText="1"/>
      <protection locked="0"/>
    </xf>
    <xf numFmtId="1" fontId="75" fillId="0" borderId="1" xfId="0" applyNumberFormat="1" applyFont="1" applyBorder="1" applyAlignment="1" applyProtection="1">
      <alignment horizontal="left" vertical="center" wrapText="1"/>
      <protection locked="0"/>
    </xf>
    <xf numFmtId="0" fontId="77" fillId="0" borderId="1" xfId="8" applyFont="1" applyFill="1" applyBorder="1" applyAlignment="1" applyProtection="1">
      <alignment horizontal="left" vertical="center" wrapText="1"/>
      <protection locked="0"/>
    </xf>
    <xf numFmtId="0" fontId="72" fillId="2" borderId="1" xfId="40" applyFont="1" applyFill="1" applyBorder="1" applyAlignment="1">
      <alignment horizontal="left" vertical="center" wrapText="1"/>
    </xf>
    <xf numFmtId="0" fontId="75" fillId="0" borderId="1" xfId="0" applyFont="1" applyFill="1" applyBorder="1" applyAlignment="1" applyProtection="1">
      <alignment horizontal="left" vertical="center" wrapText="1"/>
    </xf>
    <xf numFmtId="0" fontId="75" fillId="0" borderId="1" xfId="0" applyFont="1" applyFill="1" applyBorder="1" applyAlignment="1" applyProtection="1">
      <alignment horizontal="left" vertical="center" wrapText="1"/>
      <protection locked="0"/>
    </xf>
    <xf numFmtId="0" fontId="72" fillId="3" borderId="1" xfId="4" applyFont="1" applyFill="1" applyBorder="1" applyAlignment="1" applyProtection="1">
      <alignment horizontal="left" vertical="center" wrapText="1"/>
      <protection locked="0"/>
    </xf>
    <xf numFmtId="0" fontId="75" fillId="0" borderId="0" xfId="0" applyFont="1" applyAlignment="1">
      <alignment horizontal="left" vertical="center" wrapText="1"/>
    </xf>
    <xf numFmtId="0" fontId="76" fillId="8" borderId="1" xfId="3" applyFont="1" applyFill="1" applyBorder="1" applyAlignment="1">
      <alignment horizontal="left" vertical="center" wrapText="1"/>
    </xf>
    <xf numFmtId="0" fontId="72" fillId="2" borderId="1" xfId="40" applyFont="1" applyFill="1" applyBorder="1" applyAlignment="1">
      <alignment horizontal="center" vertical="center" wrapText="1"/>
    </xf>
    <xf numFmtId="43" fontId="77" fillId="24" borderId="1" xfId="1" applyFont="1" applyFill="1" applyBorder="1" applyAlignment="1">
      <alignment horizontal="center" vertical="center" wrapText="1"/>
    </xf>
    <xf numFmtId="43" fontId="75" fillId="0" borderId="1" xfId="1" applyFont="1" applyBorder="1" applyAlignment="1">
      <alignment horizontal="center" vertical="center" wrapText="1"/>
    </xf>
    <xf numFmtId="43" fontId="72" fillId="2" borderId="1" xfId="1" applyFont="1" applyFill="1" applyBorder="1" applyAlignment="1">
      <alignment horizontal="center" vertical="center" wrapText="1"/>
    </xf>
    <xf numFmtId="43" fontId="77" fillId="2" borderId="1" xfId="1" applyFont="1" applyFill="1" applyBorder="1" applyAlignment="1" applyProtection="1">
      <alignment horizontal="center" vertical="center" wrapText="1"/>
      <protection locked="0"/>
    </xf>
    <xf numFmtId="43" fontId="70" fillId="7" borderId="1" xfId="1" applyFont="1" applyFill="1" applyBorder="1" applyAlignment="1">
      <alignment horizontal="right" vertical="center" wrapText="1"/>
    </xf>
    <xf numFmtId="43" fontId="77" fillId="5" borderId="1" xfId="1" applyFont="1" applyFill="1" applyBorder="1" applyAlignment="1">
      <alignment horizontal="center" vertical="center" wrapText="1"/>
    </xf>
    <xf numFmtId="0" fontId="75" fillId="0" borderId="13" xfId="0" applyFont="1" applyFill="1" applyBorder="1" applyAlignment="1">
      <alignment horizontal="left" vertical="center" wrapText="1"/>
    </xf>
    <xf numFmtId="43" fontId="72" fillId="0" borderId="1" xfId="1" applyFont="1" applyFill="1" applyBorder="1" applyAlignment="1">
      <alignment horizontal="center" vertical="center" wrapText="1"/>
    </xf>
    <xf numFmtId="43" fontId="72" fillId="0" borderId="5" xfId="1" applyFont="1" applyFill="1" applyBorder="1" applyAlignment="1">
      <alignment horizontal="center" vertical="center" wrapText="1"/>
    </xf>
    <xf numFmtId="0" fontId="76" fillId="0" borderId="13" xfId="3" applyFont="1" applyFill="1" applyBorder="1" applyAlignment="1">
      <alignment horizontal="left" vertical="center" wrapText="1"/>
    </xf>
    <xf numFmtId="0" fontId="72" fillId="0" borderId="1" xfId="8" applyFont="1" applyBorder="1" applyAlignment="1">
      <alignment horizontal="left" vertical="center"/>
    </xf>
    <xf numFmtId="0" fontId="75" fillId="0" borderId="0" xfId="0" applyFont="1" applyFill="1" applyAlignment="1">
      <alignment wrapText="1"/>
    </xf>
    <xf numFmtId="0" fontId="70" fillId="0" borderId="2" xfId="8" applyFont="1" applyFill="1" applyBorder="1" applyAlignment="1">
      <alignment horizontal="left" vertical="center"/>
    </xf>
    <xf numFmtId="0" fontId="70" fillId="0" borderId="5" xfId="8" applyFont="1" applyFill="1" applyBorder="1" applyAlignment="1">
      <alignment horizontal="left" vertical="center"/>
    </xf>
    <xf numFmtId="0" fontId="75" fillId="0" borderId="0" xfId="0" applyFont="1" applyAlignment="1">
      <alignment wrapText="1"/>
    </xf>
    <xf numFmtId="0" fontId="75" fillId="0" borderId="0" xfId="0" applyFont="1" applyAlignment="1">
      <alignment horizontal="left" wrapText="1"/>
    </xf>
    <xf numFmtId="0" fontId="76" fillId="0" borderId="13" xfId="3" applyFont="1" applyFill="1" applyBorder="1" applyAlignment="1">
      <alignment horizontal="center"/>
    </xf>
    <xf numFmtId="0" fontId="75" fillId="0" borderId="0" xfId="0" applyFont="1" applyAlignment="1">
      <alignment horizontal="center" wrapText="1"/>
    </xf>
    <xf numFmtId="43" fontId="72" fillId="0" borderId="1" xfId="1" applyFont="1" applyFill="1" applyBorder="1" applyAlignment="1">
      <alignment vertical="center" wrapText="1"/>
    </xf>
    <xf numFmtId="0" fontId="70" fillId="0" borderId="6" xfId="8" applyFont="1" applyFill="1" applyBorder="1" applyAlignment="1">
      <alignment horizontal="center" vertical="center"/>
    </xf>
    <xf numFmtId="43" fontId="70" fillId="0" borderId="1" xfId="1" applyFont="1" applyFill="1" applyBorder="1" applyAlignment="1">
      <alignment horizontal="center" vertical="center"/>
    </xf>
    <xf numFmtId="43" fontId="70" fillId="0" borderId="6" xfId="1" applyFont="1" applyFill="1" applyBorder="1" applyAlignment="1">
      <alignment horizontal="center" vertical="center"/>
    </xf>
    <xf numFmtId="43" fontId="75" fillId="0" borderId="0" xfId="1" applyFont="1" applyAlignment="1">
      <alignment horizontal="center" wrapText="1"/>
    </xf>
    <xf numFmtId="43" fontId="70" fillId="0" borderId="1" xfId="1" applyFont="1" applyFill="1" applyBorder="1" applyAlignment="1">
      <alignment horizontal="right" vertical="center"/>
    </xf>
    <xf numFmtId="43" fontId="70" fillId="0" borderId="2" xfId="1" applyFont="1" applyFill="1" applyBorder="1" applyAlignment="1">
      <alignment horizontal="right" vertical="center"/>
    </xf>
    <xf numFmtId="43" fontId="75" fillId="0" borderId="0" xfId="1" applyFont="1" applyAlignment="1">
      <alignment wrapText="1"/>
    </xf>
    <xf numFmtId="43" fontId="77" fillId="0" borderId="1" xfId="1" applyFont="1" applyFill="1" applyBorder="1" applyAlignment="1">
      <alignment horizontal="center" vertical="center" wrapText="1"/>
    </xf>
    <xf numFmtId="43" fontId="77" fillId="0" borderId="1" xfId="1" applyFont="1" applyFill="1" applyBorder="1" applyAlignment="1">
      <alignment horizontal="right" vertical="center" wrapText="1"/>
    </xf>
    <xf numFmtId="43" fontId="75" fillId="0" borderId="0" xfId="1" applyFont="1" applyAlignment="1">
      <alignment vertical="center"/>
    </xf>
    <xf numFmtId="0" fontId="75" fillId="3" borderId="1" xfId="0" applyFont="1" applyFill="1" applyBorder="1" applyAlignment="1" applyProtection="1">
      <alignment horizontal="left" vertical="center" wrapText="1"/>
      <protection locked="0"/>
    </xf>
    <xf numFmtId="43" fontId="75" fillId="0" borderId="1" xfId="1" applyFont="1" applyBorder="1" applyAlignment="1" applyProtection="1">
      <alignment horizontal="center" vertical="center" wrapText="1"/>
      <protection locked="0"/>
    </xf>
    <xf numFmtId="43" fontId="75" fillId="0" borderId="1" xfId="1" applyFont="1" applyBorder="1" applyAlignment="1" applyProtection="1">
      <alignment horizontal="center" vertical="center"/>
      <protection locked="0"/>
    </xf>
    <xf numFmtId="0" fontId="75" fillId="0" borderId="1" xfId="4" applyFont="1" applyFill="1" applyBorder="1" applyAlignment="1" applyProtection="1">
      <alignment horizontal="left" vertical="center" wrapText="1"/>
      <protection locked="0"/>
    </xf>
    <xf numFmtId="0" fontId="77" fillId="2" borderId="1" xfId="0" applyFont="1" applyFill="1" applyBorder="1" applyAlignment="1" applyProtection="1">
      <alignment horizontal="left" vertical="center" wrapText="1"/>
      <protection locked="0"/>
    </xf>
    <xf numFmtId="0" fontId="77" fillId="4" borderId="1" xfId="0" applyFont="1" applyFill="1" applyBorder="1" applyAlignment="1" applyProtection="1">
      <alignment horizontal="left" vertical="center" wrapText="1"/>
      <protection locked="0"/>
    </xf>
    <xf numFmtId="0" fontId="77" fillId="4" borderId="1" xfId="4" applyFont="1" applyFill="1" applyBorder="1" applyAlignment="1" applyProtection="1">
      <alignment horizontal="center" vertical="center" wrapText="1"/>
      <protection locked="0"/>
    </xf>
    <xf numFmtId="0" fontId="77" fillId="4" borderId="1" xfId="38" applyFont="1" applyFill="1" applyBorder="1" applyAlignment="1" applyProtection="1">
      <alignment horizontal="center" vertical="center" wrapText="1"/>
      <protection locked="0"/>
    </xf>
    <xf numFmtId="0" fontId="77" fillId="2" borderId="1" xfId="4" applyFont="1" applyFill="1" applyBorder="1" applyAlignment="1" applyProtection="1">
      <alignment horizontal="center" vertical="center" wrapText="1"/>
      <protection locked="0"/>
    </xf>
    <xf numFmtId="0" fontId="75" fillId="2" borderId="1" xfId="8" applyFont="1" applyFill="1" applyBorder="1" applyAlignment="1" applyProtection="1">
      <alignment horizontal="center" vertical="center" wrapText="1"/>
      <protection locked="0"/>
    </xf>
    <xf numFmtId="0" fontId="77" fillId="4" borderId="1" xfId="8" applyFont="1" applyFill="1" applyBorder="1" applyAlignment="1" applyProtection="1">
      <alignment horizontal="center" vertical="center" wrapText="1"/>
      <protection locked="0"/>
    </xf>
    <xf numFmtId="0" fontId="72" fillId="2" borderId="1" xfId="38" applyFont="1" applyFill="1" applyBorder="1" applyAlignment="1" applyProtection="1">
      <alignment horizontal="center" vertical="center" wrapText="1"/>
      <protection locked="0"/>
    </xf>
    <xf numFmtId="43" fontId="72" fillId="2" borderId="1" xfId="1" applyFont="1" applyFill="1" applyBorder="1" applyAlignment="1" applyProtection="1">
      <alignment horizontal="center" vertical="center" wrapText="1"/>
      <protection locked="0"/>
    </xf>
    <xf numFmtId="0" fontId="75" fillId="0" borderId="1" xfId="0" applyFont="1" applyBorder="1" applyAlignment="1" applyProtection="1">
      <alignment horizontal="center" vertical="center" wrapText="1"/>
      <protection locked="0"/>
    </xf>
    <xf numFmtId="0" fontId="77" fillId="19" borderId="1" xfId="0" applyFont="1" applyFill="1" applyBorder="1" applyAlignment="1" applyProtection="1">
      <alignment horizontal="left" vertical="center" wrapText="1"/>
      <protection locked="0"/>
    </xf>
    <xf numFmtId="0" fontId="77" fillId="0" borderId="1" xfId="4" applyFont="1" applyFill="1" applyBorder="1" applyAlignment="1" applyProtection="1">
      <alignment horizontal="left" vertical="center" wrapText="1"/>
      <protection locked="0"/>
    </xf>
    <xf numFmtId="0" fontId="75" fillId="0" borderId="1" xfId="0" applyFont="1" applyBorder="1" applyAlignment="1" applyProtection="1">
      <alignment horizontal="center" vertical="center" wrapText="1"/>
    </xf>
    <xf numFmtId="0" fontId="49" fillId="0" borderId="1" xfId="38" applyFont="1" applyFill="1" applyBorder="1" applyAlignment="1" applyProtection="1">
      <alignment horizontal="center" vertical="center" wrapText="1"/>
    </xf>
    <xf numFmtId="43" fontId="70" fillId="7" borderId="1" xfId="1" applyFont="1" applyFill="1" applyBorder="1" applyAlignment="1" applyProtection="1">
      <alignment horizontal="center" vertical="center" wrapText="1"/>
    </xf>
    <xf numFmtId="43" fontId="72" fillId="0" borderId="1" xfId="1" applyFont="1" applyFill="1" applyBorder="1" applyAlignment="1" applyProtection="1">
      <alignment horizontal="center" vertical="center" wrapText="1"/>
    </xf>
    <xf numFmtId="43" fontId="75" fillId="0" borderId="1" xfId="1" applyFont="1" applyBorder="1" applyAlignment="1" applyProtection="1">
      <alignment horizontal="center" vertical="center" wrapText="1"/>
    </xf>
    <xf numFmtId="0" fontId="77" fillId="4" borderId="1" xfId="11" applyFont="1" applyFill="1" applyBorder="1" applyAlignment="1" applyProtection="1">
      <alignment horizontal="left" vertical="center" wrapText="1"/>
      <protection locked="0"/>
    </xf>
    <xf numFmtId="0" fontId="0" fillId="0" borderId="0" xfId="0" applyFill="1" applyBorder="1"/>
    <xf numFmtId="0" fontId="72" fillId="2" borderId="1" xfId="38" applyFont="1" applyFill="1" applyBorder="1" applyAlignment="1" applyProtection="1">
      <alignment horizontal="left" vertical="center" wrapText="1"/>
      <protection locked="0"/>
    </xf>
    <xf numFmtId="0" fontId="0" fillId="0" borderId="1" xfId="0" applyBorder="1"/>
    <xf numFmtId="0" fontId="0" fillId="0" borderId="1" xfId="0" applyBorder="1" applyAlignment="1">
      <alignment horizontal="center"/>
    </xf>
    <xf numFmtId="0" fontId="70" fillId="7" borderId="1" xfId="38" applyFont="1" applyFill="1" applyBorder="1" applyAlignment="1" applyProtection="1">
      <alignment horizontal="left" vertical="center" wrapText="1"/>
    </xf>
    <xf numFmtId="0" fontId="47" fillId="2" borderId="1" xfId="38" applyFont="1" applyFill="1" applyBorder="1" applyAlignment="1" applyProtection="1">
      <alignment horizontal="left" vertical="center" wrapText="1"/>
      <protection locked="0"/>
    </xf>
    <xf numFmtId="0" fontId="47" fillId="2" borderId="1" xfId="38" applyFont="1" applyFill="1" applyBorder="1" applyAlignment="1" applyProtection="1">
      <alignment horizontal="left" vertical="center" wrapText="1"/>
    </xf>
    <xf numFmtId="0" fontId="75" fillId="0" borderId="1" xfId="8" applyFont="1" applyBorder="1" applyAlignment="1" applyProtection="1">
      <alignment horizontal="center" vertical="center" wrapText="1"/>
      <protection locked="0"/>
    </xf>
    <xf numFmtId="0" fontId="47" fillId="0" borderId="1" xfId="8" applyFont="1" applyBorder="1" applyAlignment="1" applyProtection="1">
      <alignment horizontal="center" vertical="center" wrapText="1"/>
      <protection locked="0"/>
    </xf>
    <xf numFmtId="0" fontId="86" fillId="0" borderId="1" xfId="0" applyFont="1" applyBorder="1" applyAlignment="1" applyProtection="1">
      <alignment horizontal="left" vertical="center" wrapText="1"/>
      <protection locked="0"/>
    </xf>
    <xf numFmtId="0" fontId="75" fillId="0" borderId="1" xfId="38" applyFont="1" applyBorder="1" applyAlignment="1" applyProtection="1">
      <alignment horizontal="center" vertical="center" wrapText="1"/>
      <protection locked="0"/>
    </xf>
    <xf numFmtId="0" fontId="71" fillId="0" borderId="1" xfId="0" applyFont="1" applyBorder="1" applyAlignment="1" applyProtection="1">
      <alignment horizontal="left" vertical="center" wrapText="1"/>
      <protection locked="0"/>
    </xf>
    <xf numFmtId="0" fontId="75" fillId="10" borderId="1" xfId="0" applyFont="1" applyFill="1" applyBorder="1" applyAlignment="1" applyProtection="1">
      <alignment horizontal="left" vertical="center" wrapText="1"/>
      <protection locked="0"/>
    </xf>
    <xf numFmtId="0" fontId="72" fillId="6" borderId="1" xfId="38" applyFont="1" applyFill="1" applyBorder="1" applyAlignment="1" applyProtection="1">
      <alignment horizontal="left" vertical="center" wrapText="1"/>
      <protection locked="0"/>
    </xf>
    <xf numFmtId="0" fontId="72" fillId="6" borderId="1" xfId="38" applyFont="1" applyFill="1" applyBorder="1" applyAlignment="1" applyProtection="1">
      <alignment horizontal="left" vertical="center" wrapText="1"/>
    </xf>
    <xf numFmtId="0" fontId="75" fillId="0" borderId="1" xfId="0" applyFont="1" applyFill="1" applyBorder="1" applyAlignment="1" applyProtection="1">
      <alignment horizontal="center" vertical="center" wrapText="1"/>
      <protection locked="0"/>
    </xf>
    <xf numFmtId="0" fontId="71" fillId="0" borderId="1" xfId="0" applyFont="1" applyFill="1" applyBorder="1" applyAlignment="1" applyProtection="1">
      <alignment horizontal="left" vertical="center" wrapText="1"/>
      <protection locked="0"/>
    </xf>
    <xf numFmtId="0" fontId="75" fillId="0" borderId="1" xfId="4" applyFont="1" applyBorder="1" applyAlignment="1" applyProtection="1">
      <alignment vertical="center" wrapText="1"/>
      <protection locked="0"/>
    </xf>
    <xf numFmtId="0" fontId="77" fillId="6" borderId="1" xfId="0" applyFont="1" applyFill="1" applyBorder="1" applyAlignment="1" applyProtection="1">
      <alignment horizontal="center" vertical="center" wrapText="1"/>
      <protection locked="0"/>
    </xf>
    <xf numFmtId="0" fontId="79" fillId="6" borderId="1" xfId="0" applyFont="1" applyFill="1" applyBorder="1" applyAlignment="1" applyProtection="1">
      <alignment horizontal="left" vertical="center" wrapText="1"/>
      <protection locked="0"/>
    </xf>
    <xf numFmtId="2" fontId="77" fillId="6" borderId="1" xfId="0" applyNumberFormat="1" applyFont="1" applyFill="1" applyBorder="1" applyAlignment="1" applyProtection="1">
      <alignment horizontal="left" vertical="center" wrapText="1"/>
    </xf>
    <xf numFmtId="0" fontId="72" fillId="0" borderId="1" xfId="8" applyFont="1" applyBorder="1" applyAlignment="1" applyProtection="1">
      <alignment horizontal="center" vertical="center" wrapText="1"/>
      <protection locked="0"/>
    </xf>
    <xf numFmtId="0" fontId="77" fillId="0" borderId="1" xfId="0" applyFont="1" applyBorder="1" applyAlignment="1" applyProtection="1">
      <alignment horizontal="center" vertical="center" wrapText="1"/>
      <protection locked="0"/>
    </xf>
    <xf numFmtId="2" fontId="75" fillId="0" borderId="1" xfId="0" applyNumberFormat="1" applyFont="1" applyBorder="1" applyAlignment="1" applyProtection="1">
      <alignment horizontal="center" vertical="center" wrapText="1"/>
      <protection locked="0"/>
    </xf>
    <xf numFmtId="0" fontId="77" fillId="4" borderId="1" xfId="0" applyFont="1" applyFill="1" applyBorder="1" applyAlignment="1" applyProtection="1">
      <alignment horizontal="left" vertical="center" wrapText="1"/>
    </xf>
    <xf numFmtId="43" fontId="74" fillId="29" borderId="1" xfId="1" applyFont="1" applyFill="1" applyBorder="1" applyAlignment="1">
      <alignment horizontal="center" vertical="center" wrapText="1"/>
    </xf>
    <xf numFmtId="43" fontId="72" fillId="30" borderId="1" xfId="1" applyFont="1" applyFill="1" applyBorder="1" applyAlignment="1">
      <alignment horizontal="center" vertical="center" wrapText="1"/>
    </xf>
    <xf numFmtId="2" fontId="75" fillId="2" borderId="1" xfId="4" applyNumberFormat="1" applyFont="1" applyFill="1" applyBorder="1" applyAlignment="1" applyProtection="1">
      <alignment horizontal="center" vertical="center" wrapText="1"/>
      <protection locked="0"/>
    </xf>
    <xf numFmtId="0" fontId="47" fillId="2" borderId="1" xfId="38" applyFont="1" applyFill="1" applyBorder="1" applyAlignment="1" applyProtection="1">
      <alignment horizontal="center" vertical="center" wrapText="1"/>
      <protection locked="0"/>
    </xf>
    <xf numFmtId="0" fontId="75" fillId="4" borderId="1" xfId="4" applyFont="1" applyFill="1" applyBorder="1" applyAlignment="1" applyProtection="1">
      <alignment horizontal="center" vertical="center" wrapText="1"/>
      <protection locked="0"/>
    </xf>
    <xf numFmtId="43" fontId="47" fillId="0" borderId="1" xfId="1" applyFont="1" applyBorder="1" applyAlignment="1" applyProtection="1">
      <alignment horizontal="center" vertical="center" wrapText="1"/>
    </xf>
    <xf numFmtId="167" fontId="75" fillId="0" borderId="1" xfId="0" applyNumberFormat="1" applyFont="1" applyBorder="1" applyAlignment="1" applyProtection="1">
      <alignment horizontal="center" vertical="center" wrapText="1"/>
      <protection locked="0"/>
    </xf>
    <xf numFmtId="0" fontId="72" fillId="4" borderId="1" xfId="4" applyFont="1" applyFill="1" applyBorder="1" applyAlignment="1" applyProtection="1">
      <alignment horizontal="center" vertical="center" wrapText="1"/>
      <protection locked="0"/>
    </xf>
    <xf numFmtId="0" fontId="77" fillId="6" borderId="1" xfId="38" applyFont="1" applyFill="1" applyBorder="1" applyAlignment="1" applyProtection="1">
      <alignment horizontal="center" vertical="center" wrapText="1"/>
      <protection locked="0"/>
    </xf>
    <xf numFmtId="0" fontId="72" fillId="6" borderId="1" xfId="38" applyFont="1" applyFill="1" applyBorder="1" applyAlignment="1" applyProtection="1">
      <alignment horizontal="center" vertical="center" wrapText="1"/>
      <protection locked="0"/>
    </xf>
    <xf numFmtId="167" fontId="75" fillId="0" borderId="1" xfId="0" applyNumberFormat="1" applyFont="1" applyFill="1" applyBorder="1" applyAlignment="1" applyProtection="1">
      <alignment horizontal="center" vertical="center" wrapText="1"/>
      <protection locked="0"/>
    </xf>
    <xf numFmtId="167" fontId="77" fillId="6" borderId="1" xfId="0" applyNumberFormat="1" applyFont="1" applyFill="1" applyBorder="1" applyAlignment="1" applyProtection="1">
      <alignment horizontal="center" vertical="center" wrapText="1"/>
      <protection locked="0"/>
    </xf>
    <xf numFmtId="0" fontId="79" fillId="6" borderId="1" xfId="0" applyFont="1" applyFill="1" applyBorder="1" applyAlignment="1" applyProtection="1">
      <alignment horizontal="center" vertical="center" wrapText="1"/>
      <protection locked="0"/>
    </xf>
    <xf numFmtId="0" fontId="72" fillId="6" borderId="1" xfId="0" applyFont="1" applyFill="1" applyBorder="1" applyAlignment="1" applyProtection="1">
      <alignment horizontal="center" vertical="center" wrapText="1"/>
      <protection locked="0"/>
    </xf>
    <xf numFmtId="0" fontId="75" fillId="2" borderId="1" xfId="38" applyFont="1" applyFill="1" applyBorder="1" applyAlignment="1" applyProtection="1">
      <alignment horizontal="center" vertical="center" wrapText="1"/>
      <protection locked="0"/>
    </xf>
    <xf numFmtId="0" fontId="77" fillId="0" borderId="1" xfId="38" applyFont="1" applyFill="1" applyBorder="1" applyAlignment="1" applyProtection="1">
      <alignment horizontal="center" vertical="center" wrapText="1"/>
      <protection locked="0"/>
    </xf>
    <xf numFmtId="167" fontId="77" fillId="0" borderId="1" xfId="0" applyNumberFormat="1" applyFont="1" applyBorder="1" applyAlignment="1" applyProtection="1">
      <alignment horizontal="center" vertical="center" wrapText="1"/>
      <protection locked="0"/>
    </xf>
    <xf numFmtId="0" fontId="77" fillId="4" borderId="1" xfId="0" applyFont="1" applyFill="1" applyBorder="1" applyAlignment="1" applyProtection="1">
      <alignment horizontal="center" vertical="center" wrapText="1"/>
      <protection locked="0"/>
    </xf>
    <xf numFmtId="0" fontId="72" fillId="4" borderId="1" xfId="0" applyFont="1" applyFill="1" applyBorder="1" applyAlignment="1" applyProtection="1">
      <alignment horizontal="center" vertical="center" wrapText="1"/>
      <protection locked="0"/>
    </xf>
    <xf numFmtId="43" fontId="70" fillId="7" borderId="1" xfId="1" applyFont="1" applyFill="1" applyBorder="1" applyAlignment="1" applyProtection="1">
      <alignment horizontal="right" vertical="center" wrapText="1"/>
    </xf>
    <xf numFmtId="43" fontId="72" fillId="2" borderId="1" xfId="1" applyFont="1" applyFill="1" applyBorder="1" applyAlignment="1" applyProtection="1">
      <alignment horizontal="right" vertical="center" wrapText="1"/>
    </xf>
    <xf numFmtId="43" fontId="77" fillId="4" borderId="1" xfId="1" applyFont="1" applyFill="1" applyBorder="1" applyAlignment="1" applyProtection="1">
      <alignment horizontal="right" vertical="center" wrapText="1"/>
    </xf>
    <xf numFmtId="43" fontId="75" fillId="0" borderId="1" xfId="1" applyFont="1" applyBorder="1" applyAlignment="1" applyProtection="1">
      <alignment horizontal="right" vertical="center" wrapText="1"/>
    </xf>
    <xf numFmtId="43" fontId="72" fillId="6" borderId="1" xfId="1" applyFont="1" applyFill="1" applyBorder="1" applyAlignment="1" applyProtection="1">
      <alignment horizontal="right" vertical="center" wrapText="1"/>
    </xf>
    <xf numFmtId="43" fontId="75" fillId="0" borderId="1" xfId="1" applyFont="1" applyFill="1" applyBorder="1" applyAlignment="1" applyProtection="1">
      <alignment horizontal="right" vertical="center" wrapText="1"/>
    </xf>
    <xf numFmtId="43" fontId="75" fillId="10" borderId="1" xfId="1" applyFont="1" applyFill="1" applyBorder="1" applyAlignment="1" applyProtection="1">
      <alignment horizontal="right" vertical="center" wrapText="1"/>
      <protection locked="0"/>
    </xf>
    <xf numFmtId="43" fontId="77" fillId="6" borderId="1" xfId="1" applyFont="1" applyFill="1" applyBorder="1" applyAlignment="1" applyProtection="1">
      <alignment horizontal="right" vertical="center" wrapText="1"/>
    </xf>
    <xf numFmtId="43" fontId="72" fillId="0" borderId="1" xfId="1" applyFont="1" applyFill="1" applyBorder="1" applyAlignment="1" applyProtection="1">
      <alignment horizontal="right" vertical="center" wrapText="1"/>
    </xf>
    <xf numFmtId="43" fontId="72" fillId="4" borderId="1" xfId="1" applyFont="1" applyFill="1" applyBorder="1" applyAlignment="1" applyProtection="1">
      <alignment horizontal="right" vertical="center" wrapText="1"/>
    </xf>
    <xf numFmtId="0" fontId="70" fillId="7" borderId="1" xfId="8" applyFont="1" applyFill="1" applyBorder="1" applyAlignment="1" applyProtection="1">
      <alignment horizontal="left" vertical="center" wrapText="1"/>
    </xf>
    <xf numFmtId="0" fontId="77" fillId="2" borderId="1" xfId="4" applyFont="1" applyFill="1" applyBorder="1" applyAlignment="1" applyProtection="1">
      <alignment vertical="center" wrapText="1"/>
      <protection locked="0"/>
    </xf>
    <xf numFmtId="0" fontId="75" fillId="4" borderId="1" xfId="8" applyFont="1" applyFill="1" applyBorder="1" applyAlignment="1" applyProtection="1">
      <alignment vertical="center" wrapText="1"/>
      <protection locked="0"/>
    </xf>
    <xf numFmtId="0" fontId="71" fillId="0" borderId="1" xfId="8" applyFont="1" applyBorder="1" applyAlignment="1" applyProtection="1">
      <alignment vertical="center" wrapText="1"/>
      <protection locked="0"/>
    </xf>
    <xf numFmtId="167" fontId="71" fillId="0" borderId="1" xfId="8" applyNumberFormat="1" applyFont="1" applyBorder="1" applyAlignment="1" applyProtection="1">
      <alignment horizontal="right" vertical="center" wrapText="1"/>
      <protection locked="0"/>
    </xf>
    <xf numFmtId="0" fontId="71" fillId="0" borderId="1" xfId="8" applyFont="1" applyBorder="1" applyAlignment="1" applyProtection="1">
      <alignment horizontal="center" vertical="center" wrapText="1"/>
      <protection locked="0"/>
    </xf>
    <xf numFmtId="0" fontId="75" fillId="0" borderId="1" xfId="8" applyFont="1" applyBorder="1" applyAlignment="1" applyProtection="1">
      <alignment horizontal="left" vertical="center" wrapText="1"/>
    </xf>
    <xf numFmtId="0" fontId="75" fillId="0" borderId="1" xfId="8" applyFont="1" applyBorder="1" applyAlignment="1" applyProtection="1">
      <alignment vertical="center" wrapText="1"/>
      <protection locked="0"/>
    </xf>
    <xf numFmtId="0" fontId="75" fillId="10" borderId="1" xfId="8" applyFont="1" applyFill="1" applyBorder="1" applyAlignment="1" applyProtection="1">
      <alignment horizontal="left" vertical="center" wrapText="1"/>
      <protection locked="0"/>
    </xf>
    <xf numFmtId="2" fontId="75" fillId="0" borderId="1" xfId="4" applyNumberFormat="1" applyFont="1" applyBorder="1" applyAlignment="1" applyProtection="1">
      <alignment horizontal="left" vertical="center" wrapText="1"/>
      <protection locked="0"/>
    </xf>
    <xf numFmtId="2" fontId="79" fillId="0" borderId="1" xfId="8" applyNumberFormat="1" applyFont="1" applyBorder="1" applyAlignment="1" applyProtection="1">
      <alignment vertical="center" wrapText="1"/>
      <protection locked="0"/>
    </xf>
    <xf numFmtId="0" fontId="71" fillId="0" borderId="1" xfId="8" applyFont="1" applyFill="1" applyBorder="1" applyAlignment="1" applyProtection="1">
      <alignment vertical="center" wrapText="1"/>
      <protection locked="0"/>
    </xf>
    <xf numFmtId="0" fontId="71" fillId="0" borderId="1" xfId="8" applyFont="1" applyFill="1" applyBorder="1" applyAlignment="1" applyProtection="1">
      <alignment horizontal="center" vertical="center" wrapText="1"/>
      <protection locked="0"/>
    </xf>
    <xf numFmtId="167" fontId="71" fillId="0" borderId="1" xfId="8" applyNumberFormat="1" applyFont="1" applyFill="1" applyBorder="1" applyAlignment="1" applyProtection="1">
      <alignment horizontal="right" vertical="center" wrapText="1"/>
      <protection locked="0"/>
    </xf>
    <xf numFmtId="0" fontId="75" fillId="0" borderId="1" xfId="8" applyFont="1" applyFill="1" applyBorder="1" applyAlignment="1" applyProtection="1">
      <alignment horizontal="left" vertical="center" wrapText="1"/>
    </xf>
    <xf numFmtId="2" fontId="75" fillId="0" borderId="1" xfId="8" applyNumberFormat="1" applyFont="1" applyFill="1" applyBorder="1" applyAlignment="1" applyProtection="1">
      <alignment horizontal="right" vertical="center" wrapText="1"/>
    </xf>
    <xf numFmtId="0" fontId="75" fillId="0" borderId="1" xfId="8" applyFont="1" applyFill="1" applyBorder="1" applyAlignment="1" applyProtection="1">
      <alignment vertical="center" wrapText="1"/>
      <protection locked="0"/>
    </xf>
    <xf numFmtId="0" fontId="75" fillId="0" borderId="1" xfId="8" applyFont="1" applyFill="1" applyBorder="1" applyAlignment="1" applyProtection="1">
      <alignment horizontal="left" vertical="center" wrapText="1"/>
      <protection locked="0"/>
    </xf>
    <xf numFmtId="0" fontId="75" fillId="4" borderId="1" xfId="8" applyFont="1" applyFill="1" applyBorder="1" applyAlignment="1" applyProtection="1">
      <alignment horizontal="center" vertical="center" wrapText="1"/>
      <protection locked="0"/>
    </xf>
    <xf numFmtId="0" fontId="77" fillId="0" borderId="1" xfId="8" applyFont="1" applyFill="1" applyBorder="1" applyAlignment="1" applyProtection="1">
      <alignment horizontal="center" vertical="center" wrapText="1"/>
      <protection locked="0"/>
    </xf>
    <xf numFmtId="1" fontId="75" fillId="0" borderId="1" xfId="8" applyNumberFormat="1" applyFont="1" applyBorder="1" applyAlignment="1" applyProtection="1">
      <alignment horizontal="left" vertical="center" wrapText="1"/>
    </xf>
    <xf numFmtId="1" fontId="75" fillId="0" borderId="1" xfId="8" applyNumberFormat="1" applyFont="1" applyFill="1" applyBorder="1" applyAlignment="1" applyProtection="1">
      <alignment horizontal="left" vertical="center" wrapText="1"/>
    </xf>
    <xf numFmtId="0" fontId="75" fillId="0" borderId="1" xfId="9" applyFont="1" applyBorder="1" applyAlignment="1" applyProtection="1">
      <alignment vertical="center" wrapText="1"/>
      <protection locked="0"/>
    </xf>
    <xf numFmtId="0" fontId="75" fillId="0" borderId="1" xfId="9" applyFont="1" applyBorder="1" applyAlignment="1" applyProtection="1">
      <alignment horizontal="left" vertical="center" wrapText="1"/>
      <protection locked="0"/>
    </xf>
    <xf numFmtId="0" fontId="77" fillId="0" borderId="1" xfId="8" applyFont="1" applyBorder="1" applyAlignment="1" applyProtection="1">
      <alignment horizontal="left" vertical="center" wrapText="1"/>
      <protection locked="0"/>
    </xf>
    <xf numFmtId="0" fontId="71" fillId="0" borderId="1" xfId="9" applyFont="1" applyBorder="1" applyAlignment="1" applyProtection="1">
      <alignment vertical="center" wrapText="1"/>
      <protection locked="0"/>
    </xf>
    <xf numFmtId="0" fontId="71" fillId="0" borderId="1" xfId="9" applyFont="1" applyBorder="1" applyAlignment="1" applyProtection="1">
      <alignment horizontal="center" vertical="center" wrapText="1"/>
      <protection locked="0"/>
    </xf>
    <xf numFmtId="167" fontId="71" fillId="0" borderId="1" xfId="9" applyNumberFormat="1" applyFont="1" applyBorder="1" applyAlignment="1" applyProtection="1">
      <alignment horizontal="right" vertical="center" wrapText="1"/>
      <protection locked="0"/>
    </xf>
    <xf numFmtId="0" fontId="77" fillId="0" borderId="1" xfId="8" applyFont="1" applyBorder="1" applyAlignment="1" applyProtection="1">
      <alignment horizontal="center" vertical="center" wrapText="1"/>
      <protection locked="0"/>
    </xf>
    <xf numFmtId="2" fontId="77" fillId="0" borderId="1" xfId="8" applyNumberFormat="1" applyFont="1" applyBorder="1" applyAlignment="1" applyProtection="1">
      <alignment horizontal="center" vertical="center" wrapText="1"/>
      <protection locked="0"/>
    </xf>
    <xf numFmtId="2" fontId="77" fillId="4" borderId="1" xfId="8" applyNumberFormat="1" applyFont="1" applyFill="1" applyBorder="1" applyAlignment="1" applyProtection="1">
      <alignment horizontal="right" vertical="center" wrapText="1"/>
      <protection locked="0"/>
    </xf>
    <xf numFmtId="43" fontId="77" fillId="0" borderId="1" xfId="1" applyFont="1" applyFill="1" applyBorder="1" applyAlignment="1">
      <alignment horizontal="left" vertical="center" wrapText="1"/>
    </xf>
    <xf numFmtId="43" fontId="91" fillId="0" borderId="1" xfId="1" applyFont="1" applyBorder="1" applyAlignment="1">
      <alignment vertical="center" wrapText="1" readingOrder="1"/>
    </xf>
    <xf numFmtId="43" fontId="75" fillId="0" borderId="1" xfId="1" applyFont="1" applyBorder="1" applyAlignment="1">
      <alignment vertical="center" wrapText="1"/>
    </xf>
    <xf numFmtId="43" fontId="84" fillId="0" borderId="1" xfId="1" applyFont="1" applyBorder="1" applyAlignment="1">
      <alignment vertical="center" wrapText="1"/>
    </xf>
    <xf numFmtId="43" fontId="75" fillId="0" borderId="1" xfId="1" applyFont="1" applyBorder="1" applyAlignment="1">
      <alignment vertical="center"/>
    </xf>
    <xf numFmtId="0" fontId="0" fillId="36" borderId="1" xfId="0" applyFill="1" applyBorder="1"/>
    <xf numFmtId="0" fontId="55" fillId="0" borderId="0" xfId="0" applyFont="1" applyFill="1" applyBorder="1"/>
    <xf numFmtId="0" fontId="55" fillId="0" borderId="0" xfId="0" applyFont="1" applyAlignment="1">
      <alignment horizontal="center" vertical="center" wrapText="1"/>
    </xf>
    <xf numFmtId="0" fontId="0" fillId="0" borderId="0" xfId="0" applyFill="1" applyBorder="1" applyAlignment="1"/>
    <xf numFmtId="9" fontId="0" fillId="0" borderId="1" xfId="99" applyFont="1" applyBorder="1"/>
    <xf numFmtId="0" fontId="89" fillId="0" borderId="1" xfId="0" applyFont="1" applyBorder="1" applyAlignment="1">
      <alignment horizontal="left" vertical="center" wrapText="1"/>
    </xf>
    <xf numFmtId="0" fontId="55" fillId="24" borderId="1" xfId="0" applyFont="1" applyFill="1" applyBorder="1" applyAlignment="1">
      <alignment vertical="center"/>
    </xf>
    <xf numFmtId="0" fontId="76" fillId="39" borderId="1" xfId="3" applyFont="1" applyFill="1" applyBorder="1" applyAlignment="1">
      <alignment horizontal="left"/>
    </xf>
    <xf numFmtId="0" fontId="76" fillId="24" borderId="1" xfId="3" applyFont="1" applyFill="1" applyBorder="1" applyAlignment="1">
      <alignment horizontal="left" vertical="center" wrapText="1"/>
    </xf>
    <xf numFmtId="0" fontId="59" fillId="36" borderId="1" xfId="3" applyFill="1" applyBorder="1" applyAlignment="1"/>
    <xf numFmtId="0" fontId="59" fillId="0" borderId="1" xfId="3" applyFill="1" applyBorder="1" applyAlignment="1">
      <alignment horizontal="left" vertical="center"/>
    </xf>
    <xf numFmtId="0" fontId="68" fillId="0" borderId="1" xfId="0" applyFont="1" applyFill="1" applyBorder="1" applyAlignment="1">
      <alignment vertical="center"/>
    </xf>
    <xf numFmtId="0" fontId="67" fillId="0" borderId="0" xfId="0" applyFont="1" applyFill="1" applyAlignment="1">
      <alignment vertical="center"/>
    </xf>
    <xf numFmtId="0" fontId="92" fillId="8" borderId="1" xfId="3" applyFont="1" applyFill="1" applyBorder="1"/>
    <xf numFmtId="0" fontId="89" fillId="36" borderId="1" xfId="0" applyFont="1" applyFill="1" applyBorder="1" applyAlignment="1">
      <alignment horizontal="center" vertical="center" wrapText="1" readingOrder="1"/>
    </xf>
    <xf numFmtId="0" fontId="55" fillId="29" borderId="13" xfId="0" applyFont="1" applyFill="1" applyBorder="1" applyAlignment="1">
      <alignment horizontal="center" vertical="center" wrapText="1"/>
    </xf>
    <xf numFmtId="0" fontId="55" fillId="24" borderId="13" xfId="0" applyFont="1" applyFill="1" applyBorder="1" applyAlignment="1">
      <alignment horizontal="center" vertical="center" wrapText="1"/>
    </xf>
    <xf numFmtId="0" fontId="55" fillId="37" borderId="13" xfId="0" applyFont="1" applyFill="1" applyBorder="1" applyAlignment="1">
      <alignment horizontal="center" vertical="center" wrapText="1"/>
    </xf>
    <xf numFmtId="0" fontId="55" fillId="24" borderId="1" xfId="0" applyFont="1" applyFill="1" applyBorder="1" applyAlignment="1">
      <alignment horizontal="center" vertical="center" wrapText="1"/>
    </xf>
    <xf numFmtId="0" fontId="89" fillId="0" borderId="1" xfId="0" applyFont="1" applyBorder="1" applyAlignment="1">
      <alignment horizontal="center" vertical="center" wrapText="1" readingOrder="1"/>
    </xf>
    <xf numFmtId="0" fontId="74" fillId="29" borderId="1" xfId="0" applyFont="1" applyFill="1" applyBorder="1" applyAlignment="1">
      <alignment horizontal="center" vertical="center" wrapText="1"/>
    </xf>
    <xf numFmtId="0" fontId="72" fillId="10" borderId="1" xfId="0" applyFont="1" applyFill="1" applyBorder="1" applyAlignment="1">
      <alignment horizontal="center" vertical="center" wrapText="1"/>
    </xf>
    <xf numFmtId="0" fontId="72" fillId="28" borderId="1" xfId="8" applyFont="1" applyFill="1" applyBorder="1" applyAlignment="1">
      <alignment horizontal="center" vertical="center"/>
    </xf>
    <xf numFmtId="0" fontId="0" fillId="0" borderId="1" xfId="0" applyBorder="1" applyAlignment="1">
      <alignment horizontal="center" vertical="center"/>
    </xf>
    <xf numFmtId="0" fontId="78" fillId="29" borderId="1" xfId="0" applyFont="1" applyFill="1" applyBorder="1" applyAlignment="1">
      <alignment horizontal="center" vertical="center" wrapText="1"/>
    </xf>
    <xf numFmtId="0" fontId="72" fillId="2" borderId="1" xfId="4" applyFont="1" applyFill="1" applyBorder="1" applyAlignment="1" applyProtection="1">
      <alignment vertical="center" wrapText="1"/>
      <protection locked="0"/>
    </xf>
    <xf numFmtId="0" fontId="43" fillId="4" borderId="1" xfId="8" applyFont="1" applyFill="1" applyBorder="1" applyAlignment="1" applyProtection="1">
      <alignment vertical="center" wrapText="1"/>
      <protection locked="0"/>
    </xf>
    <xf numFmtId="0" fontId="43" fillId="0" borderId="1" xfId="8" applyFont="1" applyBorder="1" applyAlignment="1" applyProtection="1">
      <alignment vertical="center" wrapText="1"/>
      <protection locked="0"/>
    </xf>
    <xf numFmtId="0" fontId="43" fillId="0" borderId="1" xfId="4" applyFont="1" applyBorder="1" applyAlignment="1" applyProtection="1">
      <alignment horizontal="left" vertical="center" wrapText="1"/>
      <protection locked="0"/>
    </xf>
    <xf numFmtId="0" fontId="43" fillId="0" borderId="1" xfId="8" applyFont="1" applyBorder="1" applyAlignment="1" applyProtection="1">
      <alignment horizontal="left" vertical="center" wrapText="1"/>
      <protection locked="0"/>
    </xf>
    <xf numFmtId="0" fontId="43" fillId="0" borderId="1" xfId="8" applyFont="1" applyFill="1" applyBorder="1" applyAlignment="1" applyProtection="1">
      <alignment vertical="center" wrapText="1"/>
      <protection locked="0"/>
    </xf>
    <xf numFmtId="0" fontId="72" fillId="6" borderId="1" xfId="8" applyFont="1" applyFill="1" applyBorder="1" applyAlignment="1" applyProtection="1">
      <alignment vertical="center" wrapText="1"/>
      <protection locked="0"/>
    </xf>
    <xf numFmtId="0" fontId="43" fillId="0" borderId="1" xfId="11" applyFont="1" applyBorder="1" applyAlignment="1" applyProtection="1">
      <alignment vertical="center" wrapText="1"/>
      <protection locked="0"/>
    </xf>
    <xf numFmtId="0" fontId="43" fillId="0" borderId="1" xfId="9" applyFont="1" applyBorder="1" applyAlignment="1" applyProtection="1">
      <alignment vertical="center" wrapText="1"/>
      <protection locked="0"/>
    </xf>
    <xf numFmtId="0" fontId="43" fillId="0" borderId="1" xfId="8" applyFont="1" applyBorder="1" applyAlignment="1" applyProtection="1">
      <alignment horizontal="center" vertical="center" wrapText="1"/>
      <protection locked="0"/>
    </xf>
    <xf numFmtId="0" fontId="72" fillId="3" borderId="1" xfId="8" applyFont="1" applyFill="1" applyBorder="1" applyAlignment="1" applyProtection="1">
      <alignment horizontal="center" vertical="center" wrapText="1"/>
      <protection locked="0"/>
    </xf>
    <xf numFmtId="0" fontId="72" fillId="0" borderId="1" xfId="8" applyFont="1" applyFill="1" applyBorder="1" applyAlignment="1" applyProtection="1">
      <alignment horizontal="center" vertical="center" wrapText="1"/>
      <protection locked="0"/>
    </xf>
    <xf numFmtId="0" fontId="72" fillId="0" borderId="1" xfId="8" applyFont="1" applyBorder="1" applyAlignment="1" applyProtection="1">
      <alignment vertical="center" wrapText="1"/>
      <protection locked="0"/>
    </xf>
    <xf numFmtId="2" fontId="43" fillId="0" borderId="1" xfId="0" applyNumberFormat="1" applyFont="1" applyBorder="1" applyAlignment="1" applyProtection="1">
      <alignment horizontal="right" vertical="center" wrapText="1"/>
    </xf>
    <xf numFmtId="0" fontId="77" fillId="0" borderId="1" xfId="8" applyFont="1" applyFill="1" applyBorder="1" applyAlignment="1" applyProtection="1">
      <alignment vertical="center" wrapText="1"/>
      <protection locked="0"/>
    </xf>
    <xf numFmtId="0" fontId="43" fillId="0" borderId="1" xfId="8" applyFont="1" applyFill="1" applyBorder="1" applyAlignment="1" applyProtection="1">
      <alignment horizontal="center" vertical="center" wrapText="1"/>
      <protection locked="0"/>
    </xf>
    <xf numFmtId="0" fontId="71" fillId="0" borderId="1" xfId="8" applyFont="1" applyFill="1" applyBorder="1" applyAlignment="1" applyProtection="1">
      <alignment horizontal="left" vertical="center" wrapText="1"/>
      <protection locked="0"/>
    </xf>
    <xf numFmtId="0" fontId="43" fillId="0" borderId="1" xfId="8" applyFont="1" applyFill="1" applyBorder="1" applyAlignment="1" applyProtection="1">
      <alignment wrapText="1"/>
      <protection locked="0"/>
    </xf>
    <xf numFmtId="0" fontId="71" fillId="0" borderId="1" xfId="9" applyFont="1" applyFill="1" applyBorder="1" applyAlignment="1" applyProtection="1">
      <alignment vertical="center" wrapText="1"/>
      <protection locked="0"/>
    </xf>
    <xf numFmtId="0" fontId="71" fillId="0" borderId="1" xfId="9" applyFont="1" applyFill="1" applyBorder="1" applyAlignment="1" applyProtection="1">
      <alignment horizontal="center" vertical="center" wrapText="1"/>
      <protection locked="0"/>
    </xf>
    <xf numFmtId="167" fontId="71" fillId="0" borderId="1" xfId="9" applyNumberFormat="1" applyFont="1" applyFill="1" applyBorder="1" applyAlignment="1" applyProtection="1">
      <alignment horizontal="right" vertical="center" wrapText="1"/>
      <protection locked="0"/>
    </xf>
    <xf numFmtId="0" fontId="71" fillId="0" borderId="1" xfId="9" applyFont="1" applyFill="1" applyBorder="1" applyAlignment="1" applyProtection="1">
      <alignment wrapText="1"/>
      <protection locked="0"/>
    </xf>
    <xf numFmtId="0" fontId="75" fillId="0" borderId="1" xfId="9" applyFont="1" applyFill="1" applyBorder="1" applyAlignment="1" applyProtection="1">
      <alignment horizontal="left" vertical="center" wrapText="1"/>
      <protection locked="0"/>
    </xf>
    <xf numFmtId="167" fontId="71" fillId="0" borderId="1" xfId="8" applyNumberFormat="1" applyFont="1" applyFill="1" applyBorder="1" applyAlignment="1" applyProtection="1">
      <alignment vertical="center" wrapText="1"/>
      <protection locked="0"/>
    </xf>
    <xf numFmtId="0" fontId="75" fillId="0" borderId="1" xfId="4" applyFont="1" applyFill="1" applyBorder="1" applyAlignment="1" applyProtection="1">
      <alignment vertical="center" wrapText="1"/>
      <protection locked="0"/>
    </xf>
    <xf numFmtId="0" fontId="71" fillId="0" borderId="1" xfId="0" applyFont="1" applyFill="1" applyBorder="1" applyAlignment="1" applyProtection="1">
      <alignment horizontal="center" vertical="center" wrapText="1"/>
      <protection locked="0"/>
    </xf>
    <xf numFmtId="0" fontId="75" fillId="3" borderId="1" xfId="8" applyFont="1" applyFill="1" applyBorder="1" applyAlignment="1" applyProtection="1">
      <alignment vertical="center" wrapText="1"/>
      <protection locked="0"/>
    </xf>
    <xf numFmtId="0" fontId="77" fillId="0" borderId="1" xfId="4" applyFont="1" applyFill="1" applyBorder="1" applyAlignment="1" applyProtection="1">
      <alignment vertical="center" wrapText="1"/>
      <protection locked="0"/>
    </xf>
    <xf numFmtId="0" fontId="77" fillId="0" borderId="1" xfId="4" applyFont="1" applyFill="1" applyBorder="1" applyAlignment="1" applyProtection="1">
      <alignment horizontal="center" vertical="center" wrapText="1"/>
      <protection locked="0"/>
    </xf>
    <xf numFmtId="0" fontId="77" fillId="4" borderId="1" xfId="4" applyFont="1" applyFill="1" applyBorder="1" applyAlignment="1" applyProtection="1">
      <alignment vertical="center" wrapText="1"/>
      <protection locked="0"/>
    </xf>
    <xf numFmtId="2" fontId="75" fillId="0" borderId="1" xfId="8" applyNumberFormat="1" applyFont="1" applyFill="1" applyBorder="1" applyAlignment="1" applyProtection="1">
      <alignment horizontal="right" vertical="center" wrapText="1"/>
      <protection locked="0"/>
    </xf>
    <xf numFmtId="0" fontId="43" fillId="0" borderId="1" xfId="8" applyFont="1" applyFill="1" applyBorder="1" applyAlignment="1" applyProtection="1">
      <alignment horizontal="left" vertical="center" wrapText="1"/>
      <protection locked="0"/>
    </xf>
    <xf numFmtId="43" fontId="43" fillId="0" borderId="1" xfId="1" applyFont="1" applyBorder="1" applyAlignment="1" applyProtection="1">
      <alignment horizontal="right" vertical="center" wrapText="1"/>
    </xf>
    <xf numFmtId="43" fontId="43" fillId="0" borderId="1" xfId="1" applyFont="1" applyFill="1" applyBorder="1" applyAlignment="1" applyProtection="1">
      <alignment horizontal="right" vertical="center" wrapText="1"/>
    </xf>
    <xf numFmtId="43" fontId="77" fillId="4" borderId="1" xfId="1" applyFont="1" applyFill="1" applyBorder="1" applyAlignment="1" applyProtection="1">
      <alignment vertical="center" wrapText="1"/>
    </xf>
    <xf numFmtId="43" fontId="77" fillId="10" borderId="1" xfId="1" applyFont="1" applyFill="1" applyBorder="1" applyAlignment="1" applyProtection="1">
      <alignment horizontal="right" vertical="center" wrapText="1"/>
      <protection locked="0"/>
    </xf>
    <xf numFmtId="0" fontId="75" fillId="28" borderId="1" xfId="8" applyFont="1" applyFill="1" applyBorder="1" applyAlignment="1" applyProtection="1">
      <alignment vertical="center" wrapText="1"/>
      <protection locked="0"/>
    </xf>
    <xf numFmtId="0" fontId="77" fillId="28" borderId="1" xfId="8" applyFont="1" applyFill="1" applyBorder="1" applyAlignment="1" applyProtection="1">
      <alignment horizontal="center" vertical="center" wrapText="1"/>
      <protection locked="0"/>
    </xf>
    <xf numFmtId="43" fontId="77" fillId="28" borderId="1" xfId="1" applyFont="1" applyFill="1" applyBorder="1" applyAlignment="1" applyProtection="1">
      <alignment horizontal="right" vertical="center" wrapText="1"/>
    </xf>
    <xf numFmtId="0" fontId="77" fillId="28" borderId="1" xfId="8" applyFont="1" applyFill="1" applyBorder="1" applyAlignment="1" applyProtection="1">
      <alignment vertical="center" wrapText="1"/>
      <protection locked="0"/>
    </xf>
    <xf numFmtId="0" fontId="43" fillId="28" borderId="1" xfId="8" applyFont="1" applyFill="1" applyBorder="1" applyAlignment="1" applyProtection="1">
      <alignment horizontal="center" vertical="center" wrapText="1"/>
      <protection locked="0"/>
    </xf>
    <xf numFmtId="43" fontId="43" fillId="28" borderId="1" xfId="1" applyFont="1" applyFill="1" applyBorder="1" applyAlignment="1" applyProtection="1">
      <alignment horizontal="right" vertical="center" wrapText="1"/>
    </xf>
    <xf numFmtId="0" fontId="43" fillId="28" borderId="1" xfId="8" applyFont="1" applyFill="1" applyBorder="1" applyAlignment="1" applyProtection="1">
      <alignment wrapText="1"/>
      <protection locked="0"/>
    </xf>
    <xf numFmtId="0" fontId="77" fillId="28" borderId="1" xfId="4" applyFont="1" applyFill="1" applyBorder="1" applyAlignment="1" applyProtection="1">
      <alignment vertical="center" wrapText="1"/>
      <protection locked="0"/>
    </xf>
    <xf numFmtId="0" fontId="77" fillId="28" borderId="1" xfId="4" applyFont="1" applyFill="1" applyBorder="1" applyAlignment="1" applyProtection="1">
      <alignment horizontal="center" vertical="center" wrapText="1"/>
      <protection locked="0"/>
    </xf>
    <xf numFmtId="0" fontId="77" fillId="28" borderId="1" xfId="4" applyFont="1" applyFill="1" applyBorder="1" applyAlignment="1" applyProtection="1">
      <alignment horizontal="left" vertical="center" wrapText="1"/>
      <protection locked="0"/>
    </xf>
    <xf numFmtId="0" fontId="71" fillId="28" borderId="1" xfId="8" applyFont="1" applyFill="1" applyBorder="1" applyAlignment="1" applyProtection="1">
      <alignment vertical="center" wrapText="1"/>
      <protection locked="0"/>
    </xf>
    <xf numFmtId="0" fontId="79" fillId="28" borderId="1" xfId="8" applyFont="1" applyFill="1" applyBorder="1" applyAlignment="1" applyProtection="1">
      <alignment vertical="center" wrapText="1"/>
      <protection locked="0"/>
    </xf>
    <xf numFmtId="0" fontId="79" fillId="28" borderId="1" xfId="8" applyFont="1" applyFill="1" applyBorder="1" applyAlignment="1" applyProtection="1">
      <alignment horizontal="center" vertical="center" wrapText="1"/>
      <protection locked="0"/>
    </xf>
    <xf numFmtId="0" fontId="71" fillId="28" borderId="1" xfId="8" applyFont="1" applyFill="1" applyBorder="1" applyAlignment="1" applyProtection="1">
      <alignment horizontal="center" vertical="center" wrapText="1"/>
      <protection locked="0"/>
    </xf>
    <xf numFmtId="167" fontId="71" fillId="28" borderId="1" xfId="8" applyNumberFormat="1" applyFont="1" applyFill="1" applyBorder="1" applyAlignment="1" applyProtection="1">
      <alignment horizontal="right" vertical="center" wrapText="1"/>
      <protection locked="0"/>
    </xf>
    <xf numFmtId="2" fontId="72" fillId="0" borderId="1" xfId="3" applyNumberFormat="1" applyFont="1" applyFill="1" applyBorder="1"/>
    <xf numFmtId="0" fontId="75" fillId="2" borderId="1" xfId="8" applyFont="1" applyFill="1" applyBorder="1" applyAlignment="1" applyProtection="1">
      <alignment vertical="center" wrapText="1"/>
      <protection locked="0"/>
    </xf>
    <xf numFmtId="0" fontId="72" fillId="2" borderId="1" xfId="8" applyFont="1" applyFill="1" applyBorder="1" applyAlignment="1" applyProtection="1">
      <alignment vertical="center" wrapText="1"/>
      <protection locked="0"/>
    </xf>
    <xf numFmtId="0" fontId="72" fillId="3" borderId="1" xfId="8" applyFont="1" applyFill="1" applyBorder="1" applyAlignment="1" applyProtection="1">
      <alignment vertical="center" wrapText="1"/>
      <protection locked="0"/>
    </xf>
    <xf numFmtId="2" fontId="79" fillId="0" borderId="1" xfId="9" applyNumberFormat="1" applyFont="1" applyBorder="1" applyAlignment="1" applyProtection="1">
      <alignment vertical="center" wrapText="1"/>
      <protection locked="0"/>
    </xf>
    <xf numFmtId="0" fontId="79" fillId="0" borderId="1" xfId="9" applyFont="1" applyBorder="1" applyAlignment="1" applyProtection="1">
      <alignment vertical="center" wrapText="1"/>
      <protection locked="0"/>
    </xf>
    <xf numFmtId="0" fontId="75" fillId="0" borderId="1" xfId="9" applyFont="1" applyFill="1" applyBorder="1" applyAlignment="1" applyProtection="1">
      <alignment vertical="center" wrapText="1"/>
      <protection locked="0"/>
    </xf>
    <xf numFmtId="0" fontId="71" fillId="0" borderId="1" xfId="38" applyFont="1" applyFill="1" applyBorder="1" applyAlignment="1" applyProtection="1">
      <alignment horizontal="center" vertical="center" wrapText="1"/>
      <protection locked="0"/>
    </xf>
    <xf numFmtId="0" fontId="75" fillId="10" borderId="1" xfId="4" applyFont="1" applyFill="1" applyBorder="1" applyAlignment="1" applyProtection="1">
      <alignment horizontal="left" vertical="center" wrapText="1"/>
      <protection locked="0"/>
    </xf>
    <xf numFmtId="1" fontId="77" fillId="4" borderId="1" xfId="8" applyNumberFormat="1" applyFont="1" applyFill="1" applyBorder="1" applyAlignment="1" applyProtection="1">
      <alignment horizontal="center" vertical="center" wrapText="1"/>
      <protection locked="0"/>
    </xf>
    <xf numFmtId="0" fontId="77" fillId="2" borderId="1" xfId="8" applyFont="1" applyFill="1" applyBorder="1" applyAlignment="1" applyProtection="1">
      <alignment horizontal="left" vertical="center" wrapText="1"/>
    </xf>
    <xf numFmtId="0" fontId="71" fillId="0" borderId="1" xfId="9" applyFont="1" applyBorder="1" applyAlignment="1" applyProtection="1">
      <alignment horizontal="left" vertical="center" wrapText="1"/>
      <protection locked="0"/>
    </xf>
    <xf numFmtId="0" fontId="75" fillId="0" borderId="1" xfId="87" applyFont="1" applyBorder="1" applyAlignment="1" applyProtection="1">
      <alignment horizontal="left" vertical="center" wrapText="1"/>
      <protection locked="0"/>
    </xf>
    <xf numFmtId="0" fontId="77" fillId="2" borderId="1" xfId="4" applyFont="1" applyFill="1" applyBorder="1" applyAlignment="1" applyProtection="1">
      <alignment horizontal="right" vertical="center" wrapText="1"/>
      <protection locked="0"/>
    </xf>
    <xf numFmtId="2" fontId="75" fillId="10" borderId="1" xfId="11" applyNumberFormat="1" applyFont="1" applyFill="1" applyBorder="1" applyAlignment="1" applyProtection="1">
      <alignment vertical="center"/>
      <protection locked="0"/>
    </xf>
    <xf numFmtId="0" fontId="77" fillId="3" borderId="1" xfId="4" applyFont="1" applyFill="1" applyBorder="1" applyAlignment="1" applyProtection="1">
      <alignment vertical="center" wrapText="1"/>
      <protection locked="0"/>
    </xf>
    <xf numFmtId="0" fontId="75" fillId="0" borderId="1" xfId="87" applyFont="1" applyBorder="1" applyAlignment="1" applyProtection="1">
      <alignment vertical="center" wrapText="1"/>
      <protection locked="0"/>
    </xf>
    <xf numFmtId="0" fontId="75" fillId="0" borderId="1" xfId="87" applyFont="1" applyBorder="1" applyAlignment="1" applyProtection="1">
      <alignment vertical="center"/>
      <protection locked="0"/>
    </xf>
    <xf numFmtId="0" fontId="75" fillId="0" borderId="1" xfId="87" applyFont="1" applyBorder="1" applyAlignment="1" applyProtection="1">
      <alignment horizontal="center" vertical="center"/>
      <protection locked="0"/>
    </xf>
    <xf numFmtId="167" fontId="75" fillId="0" borderId="1" xfId="87" applyNumberFormat="1" applyFont="1" applyBorder="1" applyAlignment="1" applyProtection="1">
      <alignment horizontal="right" vertical="center"/>
      <protection locked="0"/>
    </xf>
    <xf numFmtId="0" fontId="77" fillId="0" borderId="1" xfId="38" applyFont="1" applyBorder="1" applyAlignment="1" applyProtection="1">
      <alignment horizontal="center" vertical="center" wrapText="1"/>
      <protection locked="0"/>
    </xf>
    <xf numFmtId="0" fontId="75" fillId="0" borderId="1" xfId="87" applyFont="1" applyFill="1" applyBorder="1" applyAlignment="1" applyProtection="1">
      <alignment vertical="center" wrapText="1"/>
      <protection locked="0"/>
    </xf>
    <xf numFmtId="0" fontId="75" fillId="0" borderId="1" xfId="87" applyFont="1" applyFill="1" applyBorder="1" applyAlignment="1" applyProtection="1">
      <alignment horizontal="left" vertical="center" wrapText="1"/>
      <protection locked="0"/>
    </xf>
    <xf numFmtId="0" fontId="75" fillId="0" borderId="1" xfId="87" applyFont="1" applyBorder="1" applyAlignment="1" applyProtection="1">
      <alignment horizontal="left" vertical="center"/>
      <protection locked="0"/>
    </xf>
    <xf numFmtId="0" fontId="43" fillId="0" borderId="1" xfId="4" applyFont="1" applyBorder="1" applyAlignment="1" applyProtection="1">
      <alignment vertical="center" wrapText="1"/>
      <protection locked="0"/>
    </xf>
    <xf numFmtId="0" fontId="77" fillId="0" borderId="1" xfId="0" applyFont="1" applyBorder="1" applyAlignment="1" applyProtection="1">
      <alignment vertical="center" wrapText="1"/>
      <protection locked="0"/>
    </xf>
    <xf numFmtId="2" fontId="77" fillId="0" borderId="1" xfId="0" applyNumberFormat="1" applyFont="1" applyBorder="1" applyAlignment="1" applyProtection="1">
      <alignment vertical="center" wrapText="1"/>
      <protection locked="0"/>
    </xf>
    <xf numFmtId="0" fontId="43" fillId="0" borderId="1" xfId="87" applyFont="1" applyBorder="1" applyAlignment="1" applyProtection="1">
      <alignment vertical="center" wrapText="1"/>
      <protection locked="0"/>
    </xf>
    <xf numFmtId="0" fontId="43" fillId="0" borderId="1" xfId="4" applyFont="1" applyFill="1" applyBorder="1" applyAlignment="1" applyProtection="1">
      <alignment vertical="center" wrapText="1"/>
      <protection locked="0"/>
    </xf>
    <xf numFmtId="0" fontId="75" fillId="0" borderId="1" xfId="0" applyFont="1" applyFill="1" applyBorder="1" applyAlignment="1" applyProtection="1">
      <alignment vertical="center" wrapText="1"/>
      <protection locked="0"/>
    </xf>
    <xf numFmtId="0" fontId="75" fillId="0" borderId="1" xfId="87" applyFont="1" applyFill="1" applyBorder="1" applyAlignment="1" applyProtection="1">
      <alignment vertical="center"/>
      <protection locked="0"/>
    </xf>
    <xf numFmtId="0" fontId="77" fillId="0" borderId="1" xfId="4" applyFont="1" applyBorder="1" applyAlignment="1" applyProtection="1">
      <alignment vertical="center" wrapText="1"/>
      <protection locked="0"/>
    </xf>
    <xf numFmtId="0" fontId="75" fillId="0" borderId="1" xfId="93" applyFont="1" applyFill="1" applyBorder="1" applyAlignment="1" applyProtection="1">
      <alignment vertical="center" wrapText="1"/>
      <protection locked="0"/>
    </xf>
    <xf numFmtId="0" fontId="77" fillId="4" borderId="1" xfId="11" applyFont="1" applyFill="1" applyBorder="1" applyAlignment="1" applyProtection="1">
      <alignment horizontal="right" vertical="center" wrapText="1"/>
      <protection locked="0"/>
    </xf>
    <xf numFmtId="0" fontId="72" fillId="0" borderId="1" xfId="4" applyFont="1" applyBorder="1" applyAlignment="1" applyProtection="1">
      <alignment vertical="center" wrapText="1"/>
      <protection locked="0"/>
    </xf>
    <xf numFmtId="166" fontId="75" fillId="0" borderId="1" xfId="1" applyNumberFormat="1" applyFont="1" applyBorder="1" applyAlignment="1" applyProtection="1">
      <alignment horizontal="right" vertical="center"/>
      <protection locked="0"/>
    </xf>
    <xf numFmtId="0" fontId="43" fillId="0" borderId="1" xfId="4" applyFont="1" applyFill="1" applyBorder="1" applyAlignment="1" applyProtection="1">
      <alignment horizontal="center" vertical="center" wrapText="1"/>
      <protection locked="0"/>
    </xf>
    <xf numFmtId="0" fontId="71" fillId="0" borderId="1" xfId="9" applyFont="1" applyFill="1" applyBorder="1" applyAlignment="1" applyProtection="1">
      <alignment horizontal="left" vertical="center" wrapText="1"/>
      <protection locked="0"/>
    </xf>
    <xf numFmtId="0" fontId="72" fillId="2" borderId="1" xfId="8" applyFont="1" applyFill="1" applyBorder="1" applyAlignment="1" applyProtection="1">
      <alignment horizontal="right" vertical="center" wrapText="1"/>
      <protection locked="0"/>
    </xf>
    <xf numFmtId="0" fontId="43" fillId="21" borderId="1" xfId="9" applyFont="1" applyFill="1" applyBorder="1" applyAlignment="1" applyProtection="1">
      <alignment horizontal="left" vertical="center" wrapText="1"/>
      <protection locked="0"/>
    </xf>
    <xf numFmtId="0" fontId="43" fillId="21" borderId="1" xfId="9" applyFont="1" applyFill="1" applyBorder="1" applyAlignment="1" applyProtection="1">
      <alignment horizontal="right" vertical="center" wrapText="1"/>
      <protection locked="0"/>
    </xf>
    <xf numFmtId="0" fontId="43" fillId="0" borderId="1" xfId="9" applyFont="1" applyBorder="1" applyAlignment="1" applyProtection="1">
      <alignment horizontal="left" vertical="center" wrapText="1"/>
      <protection locked="0"/>
    </xf>
    <xf numFmtId="0" fontId="43" fillId="10" borderId="1" xfId="8" applyFont="1" applyFill="1" applyBorder="1" applyAlignment="1" applyProtection="1">
      <alignment horizontal="left" vertical="center" wrapText="1"/>
      <protection locked="0"/>
    </xf>
    <xf numFmtId="2" fontId="43" fillId="10" borderId="1" xfId="8" applyNumberFormat="1" applyFont="1" applyFill="1" applyBorder="1" applyAlignment="1" applyProtection="1">
      <alignment horizontal="right" vertical="center" wrapText="1"/>
      <protection locked="0"/>
    </xf>
    <xf numFmtId="0" fontId="72" fillId="19" borderId="1" xfId="9" applyFont="1" applyFill="1" applyBorder="1" applyAlignment="1" applyProtection="1">
      <alignment horizontal="left" vertical="center" wrapText="1"/>
      <protection locked="0"/>
    </xf>
    <xf numFmtId="0" fontId="72" fillId="19" borderId="1" xfId="9" applyFont="1" applyFill="1" applyBorder="1" applyAlignment="1" applyProtection="1">
      <alignment horizontal="right" vertical="center" wrapText="1"/>
      <protection locked="0"/>
    </xf>
    <xf numFmtId="167" fontId="79" fillId="0" borderId="1" xfId="9" applyNumberFormat="1" applyFont="1" applyBorder="1" applyAlignment="1" applyProtection="1">
      <alignment vertical="center" wrapText="1"/>
      <protection locked="0"/>
    </xf>
    <xf numFmtId="0" fontId="79" fillId="21" borderId="1" xfId="9" applyFont="1" applyFill="1" applyBorder="1" applyAlignment="1" applyProtection="1">
      <alignment horizontal="left" vertical="center" wrapText="1"/>
      <protection locked="0"/>
    </xf>
    <xf numFmtId="0" fontId="79" fillId="21" borderId="1" xfId="9" applyFont="1" applyFill="1" applyBorder="1" applyAlignment="1" applyProtection="1">
      <alignment horizontal="center" vertical="center" wrapText="1"/>
      <protection locked="0"/>
    </xf>
    <xf numFmtId="0" fontId="72" fillId="21" borderId="1" xfId="9" applyFont="1" applyFill="1" applyBorder="1" applyAlignment="1" applyProtection="1">
      <alignment horizontal="right" vertical="center" wrapText="1"/>
      <protection locked="0"/>
    </xf>
    <xf numFmtId="0" fontId="75" fillId="2" borderId="1" xfId="9" applyFont="1" applyFill="1" applyBorder="1" applyAlignment="1" applyProtection="1">
      <alignment vertical="center" wrapText="1"/>
      <protection locked="0"/>
    </xf>
    <xf numFmtId="0" fontId="43" fillId="2" borderId="1" xfId="9" applyFont="1" applyFill="1" applyBorder="1" applyAlignment="1" applyProtection="1">
      <alignment horizontal="right" vertical="center" wrapText="1"/>
      <protection locked="0"/>
    </xf>
    <xf numFmtId="0" fontId="77" fillId="2" borderId="1" xfId="9" applyFont="1" applyFill="1" applyBorder="1" applyAlignment="1" applyProtection="1">
      <alignment horizontal="left" vertical="center" wrapText="1"/>
      <protection locked="0"/>
    </xf>
    <xf numFmtId="0" fontId="77" fillId="0" borderId="1" xfId="9" applyFont="1" applyFill="1" applyBorder="1" applyAlignment="1" applyProtection="1">
      <alignment horizontal="left" vertical="center" wrapText="1"/>
      <protection locked="0"/>
    </xf>
    <xf numFmtId="0" fontId="72" fillId="27" borderId="1" xfId="8" applyFont="1" applyFill="1" applyBorder="1" applyAlignment="1" applyProtection="1">
      <alignment horizontal="left" vertical="center" wrapText="1"/>
      <protection locked="0"/>
    </xf>
    <xf numFmtId="0" fontId="75" fillId="27" borderId="1" xfId="8" applyFont="1" applyFill="1" applyBorder="1" applyAlignment="1" applyProtection="1">
      <alignment horizontal="left" vertical="center" wrapText="1"/>
      <protection locked="0"/>
    </xf>
    <xf numFmtId="0" fontId="72" fillId="4" borderId="1" xfId="9" applyFont="1" applyFill="1" applyBorder="1" applyAlignment="1" applyProtection="1">
      <alignment vertical="center" wrapText="1"/>
      <protection locked="0"/>
    </xf>
    <xf numFmtId="0" fontId="43" fillId="3" borderId="1" xfId="8" applyFont="1" applyFill="1" applyBorder="1" applyAlignment="1" applyProtection="1">
      <alignment horizontal="left" vertical="center" wrapText="1"/>
      <protection locked="0"/>
    </xf>
    <xf numFmtId="0" fontId="43" fillId="0" borderId="1" xfId="0" applyFont="1" applyBorder="1" applyAlignment="1" applyProtection="1">
      <alignment horizontal="center" vertical="center"/>
      <protection locked="0"/>
    </xf>
    <xf numFmtId="0" fontId="43" fillId="32" borderId="1" xfId="8" applyFont="1" applyFill="1" applyBorder="1" applyAlignment="1" applyProtection="1">
      <alignment horizontal="left" vertical="center" wrapText="1"/>
    </xf>
    <xf numFmtId="1" fontId="43" fillId="14" borderId="1" xfId="9" applyNumberFormat="1" applyFont="1" applyFill="1" applyBorder="1" applyAlignment="1" applyProtection="1">
      <alignment horizontal="center" vertical="center" wrapText="1"/>
      <protection locked="0"/>
    </xf>
    <xf numFmtId="0" fontId="75" fillId="2" borderId="1" xfId="9" applyFont="1" applyFill="1" applyBorder="1" applyAlignment="1" applyProtection="1">
      <alignment horizontal="center" vertical="center" wrapText="1"/>
      <protection locked="0"/>
    </xf>
    <xf numFmtId="0" fontId="43" fillId="2" borderId="1" xfId="8" applyFont="1" applyFill="1" applyBorder="1" applyAlignment="1" applyProtection="1">
      <alignment vertical="center" wrapText="1"/>
      <protection locked="0"/>
    </xf>
    <xf numFmtId="0" fontId="43" fillId="0" borderId="1" xfId="8" applyFont="1" applyBorder="1" applyAlignment="1" applyProtection="1">
      <alignment horizontal="left" vertical="center" wrapText="1"/>
    </xf>
    <xf numFmtId="0" fontId="43" fillId="0" borderId="1" xfId="8" applyFont="1" applyFill="1" applyBorder="1" applyAlignment="1" applyProtection="1">
      <alignment horizontal="left" vertical="center" wrapText="1"/>
    </xf>
    <xf numFmtId="0" fontId="43" fillId="0" borderId="1" xfId="9" applyFont="1" applyBorder="1" applyAlignment="1" applyProtection="1">
      <alignment horizontal="center" vertical="center" wrapText="1"/>
      <protection locked="0"/>
    </xf>
    <xf numFmtId="0" fontId="75" fillId="0" borderId="1" xfId="0" applyFont="1" applyBorder="1" applyAlignment="1" applyProtection="1">
      <alignment horizontal="right" vertical="center"/>
      <protection locked="0"/>
    </xf>
    <xf numFmtId="0" fontId="72" fillId="6" borderId="1" xfId="9" applyFont="1" applyFill="1" applyBorder="1" applyAlignment="1" applyProtection="1">
      <alignment vertical="center" wrapText="1"/>
      <protection locked="0"/>
    </xf>
    <xf numFmtId="2" fontId="72" fillId="6" borderId="1" xfId="9" applyNumberFormat="1" applyFont="1" applyFill="1" applyBorder="1" applyAlignment="1" applyProtection="1">
      <alignment vertical="center" wrapText="1"/>
      <protection locked="0"/>
    </xf>
    <xf numFmtId="0" fontId="72" fillId="6" borderId="1" xfId="8" applyFont="1" applyFill="1" applyBorder="1" applyAlignment="1" applyProtection="1">
      <alignment horizontal="left" vertical="center" wrapText="1"/>
      <protection locked="0"/>
    </xf>
    <xf numFmtId="0" fontId="72" fillId="0" borderId="1" xfId="9" applyFont="1" applyFill="1" applyBorder="1" applyAlignment="1" applyProtection="1">
      <alignment vertical="center" wrapText="1"/>
      <protection locked="0"/>
    </xf>
    <xf numFmtId="0" fontId="72" fillId="0" borderId="1" xfId="8" applyFont="1" applyFill="1" applyBorder="1" applyAlignment="1" applyProtection="1">
      <alignment horizontal="left" vertical="center" wrapText="1"/>
      <protection locked="0"/>
    </xf>
    <xf numFmtId="2" fontId="43" fillId="2" borderId="1" xfId="8" applyNumberFormat="1" applyFont="1" applyFill="1" applyBorder="1" applyAlignment="1" applyProtection="1">
      <alignment vertical="center" wrapText="1"/>
      <protection locked="0"/>
    </xf>
    <xf numFmtId="167" fontId="71" fillId="0" borderId="1" xfId="9" applyNumberFormat="1" applyFont="1" applyBorder="1" applyAlignment="1" applyProtection="1">
      <alignment vertical="center" wrapText="1"/>
      <protection locked="0"/>
    </xf>
    <xf numFmtId="2" fontId="77" fillId="2" borderId="1" xfId="8" applyNumberFormat="1" applyFont="1" applyFill="1" applyBorder="1" applyAlignment="1" applyProtection="1">
      <alignment horizontal="right" vertical="center" wrapText="1"/>
      <protection locked="0"/>
    </xf>
    <xf numFmtId="2" fontId="72" fillId="4" borderId="1" xfId="8" applyNumberFormat="1" applyFont="1" applyFill="1" applyBorder="1" applyAlignment="1" applyProtection="1">
      <alignment vertical="center" wrapText="1"/>
      <protection locked="0"/>
    </xf>
    <xf numFmtId="0" fontId="72" fillId="0" borderId="1" xfId="9" applyFont="1" applyBorder="1" applyAlignment="1" applyProtection="1">
      <alignment horizontal="left" vertical="center" wrapText="1"/>
      <protection locked="0"/>
    </xf>
    <xf numFmtId="0" fontId="79" fillId="0" borderId="1" xfId="9" applyFont="1" applyBorder="1" applyAlignment="1" applyProtection="1">
      <alignment horizontal="center" vertical="center" wrapText="1"/>
      <protection locked="0"/>
    </xf>
    <xf numFmtId="167" fontId="71" fillId="0" borderId="1" xfId="9" applyNumberFormat="1" applyFont="1" applyFill="1" applyBorder="1" applyAlignment="1" applyProtection="1">
      <alignment vertical="center" wrapText="1"/>
      <protection locked="0"/>
    </xf>
    <xf numFmtId="0" fontId="72" fillId="0" borderId="1" xfId="9" applyFont="1" applyFill="1" applyBorder="1" applyAlignment="1" applyProtection="1">
      <alignment horizontal="center" vertical="center" wrapText="1"/>
      <protection locked="0"/>
    </xf>
    <xf numFmtId="0" fontId="71" fillId="0" borderId="0" xfId="9" applyFont="1" applyAlignment="1" applyProtection="1">
      <alignment horizontal="center" vertical="center" wrapText="1"/>
      <protection locked="0"/>
    </xf>
    <xf numFmtId="0" fontId="72" fillId="6" borderId="1" xfId="4" applyFont="1" applyFill="1" applyBorder="1" applyAlignment="1" applyProtection="1">
      <alignment horizontal="left" vertical="center" wrapText="1"/>
      <protection locked="0"/>
    </xf>
    <xf numFmtId="2" fontId="72" fillId="6" borderId="1" xfId="4" applyNumberFormat="1" applyFont="1" applyFill="1" applyBorder="1" applyAlignment="1" applyProtection="1">
      <alignment horizontal="right" vertical="center" wrapText="1"/>
      <protection locked="0"/>
    </xf>
    <xf numFmtId="2" fontId="72" fillId="4" borderId="1" xfId="4" applyNumberFormat="1" applyFont="1" applyFill="1" applyBorder="1" applyAlignment="1" applyProtection="1">
      <alignment vertical="center" wrapText="1"/>
      <protection locked="0"/>
    </xf>
    <xf numFmtId="2" fontId="72" fillId="3" borderId="1" xfId="4" applyNumberFormat="1" applyFont="1" applyFill="1" applyBorder="1" applyAlignment="1" applyProtection="1">
      <alignment horizontal="left" vertical="center" wrapText="1"/>
      <protection locked="0"/>
    </xf>
    <xf numFmtId="0" fontId="72" fillId="4" borderId="1" xfId="4" applyFont="1" applyFill="1" applyBorder="1" applyAlignment="1" applyProtection="1">
      <alignment horizontal="left" vertical="center" wrapText="1"/>
      <protection locked="0"/>
    </xf>
    <xf numFmtId="0" fontId="43" fillId="0" borderId="1" xfId="9" applyFont="1" applyFill="1" applyBorder="1" applyAlignment="1" applyProtection="1">
      <alignment vertical="center" wrapText="1"/>
      <protection locked="0"/>
    </xf>
    <xf numFmtId="0" fontId="43" fillId="0" borderId="1" xfId="9" applyFont="1" applyFill="1" applyBorder="1" applyAlignment="1" applyProtection="1">
      <alignment horizontal="left" vertical="center" wrapText="1"/>
      <protection locked="0"/>
    </xf>
    <xf numFmtId="0" fontId="43" fillId="0" borderId="1" xfId="0" applyFont="1" applyBorder="1" applyAlignment="1" applyProtection="1">
      <alignment horizontal="center" vertical="center" wrapText="1"/>
      <protection locked="0"/>
    </xf>
    <xf numFmtId="0" fontId="43" fillId="0" borderId="1" xfId="0" applyFont="1" applyBorder="1" applyAlignment="1" applyProtection="1">
      <alignment horizontal="left" vertical="center" wrapText="1"/>
      <protection locked="0"/>
    </xf>
    <xf numFmtId="0" fontId="43" fillId="0" borderId="1" xfId="8" applyFont="1" applyBorder="1" applyAlignment="1" applyProtection="1">
      <alignment vertical="center"/>
      <protection locked="0"/>
    </xf>
    <xf numFmtId="0" fontId="43" fillId="0" borderId="1" xfId="8" applyFont="1" applyBorder="1" applyAlignment="1" applyProtection="1">
      <alignment horizontal="left" vertical="center"/>
      <protection locked="0"/>
    </xf>
    <xf numFmtId="0" fontId="43" fillId="10" borderId="1" xfId="8" applyFont="1" applyFill="1" applyBorder="1" applyAlignment="1" applyProtection="1">
      <alignment horizontal="left" vertical="center"/>
      <protection locked="0"/>
    </xf>
    <xf numFmtId="2" fontId="70" fillId="7" borderId="1" xfId="8" applyNumberFormat="1" applyFont="1" applyFill="1" applyBorder="1" applyAlignment="1" applyProtection="1">
      <alignment horizontal="right" vertical="center" wrapText="1"/>
    </xf>
    <xf numFmtId="2" fontId="43" fillId="0" borderId="1" xfId="4" applyNumberFormat="1" applyFont="1" applyBorder="1" applyAlignment="1" applyProtection="1">
      <alignment horizontal="center" vertical="center" wrapText="1"/>
      <protection locked="0"/>
    </xf>
    <xf numFmtId="0" fontId="75" fillId="0" borderId="1" xfId="4" applyFont="1" applyBorder="1" applyAlignment="1" applyProtection="1">
      <alignment horizontal="left" vertical="center" wrapText="1"/>
    </xf>
    <xf numFmtId="2" fontId="43" fillId="0" borderId="1" xfId="4" applyNumberFormat="1" applyFont="1" applyBorder="1" applyAlignment="1" applyProtection="1">
      <alignment horizontal="left" vertical="center" wrapText="1"/>
      <protection locked="0"/>
    </xf>
    <xf numFmtId="1" fontId="75" fillId="0" borderId="1" xfId="4" applyNumberFormat="1" applyFont="1" applyBorder="1" applyAlignment="1" applyProtection="1">
      <alignment horizontal="left" vertical="center" wrapText="1"/>
    </xf>
    <xf numFmtId="2" fontId="72" fillId="4" borderId="1" xfId="4" applyNumberFormat="1" applyFont="1" applyFill="1" applyBorder="1" applyAlignment="1" applyProtection="1">
      <alignment horizontal="left" vertical="center" wrapText="1"/>
      <protection locked="0"/>
    </xf>
    <xf numFmtId="2" fontId="77" fillId="4" borderId="1" xfId="4" applyNumberFormat="1" applyFont="1" applyFill="1" applyBorder="1" applyAlignment="1" applyProtection="1">
      <alignment horizontal="left" vertical="center" wrapText="1"/>
      <protection locked="0"/>
    </xf>
    <xf numFmtId="0" fontId="75" fillId="4" borderId="1" xfId="8" applyFont="1" applyFill="1" applyBorder="1" applyAlignment="1" applyProtection="1">
      <alignment horizontal="left" vertical="center" wrapText="1"/>
    </xf>
    <xf numFmtId="0" fontId="77" fillId="10" borderId="1" xfId="8" applyFont="1" applyFill="1" applyBorder="1" applyAlignment="1" applyProtection="1">
      <alignment horizontal="left" vertical="center" wrapText="1"/>
      <protection locked="0"/>
    </xf>
    <xf numFmtId="0" fontId="75" fillId="2" borderId="1" xfId="8" applyFont="1" applyFill="1" applyBorder="1" applyAlignment="1" applyProtection="1">
      <alignment horizontal="left" vertical="center" wrapText="1"/>
    </xf>
    <xf numFmtId="0" fontId="77" fillId="0" borderId="1" xfId="4" applyFont="1" applyBorder="1" applyAlignment="1" applyProtection="1">
      <alignment horizontal="right" vertical="center" wrapText="1"/>
      <protection locked="0"/>
    </xf>
    <xf numFmtId="0" fontId="75" fillId="0" borderId="1" xfId="62" applyFont="1" applyBorder="1" applyAlignment="1" applyProtection="1">
      <alignment horizontal="right" vertical="center"/>
      <protection locked="0"/>
    </xf>
    <xf numFmtId="0" fontId="75" fillId="0" borderId="1" xfId="62" applyFont="1" applyBorder="1" applyAlignment="1" applyProtection="1">
      <alignment horizontal="right" vertical="center" wrapText="1"/>
      <protection locked="0"/>
    </xf>
    <xf numFmtId="2" fontId="75" fillId="0" borderId="1" xfId="4" applyNumberFormat="1" applyFont="1" applyBorder="1" applyAlignment="1" applyProtection="1">
      <alignment horizontal="right" vertical="center" wrapText="1"/>
      <protection locked="0"/>
    </xf>
    <xf numFmtId="0" fontId="77" fillId="0" borderId="1" xfId="4" applyFont="1" applyFill="1" applyBorder="1" applyAlignment="1" applyProtection="1">
      <alignment horizontal="right" vertical="center" wrapText="1"/>
      <protection locked="0"/>
    </xf>
    <xf numFmtId="0" fontId="75" fillId="0" borderId="1" xfId="62" applyFont="1" applyFill="1" applyBorder="1" applyAlignment="1" applyProtection="1">
      <alignment horizontal="right" vertical="center"/>
      <protection locked="0"/>
    </xf>
    <xf numFmtId="0" fontId="77" fillId="0" borderId="1" xfId="62" applyFont="1" applyBorder="1" applyAlignment="1" applyProtection="1">
      <alignment horizontal="right" vertical="center" wrapText="1"/>
      <protection locked="0"/>
    </xf>
    <xf numFmtId="0" fontId="77" fillId="4" borderId="1" xfId="4" applyFont="1" applyFill="1" applyBorder="1" applyAlignment="1" applyProtection="1">
      <alignment horizontal="right" vertical="center" wrapText="1"/>
      <protection locked="0"/>
    </xf>
    <xf numFmtId="0" fontId="77" fillId="0" borderId="1" xfId="62" applyFont="1" applyBorder="1" applyAlignment="1" applyProtection="1">
      <alignment horizontal="right" vertical="center"/>
      <protection locked="0"/>
    </xf>
    <xf numFmtId="0" fontId="43" fillId="0" borderId="1" xfId="82" applyFont="1" applyBorder="1" applyAlignment="1" applyProtection="1">
      <alignment vertical="center"/>
      <protection locked="0"/>
    </xf>
    <xf numFmtId="167" fontId="43" fillId="0" borderId="1" xfId="14" applyNumberFormat="1" applyFont="1" applyBorder="1" applyAlignment="1" applyProtection="1">
      <alignment vertical="center" wrapText="1"/>
      <protection locked="0"/>
    </xf>
    <xf numFmtId="0" fontId="43" fillId="0" borderId="1" xfId="82" applyFont="1" applyBorder="1" applyAlignment="1" applyProtection="1">
      <alignment vertical="center" wrapText="1"/>
      <protection locked="0"/>
    </xf>
    <xf numFmtId="0" fontId="72" fillId="0" borderId="1" xfId="0" applyFont="1" applyBorder="1" applyAlignment="1" applyProtection="1">
      <alignment vertical="center"/>
      <protection locked="0"/>
    </xf>
    <xf numFmtId="0" fontId="43" fillId="0" borderId="1" xfId="8" applyFont="1" applyBorder="1" applyAlignment="1" applyProtection="1">
      <alignment horizontal="center" vertical="center"/>
      <protection locked="0"/>
    </xf>
    <xf numFmtId="167" fontId="43" fillId="0" borderId="1" xfId="8" applyNumberFormat="1" applyFont="1" applyBorder="1" applyAlignment="1" applyProtection="1">
      <alignment horizontal="right" vertical="center" wrapText="1"/>
      <protection locked="0"/>
    </xf>
    <xf numFmtId="0" fontId="43" fillId="0" borderId="1" xfId="38" applyFont="1" applyBorder="1" applyAlignment="1" applyProtection="1">
      <alignment horizontal="left" vertical="center" wrapText="1"/>
      <protection locked="0"/>
    </xf>
    <xf numFmtId="0" fontId="43" fillId="2" borderId="1" xfId="8" applyFont="1" applyFill="1" applyBorder="1" applyAlignment="1" applyProtection="1">
      <alignment horizontal="left" vertical="center" wrapText="1"/>
      <protection locked="0"/>
    </xf>
    <xf numFmtId="2" fontId="72" fillId="2" borderId="1" xfId="8" applyNumberFormat="1" applyFont="1" applyFill="1" applyBorder="1" applyAlignment="1" applyProtection="1">
      <alignment horizontal="right" vertical="center" wrapText="1"/>
    </xf>
    <xf numFmtId="0" fontId="72" fillId="6" borderId="1" xfId="8" applyFont="1" applyFill="1" applyBorder="1" applyAlignment="1" applyProtection="1">
      <alignment vertical="center"/>
      <protection locked="0"/>
    </xf>
    <xf numFmtId="0" fontId="72" fillId="6" borderId="1" xfId="8" applyFont="1" applyFill="1" applyBorder="1" applyAlignment="1" applyProtection="1">
      <alignment horizontal="center" vertical="center"/>
      <protection locked="0"/>
    </xf>
    <xf numFmtId="2" fontId="72" fillId="6" borderId="1" xfId="8" applyNumberFormat="1" applyFont="1" applyFill="1" applyBorder="1" applyAlignment="1" applyProtection="1">
      <alignment horizontal="right" vertical="center"/>
    </xf>
    <xf numFmtId="0" fontId="72" fillId="6" borderId="1" xfId="8" applyFont="1" applyFill="1" applyBorder="1" applyAlignment="1" applyProtection="1">
      <alignment horizontal="left" vertical="center"/>
    </xf>
    <xf numFmtId="2" fontId="72" fillId="6" borderId="1" xfId="8" applyNumberFormat="1" applyFont="1" applyFill="1" applyBorder="1" applyAlignment="1" applyProtection="1">
      <alignment horizontal="right" vertical="center" wrapText="1"/>
    </xf>
    <xf numFmtId="0" fontId="43" fillId="2" borderId="1" xfId="8" applyFont="1" applyFill="1" applyBorder="1" applyAlignment="1" applyProtection="1">
      <alignment horizontal="left" vertical="center" wrapText="1"/>
    </xf>
    <xf numFmtId="0" fontId="43" fillId="0" borderId="1" xfId="8" applyFont="1" applyFill="1" applyBorder="1" applyAlignment="1" applyProtection="1">
      <alignment vertical="center"/>
      <protection locked="0"/>
    </xf>
    <xf numFmtId="0" fontId="43" fillId="0" borderId="1" xfId="8" applyFont="1" applyFill="1" applyBorder="1" applyAlignment="1" applyProtection="1">
      <alignment horizontal="left" vertical="center"/>
    </xf>
    <xf numFmtId="0" fontId="72" fillId="0" borderId="1" xfId="8" applyFont="1" applyFill="1" applyBorder="1" applyAlignment="1" applyProtection="1">
      <alignment vertical="center" wrapText="1"/>
      <protection locked="0"/>
    </xf>
    <xf numFmtId="0" fontId="43" fillId="11" borderId="1" xfId="8" applyFont="1" applyFill="1" applyBorder="1" applyAlignment="1" applyProtection="1">
      <alignment horizontal="left" vertical="center"/>
      <protection locked="0"/>
    </xf>
    <xf numFmtId="0" fontId="72" fillId="0" borderId="1" xfId="8" applyFont="1" applyBorder="1" applyAlignment="1" applyProtection="1">
      <alignment vertical="center"/>
      <protection locked="0"/>
    </xf>
    <xf numFmtId="167" fontId="43" fillId="0" borderId="1" xfId="8" applyNumberFormat="1" applyFont="1" applyFill="1" applyBorder="1" applyAlignment="1" applyProtection="1">
      <alignment horizontal="right" vertical="center" wrapText="1"/>
      <protection locked="0"/>
    </xf>
    <xf numFmtId="0" fontId="73" fillId="20" borderId="1" xfId="4" applyFont="1" applyFill="1" applyBorder="1" applyAlignment="1" applyProtection="1">
      <alignment horizontal="left" vertical="center" wrapText="1"/>
    </xf>
    <xf numFmtId="0" fontId="43" fillId="0" borderId="1" xfId="8" applyFont="1" applyFill="1" applyBorder="1" applyAlignment="1" applyProtection="1">
      <alignment horizontal="left" vertical="center"/>
      <protection locked="0"/>
    </xf>
    <xf numFmtId="0" fontId="43" fillId="0" borderId="1" xfId="4" applyFont="1" applyBorder="1" applyAlignment="1" applyProtection="1">
      <alignment horizontal="center" vertical="center" wrapText="1"/>
      <protection locked="0"/>
    </xf>
    <xf numFmtId="0" fontId="43" fillId="10" borderId="1" xfId="11" applyFont="1" applyFill="1" applyBorder="1" applyAlignment="1" applyProtection="1">
      <alignment horizontal="left" vertical="center"/>
      <protection locked="0"/>
    </xf>
    <xf numFmtId="2" fontId="43" fillId="0" borderId="1" xfId="4" applyNumberFormat="1" applyFont="1" applyFill="1" applyBorder="1" applyAlignment="1" applyProtection="1">
      <alignment horizontal="center" vertical="center" wrapText="1"/>
      <protection locked="0"/>
    </xf>
    <xf numFmtId="0" fontId="70" fillId="7" borderId="1" xfId="11" applyFont="1" applyFill="1" applyBorder="1" applyAlignment="1" applyProtection="1">
      <alignment horizontal="left" vertical="center" wrapText="1"/>
    </xf>
    <xf numFmtId="0" fontId="73" fillId="7" borderId="1" xfId="11" applyFont="1" applyFill="1" applyBorder="1" applyAlignment="1" applyProtection="1">
      <alignment horizontal="left" vertical="center" wrapText="1"/>
    </xf>
    <xf numFmtId="2" fontId="70" fillId="7" borderId="1" xfId="11" applyNumberFormat="1" applyFont="1" applyFill="1" applyBorder="1" applyAlignment="1" applyProtection="1">
      <alignment horizontal="right" vertical="center" wrapText="1"/>
    </xf>
    <xf numFmtId="0" fontId="72" fillId="2" borderId="1" xfId="48" applyFont="1" applyFill="1" applyBorder="1" applyAlignment="1" applyProtection="1">
      <alignment horizontal="left" vertical="center"/>
    </xf>
    <xf numFmtId="0" fontId="72" fillId="2" borderId="1" xfId="48" applyFont="1" applyFill="1" applyBorder="1" applyAlignment="1" applyProtection="1">
      <alignment horizontal="left" vertical="center" wrapText="1"/>
    </xf>
    <xf numFmtId="0" fontId="72" fillId="2" borderId="1" xfId="48" applyFont="1" applyFill="1" applyBorder="1" applyAlignment="1" applyProtection="1">
      <alignment horizontal="left" vertical="center"/>
      <protection locked="0"/>
    </xf>
    <xf numFmtId="2" fontId="72" fillId="2" borderId="1" xfId="48" applyNumberFormat="1" applyFont="1" applyFill="1" applyBorder="1" applyAlignment="1" applyProtection="1">
      <alignment horizontal="right" vertical="center"/>
    </xf>
    <xf numFmtId="0" fontId="72" fillId="2" borderId="1" xfId="48" applyFont="1" applyFill="1" applyBorder="1" applyAlignment="1" applyProtection="1">
      <alignment vertical="center"/>
      <protection locked="0"/>
    </xf>
    <xf numFmtId="2" fontId="72" fillId="2" borderId="1" xfId="48" applyNumberFormat="1" applyFont="1" applyFill="1" applyBorder="1" applyAlignment="1" applyProtection="1">
      <alignment horizontal="left" vertical="center"/>
      <protection locked="0"/>
    </xf>
    <xf numFmtId="0" fontId="72" fillId="0" borderId="1" xfId="48" applyFont="1" applyBorder="1" applyAlignment="1" applyProtection="1">
      <alignment horizontal="left" vertical="center"/>
    </xf>
    <xf numFmtId="0" fontId="72" fillId="0" borderId="1" xfId="48" applyFont="1" applyBorder="1" applyAlignment="1" applyProtection="1">
      <alignment horizontal="left" vertical="center"/>
      <protection locked="0"/>
    </xf>
    <xf numFmtId="0" fontId="43" fillId="0" borderId="1" xfId="0" applyFont="1" applyBorder="1" applyAlignment="1" applyProtection="1">
      <alignment vertical="center" wrapText="1"/>
    </xf>
    <xf numFmtId="0" fontId="72" fillId="4" borderId="1" xfId="48" applyFont="1" applyFill="1" applyBorder="1" applyAlignment="1" applyProtection="1">
      <alignment horizontal="left" vertical="center" wrapText="1"/>
    </xf>
    <xf numFmtId="0" fontId="72" fillId="4" borderId="1" xfId="48" applyFont="1" applyFill="1" applyBorder="1" applyAlignment="1" applyProtection="1">
      <alignment vertical="center" wrapText="1"/>
    </xf>
    <xf numFmtId="0" fontId="72" fillId="4" borderId="1" xfId="48" applyFont="1" applyFill="1" applyBorder="1" applyAlignment="1" applyProtection="1">
      <alignment vertical="center" wrapText="1"/>
      <protection locked="0"/>
    </xf>
    <xf numFmtId="2" fontId="72" fillId="4" borderId="1" xfId="48" applyNumberFormat="1" applyFont="1" applyFill="1" applyBorder="1" applyAlignment="1" applyProtection="1">
      <alignment horizontal="right" vertical="center" wrapText="1"/>
    </xf>
    <xf numFmtId="2" fontId="72" fillId="4" borderId="1" xfId="48" applyNumberFormat="1" applyFont="1" applyFill="1" applyBorder="1" applyAlignment="1" applyProtection="1">
      <alignment horizontal="left" vertical="center" wrapText="1"/>
      <protection locked="0"/>
    </xf>
    <xf numFmtId="0" fontId="43" fillId="0" borderId="1" xfId="4" applyFont="1" applyBorder="1" applyAlignment="1" applyProtection="1">
      <alignment horizontal="left" vertical="center" wrapText="1"/>
    </xf>
    <xf numFmtId="0" fontId="43" fillId="0" borderId="1" xfId="4" applyFont="1" applyBorder="1" applyAlignment="1" applyProtection="1">
      <alignment vertical="center" wrapText="1"/>
    </xf>
    <xf numFmtId="2" fontId="72" fillId="10" borderId="1" xfId="48" applyNumberFormat="1" applyFont="1" applyFill="1" applyBorder="1" applyAlignment="1" applyProtection="1">
      <alignment horizontal="left" vertical="center" wrapText="1"/>
      <protection locked="0"/>
    </xf>
    <xf numFmtId="2" fontId="72" fillId="10" borderId="1" xfId="48" applyNumberFormat="1" applyFont="1" applyFill="1" applyBorder="1" applyAlignment="1" applyProtection="1">
      <alignment horizontal="right" vertical="center" wrapText="1"/>
      <protection locked="0"/>
    </xf>
    <xf numFmtId="0" fontId="72" fillId="6" borderId="1" xfId="4" applyFont="1" applyFill="1" applyBorder="1" applyAlignment="1" applyProtection="1">
      <alignment horizontal="left" vertical="center" wrapText="1"/>
    </xf>
    <xf numFmtId="0" fontId="72" fillId="6" borderId="1" xfId="4" applyFont="1" applyFill="1" applyBorder="1" applyAlignment="1" applyProtection="1">
      <alignment vertical="center" wrapText="1"/>
    </xf>
    <xf numFmtId="0" fontId="72" fillId="6" borderId="1" xfId="48" applyFont="1" applyFill="1" applyBorder="1" applyAlignment="1" applyProtection="1">
      <alignment vertical="center"/>
    </xf>
    <xf numFmtId="2" fontId="72" fillId="6" borderId="1" xfId="48" applyNumberFormat="1" applyFont="1" applyFill="1" applyBorder="1" applyAlignment="1" applyProtection="1">
      <alignment horizontal="right" vertical="center"/>
    </xf>
    <xf numFmtId="2" fontId="72" fillId="6" borderId="1" xfId="48" applyNumberFormat="1" applyFont="1" applyFill="1" applyBorder="1" applyAlignment="1" applyProtection="1">
      <alignment horizontal="left" vertical="center" wrapText="1"/>
    </xf>
    <xf numFmtId="0" fontId="43" fillId="0" borderId="1" xfId="4" applyFont="1" applyFill="1" applyBorder="1" applyAlignment="1" applyProtection="1">
      <alignment vertical="center" wrapText="1"/>
    </xf>
    <xf numFmtId="0" fontId="72" fillId="3" borderId="1" xfId="48" applyFont="1" applyFill="1" applyBorder="1" applyAlignment="1" applyProtection="1">
      <alignment horizontal="left" vertical="center" wrapText="1"/>
    </xf>
    <xf numFmtId="0" fontId="72" fillId="3" borderId="1" xfId="48" applyFont="1" applyFill="1" applyBorder="1" applyAlignment="1" applyProtection="1">
      <alignment vertical="center" wrapText="1"/>
    </xf>
    <xf numFmtId="0" fontId="72" fillId="3" borderId="1" xfId="48" applyFont="1" applyFill="1" applyBorder="1" applyAlignment="1" applyProtection="1">
      <alignment vertical="center" wrapText="1"/>
      <protection locked="0"/>
    </xf>
    <xf numFmtId="2" fontId="72" fillId="3" borderId="1" xfId="48" applyNumberFormat="1" applyFont="1" applyFill="1" applyBorder="1" applyAlignment="1" applyProtection="1">
      <alignment horizontal="right" vertical="center" wrapText="1"/>
    </xf>
    <xf numFmtId="2" fontId="72" fillId="3" borderId="1" xfId="48" applyNumberFormat="1" applyFont="1" applyFill="1" applyBorder="1" applyAlignment="1" applyProtection="1">
      <alignment horizontal="left" vertical="center" wrapText="1"/>
      <protection locked="0"/>
    </xf>
    <xf numFmtId="2" fontId="72" fillId="3" borderId="1" xfId="48" applyNumberFormat="1" applyFont="1" applyFill="1" applyBorder="1" applyAlignment="1" applyProtection="1">
      <alignment horizontal="left" vertical="center" wrapText="1"/>
    </xf>
    <xf numFmtId="2" fontId="93" fillId="10" borderId="1" xfId="48" applyNumberFormat="1" applyFont="1" applyFill="1" applyBorder="1" applyAlignment="1" applyProtection="1">
      <alignment horizontal="left" vertical="center" wrapText="1"/>
      <protection locked="0"/>
    </xf>
    <xf numFmtId="2" fontId="72" fillId="4" borderId="1" xfId="48" applyNumberFormat="1" applyFont="1" applyFill="1" applyBorder="1" applyAlignment="1" applyProtection="1">
      <alignment horizontal="left" vertical="center" wrapText="1"/>
    </xf>
    <xf numFmtId="0" fontId="72" fillId="0" borderId="1" xfId="4" applyFont="1" applyFill="1" applyBorder="1" applyAlignment="1" applyProtection="1">
      <alignment vertical="center" wrapText="1"/>
    </xf>
    <xf numFmtId="0" fontId="70" fillId="7" borderId="1" xfId="50" applyFont="1" applyFill="1" applyBorder="1" applyAlignment="1" applyProtection="1">
      <alignment horizontal="left" vertical="center" wrapText="1"/>
    </xf>
    <xf numFmtId="0" fontId="73" fillId="7" borderId="1" xfId="50" applyFont="1" applyFill="1" applyBorder="1" applyAlignment="1" applyProtection="1">
      <alignment horizontal="left" vertical="center" wrapText="1"/>
    </xf>
    <xf numFmtId="0" fontId="70" fillId="7" borderId="1" xfId="50" applyFont="1" applyFill="1" applyBorder="1" applyAlignment="1" applyProtection="1">
      <alignment horizontal="center" vertical="center" wrapText="1"/>
    </xf>
    <xf numFmtId="0" fontId="72" fillId="2" borderId="1" xfId="5" applyFont="1" applyFill="1" applyBorder="1" applyAlignment="1" applyProtection="1">
      <alignment horizontal="left" vertical="center" wrapText="1"/>
    </xf>
    <xf numFmtId="0" fontId="43" fillId="2" borderId="1" xfId="5" applyFont="1" applyFill="1" applyBorder="1" applyAlignment="1" applyProtection="1">
      <alignment horizontal="left" vertical="center" wrapText="1"/>
    </xf>
    <xf numFmtId="0" fontId="43" fillId="2" borderId="1" xfId="50" applyFont="1" applyFill="1" applyBorder="1" applyAlignment="1" applyProtection="1">
      <alignment horizontal="center" vertical="center" wrapText="1"/>
    </xf>
    <xf numFmtId="0" fontId="43" fillId="2" borderId="1" xfId="50" applyFont="1" applyFill="1" applyBorder="1" applyAlignment="1" applyProtection="1">
      <alignment horizontal="center" vertical="center" wrapText="1"/>
      <protection locked="0"/>
    </xf>
    <xf numFmtId="43" fontId="43" fillId="2" borderId="1" xfId="1" applyFont="1" applyFill="1" applyBorder="1" applyAlignment="1" applyProtection="1">
      <alignment horizontal="center" vertical="center" wrapText="1"/>
    </xf>
    <xf numFmtId="43" fontId="72" fillId="2" borderId="1" xfId="1" applyFont="1" applyFill="1" applyBorder="1" applyAlignment="1" applyProtection="1">
      <alignment horizontal="center" vertical="center" wrapText="1"/>
    </xf>
    <xf numFmtId="0" fontId="72" fillId="0" borderId="1" xfId="50" applyFont="1" applyFill="1" applyBorder="1" applyAlignment="1" applyProtection="1">
      <alignment horizontal="left" vertical="center" wrapText="1"/>
    </xf>
    <xf numFmtId="0" fontId="72" fillId="0" borderId="1" xfId="50" applyFont="1" applyFill="1" applyBorder="1" applyAlignment="1" applyProtection="1">
      <alignment horizontal="center" vertical="center" wrapText="1"/>
    </xf>
    <xf numFmtId="0" fontId="72" fillId="0" borderId="1" xfId="50" applyFont="1" applyFill="1" applyBorder="1" applyAlignment="1" applyProtection="1">
      <alignment horizontal="center" vertical="center" wrapText="1"/>
      <protection locked="0"/>
    </xf>
    <xf numFmtId="0" fontId="43" fillId="0" borderId="1" xfId="5" applyFont="1" applyBorder="1" applyAlignment="1" applyProtection="1">
      <alignment horizontal="left" vertical="center" wrapText="1"/>
    </xf>
    <xf numFmtId="0" fontId="43" fillId="0" borderId="1" xfId="97" applyFont="1" applyBorder="1" applyAlignment="1" applyProtection="1">
      <alignment horizontal="center" vertical="center"/>
      <protection locked="0"/>
    </xf>
    <xf numFmtId="43" fontId="43" fillId="0" borderId="1" xfId="1" applyFont="1" applyBorder="1" applyAlignment="1" applyProtection="1">
      <alignment horizontal="center" vertical="center" wrapText="1"/>
    </xf>
    <xf numFmtId="43" fontId="43" fillId="0" borderId="1" xfId="1" applyFont="1" applyBorder="1" applyAlignment="1" applyProtection="1">
      <alignment horizontal="center" vertical="center"/>
    </xf>
    <xf numFmtId="43" fontId="43" fillId="10" borderId="1" xfId="1" applyFont="1" applyFill="1" applyBorder="1" applyAlignment="1" applyProtection="1">
      <alignment horizontal="right" vertical="center"/>
      <protection locked="0"/>
    </xf>
    <xf numFmtId="0" fontId="43" fillId="0" borderId="1" xfId="5" applyFont="1" applyBorder="1" applyAlignment="1" applyProtection="1">
      <alignment horizontal="left" vertical="center"/>
    </xf>
    <xf numFmtId="0" fontId="72" fillId="29" borderId="1" xfId="97" applyFont="1" applyFill="1" applyBorder="1" applyAlignment="1" applyProtection="1">
      <alignment horizontal="center" vertical="center"/>
    </xf>
    <xf numFmtId="0" fontId="43" fillId="0" borderId="1" xfId="97" applyFont="1" applyBorder="1" applyAlignment="1" applyProtection="1">
      <alignment horizontal="left" vertical="center" wrapText="1"/>
    </xf>
    <xf numFmtId="0" fontId="43" fillId="0" borderId="1" xfId="97" applyFont="1" applyFill="1" applyBorder="1" applyAlignment="1" applyProtection="1">
      <alignment horizontal="left" vertical="center"/>
    </xf>
    <xf numFmtId="0" fontId="43" fillId="0" borderId="1" xfId="5" applyFont="1" applyFill="1" applyBorder="1" applyAlignment="1" applyProtection="1">
      <alignment horizontal="left" vertical="center" wrapText="1"/>
    </xf>
    <xf numFmtId="0" fontId="43" fillId="0" borderId="1" xfId="97" applyFont="1" applyFill="1" applyBorder="1" applyAlignment="1" applyProtection="1">
      <alignment horizontal="center" vertical="center" wrapText="1"/>
      <protection locked="0"/>
    </xf>
    <xf numFmtId="0" fontId="43" fillId="0" borderId="1" xfId="97" applyFont="1" applyFill="1" applyBorder="1" applyAlignment="1" applyProtection="1">
      <alignment horizontal="center" vertical="center"/>
      <protection locked="0"/>
    </xf>
    <xf numFmtId="43" fontId="43" fillId="0" borderId="1" xfId="1" applyFont="1" applyFill="1" applyBorder="1" applyAlignment="1" applyProtection="1">
      <alignment horizontal="center" vertical="center"/>
    </xf>
    <xf numFmtId="0" fontId="43" fillId="0" borderId="1" xfId="97" applyFont="1" applyFill="1" applyBorder="1" applyAlignment="1" applyProtection="1">
      <alignment horizontal="left" vertical="center" wrapText="1"/>
    </xf>
    <xf numFmtId="0" fontId="43" fillId="0" borderId="1" xfId="97" applyFont="1" applyFill="1" applyBorder="1" applyAlignment="1" applyProtection="1">
      <alignment horizontal="center" vertical="center"/>
    </xf>
    <xf numFmtId="0" fontId="43" fillId="0" borderId="1" xfId="97" applyFont="1" applyBorder="1" applyAlignment="1" applyProtection="1">
      <alignment horizontal="center" vertical="center" wrapText="1"/>
      <protection locked="0"/>
    </xf>
    <xf numFmtId="0" fontId="43" fillId="0" borderId="1" xfId="97" applyFont="1" applyBorder="1" applyAlignment="1" applyProtection="1">
      <alignment horizontal="left" vertical="center"/>
    </xf>
    <xf numFmtId="0" fontId="72" fillId="0" borderId="1" xfId="97" applyFont="1" applyFill="1" applyBorder="1" applyAlignment="1" applyProtection="1">
      <alignment horizontal="left" vertical="center" wrapText="1"/>
    </xf>
    <xf numFmtId="0" fontId="43" fillId="0" borderId="1" xfId="0" applyFont="1" applyBorder="1" applyAlignment="1" applyProtection="1">
      <alignment horizontal="left" vertical="center"/>
    </xf>
    <xf numFmtId="43" fontId="43" fillId="0" borderId="1" xfId="1" applyFont="1" applyFill="1" applyBorder="1" applyAlignment="1" applyProtection="1">
      <alignment horizontal="center" vertical="center" wrapText="1"/>
    </xf>
    <xf numFmtId="0" fontId="72" fillId="2" borderId="1" xfId="5" applyFont="1" applyFill="1" applyBorder="1" applyAlignment="1" applyProtection="1">
      <alignment horizontal="center" vertical="center" wrapText="1"/>
    </xf>
    <xf numFmtId="0" fontId="72" fillId="2" borderId="1" xfId="5" applyFont="1" applyFill="1" applyBorder="1" applyAlignment="1" applyProtection="1">
      <alignment horizontal="center" vertical="center" wrapText="1"/>
      <protection locked="0"/>
    </xf>
    <xf numFmtId="0" fontId="72" fillId="29" borderId="1" xfId="5" applyFont="1" applyFill="1" applyBorder="1" applyAlignment="1" applyProtection="1">
      <alignment horizontal="center" vertical="center" wrapText="1"/>
    </xf>
    <xf numFmtId="0" fontId="43" fillId="0" borderId="1" xfId="0" applyFont="1" applyBorder="1" applyAlignment="1" applyProtection="1">
      <alignment horizontal="left" vertical="center" wrapText="1"/>
    </xf>
    <xf numFmtId="0" fontId="72" fillId="0" borderId="1" xfId="5" applyFont="1" applyFill="1" applyBorder="1" applyAlignment="1" applyProtection="1">
      <alignment horizontal="left" vertical="center" wrapText="1"/>
    </xf>
    <xf numFmtId="0" fontId="43" fillId="0" borderId="1" xfId="5" applyFont="1" applyFill="1" applyBorder="1" applyAlignment="1" applyProtection="1">
      <alignment horizontal="center" vertical="center" wrapText="1"/>
      <protection locked="0"/>
    </xf>
    <xf numFmtId="0" fontId="43" fillId="0" borderId="1" xfId="5" applyFont="1" applyBorder="1" applyAlignment="1" applyProtection="1">
      <alignment horizontal="center" vertical="center" wrapText="1"/>
    </xf>
    <xf numFmtId="0" fontId="43" fillId="0" borderId="1" xfId="5" applyFont="1" applyBorder="1" applyAlignment="1" applyProtection="1">
      <alignment horizontal="center" vertical="center" wrapText="1"/>
      <protection locked="0"/>
    </xf>
    <xf numFmtId="0" fontId="72" fillId="2" borderId="1" xfId="50" applyFont="1" applyFill="1" applyBorder="1" applyAlignment="1" applyProtection="1">
      <alignment horizontal="left" vertical="center" wrapText="1"/>
    </xf>
    <xf numFmtId="0" fontId="72" fillId="2" borderId="1" xfId="50" applyFont="1" applyFill="1" applyBorder="1" applyAlignment="1" applyProtection="1">
      <alignment horizontal="center" vertical="center" wrapText="1"/>
    </xf>
    <xf numFmtId="0" fontId="72" fillId="2" borderId="1" xfId="50" applyFont="1" applyFill="1" applyBorder="1" applyAlignment="1" applyProtection="1">
      <alignment horizontal="center" vertical="center" wrapText="1"/>
      <protection locked="0"/>
    </xf>
    <xf numFmtId="0" fontId="43" fillId="0" borderId="1" xfId="0" applyFont="1" applyFill="1" applyBorder="1" applyAlignment="1" applyProtection="1">
      <alignment horizontal="left" vertical="center" wrapText="1"/>
    </xf>
    <xf numFmtId="0" fontId="43" fillId="0" borderId="1" xfId="5" applyFont="1" applyFill="1" applyBorder="1" applyAlignment="1" applyProtection="1">
      <alignment horizontal="center" vertical="center" wrapText="1"/>
    </xf>
    <xf numFmtId="0" fontId="43" fillId="0" borderId="1" xfId="5" applyFont="1" applyFill="1" applyBorder="1" applyAlignment="1" applyProtection="1">
      <alignment horizontal="left" vertical="center"/>
    </xf>
    <xf numFmtId="0" fontId="72" fillId="29" borderId="1" xfId="5" applyFont="1" applyFill="1" applyBorder="1" applyAlignment="1" applyProtection="1">
      <alignment horizontal="center" vertical="center"/>
    </xf>
    <xf numFmtId="0" fontId="43" fillId="0" borderId="1" xfId="5" applyFont="1" applyBorder="1" applyAlignment="1" applyProtection="1">
      <alignment horizontal="center" vertical="center"/>
      <protection locked="0"/>
    </xf>
    <xf numFmtId="0" fontId="43" fillId="0" borderId="1" xfId="4" applyFont="1" applyFill="1" applyBorder="1" applyAlignment="1" applyProtection="1">
      <alignment horizontal="left" vertical="center" wrapText="1"/>
    </xf>
    <xf numFmtId="2" fontId="70" fillId="7" borderId="1" xfId="38" applyNumberFormat="1" applyFont="1" applyFill="1" applyBorder="1" applyAlignment="1" applyProtection="1">
      <alignment horizontal="right" vertical="center" wrapText="1"/>
      <protection locked="0"/>
    </xf>
    <xf numFmtId="2" fontId="72" fillId="2" borderId="1" xfId="38" applyNumberFormat="1" applyFont="1" applyFill="1" applyBorder="1" applyAlignment="1" applyProtection="1">
      <alignment horizontal="right" vertical="center" wrapText="1"/>
      <protection locked="0"/>
    </xf>
    <xf numFmtId="0" fontId="91" fillId="0" borderId="1" xfId="0" applyFont="1" applyBorder="1" applyAlignment="1" applyProtection="1">
      <alignment vertical="center" wrapText="1"/>
      <protection locked="0"/>
    </xf>
    <xf numFmtId="0" fontId="91" fillId="0" borderId="1" xfId="0" applyFont="1" applyBorder="1" applyAlignment="1" applyProtection="1">
      <alignment horizontal="left" vertical="center" wrapText="1"/>
      <protection locked="0"/>
    </xf>
    <xf numFmtId="2" fontId="75" fillId="0" borderId="1" xfId="8" applyNumberFormat="1" applyFont="1" applyBorder="1" applyAlignment="1" applyProtection="1">
      <alignment horizontal="right" vertical="center" wrapText="1"/>
      <protection locked="0"/>
    </xf>
    <xf numFmtId="2" fontId="72" fillId="0" borderId="1" xfId="38" applyNumberFormat="1" applyFont="1" applyFill="1" applyBorder="1" applyAlignment="1" applyProtection="1">
      <alignment horizontal="right" vertical="center" wrapText="1"/>
      <protection locked="0"/>
    </xf>
    <xf numFmtId="0" fontId="77" fillId="27" borderId="1" xfId="0" applyFont="1" applyFill="1" applyBorder="1" applyAlignment="1" applyProtection="1">
      <alignment horizontal="left" vertical="center" wrapText="1"/>
      <protection locked="0"/>
    </xf>
    <xf numFmtId="2" fontId="77" fillId="0" borderId="1" xfId="8" applyNumberFormat="1" applyFont="1" applyBorder="1" applyAlignment="1" applyProtection="1">
      <alignment horizontal="right" vertical="center" wrapText="1"/>
      <protection locked="0"/>
    </xf>
    <xf numFmtId="0" fontId="79" fillId="2" borderId="1" xfId="0" applyFont="1" applyFill="1" applyBorder="1" applyAlignment="1" applyProtection="1">
      <alignment horizontal="left" vertical="center" wrapText="1"/>
      <protection locked="0"/>
    </xf>
    <xf numFmtId="0" fontId="75" fillId="0" borderId="0" xfId="0" applyFont="1" applyAlignment="1" applyProtection="1">
      <alignment vertical="center" wrapText="1"/>
      <protection locked="0"/>
    </xf>
    <xf numFmtId="2" fontId="77" fillId="4" borderId="1" xfId="8" applyNumberFormat="1" applyFont="1" applyFill="1" applyBorder="1" applyAlignment="1" applyProtection="1">
      <alignment horizontal="left" vertical="center" wrapText="1"/>
      <protection locked="0"/>
    </xf>
    <xf numFmtId="0" fontId="77" fillId="28" borderId="1" xfId="4" applyFont="1" applyFill="1" applyBorder="1" applyAlignment="1" applyProtection="1">
      <alignment horizontal="right" vertical="center" wrapText="1"/>
      <protection locked="0"/>
    </xf>
    <xf numFmtId="0" fontId="77" fillId="0" borderId="1" xfId="11" applyFont="1" applyFill="1" applyBorder="1" applyAlignment="1" applyProtection="1">
      <alignment horizontal="left" vertical="center" wrapText="1"/>
      <protection locked="0"/>
    </xf>
    <xf numFmtId="0" fontId="75" fillId="0" borderId="1" xfId="87" applyFont="1" applyFill="1" applyBorder="1" applyAlignment="1" applyProtection="1">
      <alignment horizontal="center" vertical="center"/>
      <protection locked="0"/>
    </xf>
    <xf numFmtId="0" fontId="77" fillId="36" borderId="1" xfId="4" applyFont="1" applyFill="1" applyBorder="1" applyAlignment="1" applyProtection="1">
      <alignment vertical="center" wrapText="1"/>
      <protection locked="0"/>
    </xf>
    <xf numFmtId="0" fontId="77" fillId="36" borderId="1" xfId="4" applyFont="1" applyFill="1" applyBorder="1" applyAlignment="1" applyProtection="1">
      <alignment horizontal="left" vertical="center" wrapText="1"/>
      <protection locked="0"/>
    </xf>
    <xf numFmtId="0" fontId="75" fillId="0" borderId="1" xfId="0" applyFont="1" applyFill="1" applyBorder="1" applyAlignment="1">
      <alignment vertical="center"/>
    </xf>
    <xf numFmtId="0" fontId="43" fillId="0" borderId="1" xfId="97" applyFont="1" applyBorder="1" applyAlignment="1" applyProtection="1">
      <alignment horizontal="center" vertical="center" wrapText="1"/>
    </xf>
    <xf numFmtId="0" fontId="43" fillId="0" borderId="1" xfId="97" applyFont="1" applyFill="1" applyBorder="1" applyAlignment="1" applyProtection="1">
      <alignment horizontal="center" vertical="center" wrapText="1"/>
    </xf>
    <xf numFmtId="0" fontId="77" fillId="36" borderId="1" xfId="4" applyFont="1" applyFill="1" applyBorder="1" applyAlignment="1" applyProtection="1">
      <alignment horizontal="center" vertical="center" wrapText="1"/>
      <protection locked="0"/>
    </xf>
    <xf numFmtId="0" fontId="75" fillId="0" borderId="1" xfId="4" applyFont="1" applyFill="1" applyBorder="1" applyAlignment="1" applyProtection="1">
      <alignment horizontal="center" vertical="center" wrapText="1"/>
      <protection locked="0"/>
    </xf>
    <xf numFmtId="0" fontId="77" fillId="0" borderId="1" xfId="11" applyFont="1" applyFill="1" applyBorder="1" applyAlignment="1" applyProtection="1">
      <alignment horizontal="center" vertical="center" wrapText="1"/>
      <protection locked="0"/>
    </xf>
    <xf numFmtId="0" fontId="43" fillId="0" borderId="1" xfId="9" applyFont="1" applyFill="1" applyBorder="1" applyAlignment="1" applyProtection="1">
      <alignment horizontal="center" vertical="center" wrapText="1"/>
      <protection locked="0"/>
    </xf>
    <xf numFmtId="0" fontId="71" fillId="0" borderId="1" xfId="4" applyFont="1" applyFill="1" applyBorder="1" applyAlignment="1" applyProtection="1">
      <alignment vertical="center" wrapText="1"/>
      <protection locked="0"/>
    </xf>
    <xf numFmtId="0" fontId="71" fillId="0" borderId="1" xfId="4" applyFont="1" applyFill="1" applyBorder="1" applyAlignment="1" applyProtection="1">
      <alignment horizontal="left" vertical="center" wrapText="1"/>
      <protection locked="0"/>
    </xf>
    <xf numFmtId="0" fontId="72" fillId="27" borderId="1" xfId="9" applyFont="1" applyFill="1" applyBorder="1" applyAlignment="1" applyProtection="1">
      <alignment horizontal="center" vertical="center" wrapText="1"/>
      <protection locked="0"/>
    </xf>
    <xf numFmtId="0" fontId="75" fillId="27" borderId="1" xfId="8" applyFont="1" applyFill="1" applyBorder="1" applyAlignment="1" applyProtection="1">
      <alignment horizontal="center" vertical="center" wrapText="1"/>
      <protection locked="0"/>
    </xf>
    <xf numFmtId="0" fontId="75" fillId="0" borderId="1" xfId="9" applyFont="1" applyBorder="1" applyAlignment="1" applyProtection="1">
      <alignment horizontal="center" vertical="center" wrapText="1"/>
      <protection locked="0"/>
    </xf>
    <xf numFmtId="0" fontId="75" fillId="4" borderId="1" xfId="9" applyFont="1" applyFill="1" applyBorder="1" applyAlignment="1" applyProtection="1">
      <alignment horizontal="center" vertical="center" wrapText="1"/>
      <protection locked="0"/>
    </xf>
    <xf numFmtId="0" fontId="72" fillId="2" borderId="1" xfId="8" applyFont="1" applyFill="1" applyBorder="1" applyAlignment="1" applyProtection="1">
      <alignment horizontal="center" vertical="center" wrapText="1"/>
      <protection locked="0"/>
    </xf>
    <xf numFmtId="0" fontId="72" fillId="27" borderId="1" xfId="9" applyFont="1" applyFill="1" applyBorder="1" applyAlignment="1" applyProtection="1">
      <alignment horizontal="left" vertical="center" wrapText="1"/>
      <protection locked="0"/>
    </xf>
    <xf numFmtId="0" fontId="75" fillId="4" borderId="1" xfId="9" applyFont="1" applyFill="1" applyBorder="1" applyAlignment="1" applyProtection="1">
      <alignment horizontal="left" vertical="center" wrapText="1"/>
      <protection locked="0"/>
    </xf>
    <xf numFmtId="43" fontId="43" fillId="2" borderId="1" xfId="1" applyFont="1" applyFill="1" applyBorder="1" applyAlignment="1" applyProtection="1">
      <alignment horizontal="center" vertical="center" wrapText="1"/>
      <protection locked="0"/>
    </xf>
    <xf numFmtId="2" fontId="43" fillId="28" borderId="1" xfId="8" applyNumberFormat="1" applyFont="1" applyFill="1" applyBorder="1" applyAlignment="1" applyProtection="1">
      <alignment vertical="center" wrapText="1"/>
      <protection locked="0"/>
    </xf>
    <xf numFmtId="0" fontId="75" fillId="0" borderId="1" xfId="9" applyFont="1" applyFill="1" applyBorder="1" applyAlignment="1" applyProtection="1">
      <alignment horizontal="center" vertical="center" wrapText="1"/>
      <protection locked="0"/>
    </xf>
    <xf numFmtId="1" fontId="43" fillId="0" borderId="1" xfId="9" applyNumberFormat="1" applyFont="1" applyFill="1" applyBorder="1" applyAlignment="1" applyProtection="1">
      <alignment horizontal="center" vertical="center" wrapText="1"/>
      <protection locked="0"/>
    </xf>
    <xf numFmtId="0" fontId="72" fillId="36" borderId="1" xfId="8" applyFont="1" applyFill="1" applyBorder="1" applyAlignment="1" applyProtection="1">
      <alignment horizontal="center" vertical="center" wrapText="1"/>
      <protection locked="0"/>
    </xf>
    <xf numFmtId="0" fontId="72" fillId="0" borderId="1" xfId="9" applyFont="1" applyBorder="1" applyAlignment="1" applyProtection="1">
      <alignment vertical="center" wrapText="1"/>
      <protection locked="0"/>
    </xf>
    <xf numFmtId="0" fontId="79" fillId="2" borderId="1" xfId="9" applyFont="1" applyFill="1" applyBorder="1" applyAlignment="1" applyProtection="1">
      <alignment vertical="center" wrapText="1"/>
      <protection locked="0"/>
    </xf>
    <xf numFmtId="2" fontId="43" fillId="0" borderId="1" xfId="8" applyNumberFormat="1" applyFont="1" applyFill="1" applyBorder="1" applyAlignment="1" applyProtection="1">
      <alignment vertical="center" wrapText="1"/>
      <protection locked="0"/>
    </xf>
    <xf numFmtId="2" fontId="72" fillId="0" borderId="1" xfId="8" applyNumberFormat="1" applyFont="1" applyFill="1" applyBorder="1" applyAlignment="1" applyProtection="1">
      <alignment vertical="center" wrapText="1"/>
      <protection locked="0"/>
    </xf>
    <xf numFmtId="0" fontId="79" fillId="0" borderId="1" xfId="0" applyFont="1" applyFill="1" applyBorder="1" applyAlignment="1" applyProtection="1">
      <alignment horizontal="left" vertical="center" wrapText="1"/>
      <protection locked="0"/>
    </xf>
    <xf numFmtId="2" fontId="43" fillId="0" borderId="1" xfId="9" applyNumberFormat="1" applyFont="1" applyFill="1" applyBorder="1" applyAlignment="1" applyProtection="1">
      <alignment vertical="center" wrapText="1"/>
      <protection locked="0"/>
    </xf>
    <xf numFmtId="2" fontId="72" fillId="36" borderId="1" xfId="4" applyNumberFormat="1" applyFont="1" applyFill="1" applyBorder="1" applyAlignment="1" applyProtection="1">
      <alignment horizontal="right" vertical="center" wrapText="1"/>
      <protection locked="0"/>
    </xf>
    <xf numFmtId="0" fontId="79" fillId="36" borderId="1" xfId="9" applyFont="1" applyFill="1" applyBorder="1" applyAlignment="1" applyProtection="1">
      <alignment vertical="center" wrapText="1"/>
      <protection locked="0"/>
    </xf>
    <xf numFmtId="0" fontId="79" fillId="36" borderId="1" xfId="0" applyFont="1" applyFill="1" applyBorder="1" applyAlignment="1" applyProtection="1">
      <alignment horizontal="left" vertical="center" wrapText="1"/>
      <protection locked="0"/>
    </xf>
    <xf numFmtId="0" fontId="71" fillId="0" borderId="1" xfId="38" applyFont="1" applyFill="1" applyBorder="1" applyAlignment="1" applyProtection="1">
      <alignment horizontal="left" vertical="center" wrapText="1"/>
      <protection locked="0"/>
    </xf>
    <xf numFmtId="0" fontId="79" fillId="36" borderId="1" xfId="38" applyFont="1" applyFill="1" applyBorder="1" applyAlignment="1" applyProtection="1">
      <alignment horizontal="center" vertical="center" wrapText="1"/>
      <protection locked="0"/>
    </xf>
    <xf numFmtId="0" fontId="79" fillId="36" borderId="1" xfId="38" applyFont="1" applyFill="1" applyBorder="1" applyAlignment="1" applyProtection="1">
      <alignment horizontal="left" vertical="center" wrapText="1"/>
      <protection locked="0"/>
    </xf>
    <xf numFmtId="43" fontId="77" fillId="2" borderId="1" xfId="1" applyFont="1" applyFill="1" applyBorder="1" applyAlignment="1" applyProtection="1">
      <alignment vertical="center" wrapText="1"/>
    </xf>
    <xf numFmtId="43" fontId="75" fillId="0" borderId="1" xfId="1" applyFont="1" applyFill="1" applyBorder="1" applyAlignment="1" applyProtection="1">
      <alignment horizontal="left" vertical="center" wrapText="1"/>
    </xf>
    <xf numFmtId="2" fontId="75" fillId="0" borderId="1" xfId="0" applyNumberFormat="1" applyFont="1" applyFill="1" applyBorder="1" applyAlignment="1">
      <alignment vertical="center"/>
    </xf>
    <xf numFmtId="0" fontId="43" fillId="2" borderId="1" xfId="11" applyFont="1" applyFill="1" applyBorder="1" applyAlignment="1" applyProtection="1">
      <alignment horizontal="left" vertical="center" wrapText="1"/>
      <protection locked="0"/>
    </xf>
    <xf numFmtId="0" fontId="72" fillId="2" borderId="1" xfId="11" applyFont="1" applyFill="1" applyBorder="1" applyAlignment="1" applyProtection="1">
      <alignment horizontal="left" vertical="center" wrapText="1"/>
      <protection locked="0"/>
    </xf>
    <xf numFmtId="2" fontId="43" fillId="36" borderId="1" xfId="4" applyNumberFormat="1" applyFont="1" applyFill="1" applyBorder="1" applyAlignment="1" applyProtection="1">
      <alignment horizontal="center" vertical="center" wrapText="1"/>
      <protection locked="0"/>
    </xf>
    <xf numFmtId="0" fontId="72" fillId="0" borderId="1" xfId="11" applyFont="1" applyFill="1" applyBorder="1" applyAlignment="1" applyProtection="1">
      <alignment vertical="center" wrapText="1"/>
      <protection locked="0"/>
    </xf>
    <xf numFmtId="2" fontId="43" fillId="41" borderId="1" xfId="4" applyNumberFormat="1" applyFont="1" applyFill="1" applyBorder="1" applyAlignment="1" applyProtection="1">
      <alignment horizontal="center" vertical="center" wrapText="1"/>
      <protection locked="0"/>
    </xf>
    <xf numFmtId="43" fontId="43" fillId="41" borderId="1" xfId="1" applyFont="1" applyFill="1" applyBorder="1" applyAlignment="1" applyProtection="1">
      <alignment horizontal="right" vertical="center" wrapText="1"/>
    </xf>
    <xf numFmtId="0" fontId="43" fillId="41" borderId="1" xfId="11" applyFont="1" applyFill="1" applyBorder="1" applyAlignment="1" applyProtection="1">
      <alignment horizontal="left" vertical="center"/>
    </xf>
    <xf numFmtId="43" fontId="43" fillId="41" borderId="1" xfId="1" applyFont="1" applyFill="1" applyBorder="1" applyAlignment="1" applyProtection="1">
      <alignment horizontal="right" vertical="center"/>
    </xf>
    <xf numFmtId="0" fontId="73" fillId="41" borderId="1" xfId="11" applyFont="1" applyFill="1" applyBorder="1" applyAlignment="1" applyProtection="1">
      <alignment horizontal="left" vertical="center" wrapText="1"/>
    </xf>
    <xf numFmtId="0" fontId="43" fillId="0" borderId="1" xfId="11" applyFont="1" applyBorder="1" applyAlignment="1" applyProtection="1">
      <alignment vertical="center"/>
      <protection locked="0"/>
    </xf>
    <xf numFmtId="0" fontId="43" fillId="0" borderId="1" xfId="11" applyFont="1" applyBorder="1" applyAlignment="1" applyProtection="1">
      <alignment horizontal="left" vertical="center"/>
      <protection locked="0"/>
    </xf>
    <xf numFmtId="0" fontId="43" fillId="0" borderId="1" xfId="11" applyFont="1" applyBorder="1" applyAlignment="1" applyProtection="1">
      <alignment horizontal="left" vertical="center" wrapText="1"/>
      <protection locked="0"/>
    </xf>
    <xf numFmtId="0" fontId="43" fillId="36" borderId="1" xfId="11" applyFont="1" applyFill="1" applyBorder="1" applyAlignment="1" applyProtection="1">
      <alignment vertical="center"/>
      <protection locked="0"/>
    </xf>
    <xf numFmtId="0" fontId="72" fillId="36" borderId="1" xfId="11" applyFont="1" applyFill="1" applyBorder="1" applyAlignment="1" applyProtection="1">
      <alignment vertical="center"/>
      <protection locked="0"/>
    </xf>
    <xf numFmtId="0" fontId="43" fillId="36" borderId="1" xfId="11" applyFont="1" applyFill="1" applyBorder="1" applyAlignment="1" applyProtection="1">
      <alignment horizontal="left" vertical="center"/>
      <protection locked="0"/>
    </xf>
    <xf numFmtId="0" fontId="72" fillId="0" borderId="1" xfId="11" applyFont="1" applyFill="1" applyBorder="1" applyAlignment="1" applyProtection="1">
      <alignment vertical="center"/>
      <protection locked="0"/>
    </xf>
    <xf numFmtId="0" fontId="72" fillId="0" borderId="1" xfId="11" applyFont="1" applyFill="1" applyBorder="1" applyAlignment="1" applyProtection="1">
      <alignment horizontal="left" vertical="center"/>
      <protection locked="0"/>
    </xf>
    <xf numFmtId="0" fontId="43" fillId="0" borderId="1" xfId="11" applyFont="1" applyFill="1" applyBorder="1" applyAlignment="1" applyProtection="1">
      <alignment vertical="center"/>
      <protection locked="0"/>
    </xf>
    <xf numFmtId="0" fontId="43" fillId="0" borderId="1" xfId="11" applyFont="1" applyFill="1" applyBorder="1" applyAlignment="1" applyProtection="1">
      <alignment horizontal="left" vertical="center"/>
      <protection locked="0"/>
    </xf>
    <xf numFmtId="0" fontId="43" fillId="0" borderId="1" xfId="11" applyFont="1" applyFill="1" applyBorder="1" applyAlignment="1" applyProtection="1">
      <alignment vertical="center" wrapText="1"/>
      <protection locked="0"/>
    </xf>
    <xf numFmtId="0" fontId="43" fillId="0" borderId="1" xfId="11" applyFont="1" applyFill="1" applyBorder="1" applyAlignment="1" applyProtection="1">
      <alignment horizontal="left" vertical="center" wrapText="1"/>
      <protection locked="0"/>
    </xf>
    <xf numFmtId="2" fontId="72" fillId="0" borderId="1" xfId="4" applyNumberFormat="1" applyFont="1" applyFill="1" applyBorder="1" applyAlignment="1" applyProtection="1">
      <alignment horizontal="center" vertical="center" wrapText="1"/>
      <protection locked="0"/>
    </xf>
    <xf numFmtId="0" fontId="72" fillId="0" borderId="1" xfId="11" applyFont="1" applyFill="1" applyBorder="1" applyAlignment="1" applyProtection="1">
      <alignment horizontal="right" vertical="center"/>
      <protection locked="0"/>
    </xf>
    <xf numFmtId="0" fontId="72" fillId="28" borderId="1" xfId="11" applyFont="1" applyFill="1" applyBorder="1" applyAlignment="1" applyProtection="1">
      <alignment horizontal="left" vertical="center" wrapText="1"/>
      <protection locked="0"/>
    </xf>
    <xf numFmtId="0" fontId="72" fillId="0" borderId="1" xfId="11" applyFont="1" applyFill="1" applyBorder="1" applyAlignment="1" applyProtection="1">
      <alignment horizontal="left" vertical="center" wrapText="1"/>
      <protection locked="0"/>
    </xf>
    <xf numFmtId="43" fontId="43" fillId="0" borderId="1" xfId="1" applyFont="1" applyFill="1" applyBorder="1" applyAlignment="1" applyProtection="1">
      <alignment horizontal="left" vertical="center"/>
    </xf>
    <xf numFmtId="0" fontId="55" fillId="10" borderId="13" xfId="0" applyFont="1" applyFill="1" applyBorder="1" applyAlignment="1">
      <alignment horizontal="center" vertical="center" wrapText="1"/>
    </xf>
    <xf numFmtId="43" fontId="95" fillId="0" borderId="1" xfId="1" applyFont="1" applyBorder="1" applyAlignment="1">
      <alignment vertical="center"/>
    </xf>
    <xf numFmtId="43" fontId="0" fillId="0" borderId="1" xfId="1" applyFont="1" applyBorder="1"/>
    <xf numFmtId="43" fontId="94" fillId="0" borderId="1" xfId="1" applyFont="1" applyBorder="1" applyAlignment="1">
      <alignment vertical="center"/>
    </xf>
    <xf numFmtId="43" fontId="75" fillId="0" borderId="2" xfId="1" applyFont="1" applyBorder="1" applyAlignment="1">
      <alignment vertical="center" wrapText="1"/>
    </xf>
    <xf numFmtId="0" fontId="88" fillId="0" borderId="1" xfId="0" applyFont="1" applyBorder="1" applyAlignment="1">
      <alignment vertical="center" wrapText="1"/>
    </xf>
    <xf numFmtId="43" fontId="59" fillId="8" borderId="1" xfId="1" applyFont="1" applyFill="1" applyBorder="1"/>
    <xf numFmtId="43" fontId="59" fillId="36" borderId="1" xfId="1" applyFont="1" applyFill="1" applyBorder="1" applyAlignment="1"/>
    <xf numFmtId="43" fontId="90" fillId="0" borderId="1" xfId="1" applyFont="1" applyBorder="1" applyAlignment="1">
      <alignment horizontal="left" vertical="center" wrapText="1" readingOrder="1"/>
    </xf>
    <xf numFmtId="43" fontId="50" fillId="0" borderId="1" xfId="1" applyFont="1" applyBorder="1" applyAlignment="1">
      <alignment vertical="center"/>
    </xf>
    <xf numFmtId="43" fontId="90" fillId="0" borderId="1" xfId="1" applyFont="1" applyFill="1" applyBorder="1" applyAlignment="1">
      <alignment horizontal="left" vertical="center" wrapText="1" readingOrder="1"/>
    </xf>
    <xf numFmtId="0" fontId="67" fillId="0" borderId="0" xfId="0" applyFont="1"/>
    <xf numFmtId="43" fontId="43" fillId="0" borderId="1" xfId="1" applyFont="1" applyBorder="1" applyAlignment="1">
      <alignment horizontal="justify" vertical="center" wrapText="1" readingOrder="1"/>
    </xf>
    <xf numFmtId="2" fontId="77" fillId="2" borderId="1" xfId="8" applyNumberFormat="1" applyFont="1" applyFill="1" applyBorder="1" applyAlignment="1" applyProtection="1">
      <alignment horizontal="right" vertical="center" wrapText="1"/>
    </xf>
    <xf numFmtId="43" fontId="89" fillId="0" borderId="5" xfId="1" applyFont="1" applyBorder="1" applyAlignment="1">
      <alignment horizontal="left" vertical="center" wrapText="1"/>
    </xf>
    <xf numFmtId="43" fontId="75" fillId="0" borderId="13" xfId="1" applyFont="1" applyBorder="1" applyAlignment="1">
      <alignment vertical="center"/>
    </xf>
    <xf numFmtId="43" fontId="75" fillId="0" borderId="13" xfId="1" applyFont="1" applyBorder="1" applyAlignment="1">
      <alignment vertical="center" wrapText="1"/>
    </xf>
    <xf numFmtId="43" fontId="84" fillId="0" borderId="13" xfId="1" applyFont="1" applyBorder="1" applyAlignment="1">
      <alignment vertical="center"/>
    </xf>
    <xf numFmtId="43" fontId="75" fillId="0" borderId="3" xfId="1" applyFont="1" applyBorder="1" applyAlignment="1">
      <alignment vertical="center"/>
    </xf>
    <xf numFmtId="43" fontId="84" fillId="0" borderId="3" xfId="1" applyFont="1" applyBorder="1" applyAlignment="1">
      <alignment vertical="center"/>
    </xf>
    <xf numFmtId="43" fontId="84" fillId="0" borderId="1" xfId="0" applyNumberFormat="1" applyFont="1" applyBorder="1" applyAlignment="1">
      <alignment vertical="center"/>
    </xf>
    <xf numFmtId="43" fontId="84" fillId="0" borderId="1" xfId="0" applyNumberFormat="1" applyFont="1" applyBorder="1" applyAlignment="1">
      <alignment vertical="center" wrapText="1"/>
    </xf>
    <xf numFmtId="0" fontId="55" fillId="28" borderId="1" xfId="0" applyFont="1" applyFill="1" applyBorder="1" applyAlignment="1">
      <alignment horizontal="left" vertical="center"/>
    </xf>
    <xf numFmtId="0" fontId="92" fillId="36" borderId="1" xfId="3" applyFont="1" applyFill="1" applyBorder="1" applyAlignment="1">
      <alignment horizontal="left"/>
    </xf>
    <xf numFmtId="0" fontId="0" fillId="0" borderId="0" xfId="0" applyAlignment="1">
      <alignment horizontal="left"/>
    </xf>
    <xf numFmtId="43" fontId="89" fillId="0" borderId="1" xfId="1" applyFont="1" applyBorder="1" applyAlignment="1">
      <alignment horizontal="left" wrapText="1"/>
    </xf>
    <xf numFmtId="43" fontId="90" fillId="0" borderId="1" xfId="1" applyFont="1" applyBorder="1" applyAlignment="1">
      <alignment horizontal="left" wrapText="1" readingOrder="1"/>
    </xf>
    <xf numFmtId="43" fontId="90" fillId="0" borderId="1" xfId="1" applyFont="1" applyFill="1" applyBorder="1" applyAlignment="1">
      <alignment horizontal="left" wrapText="1" readingOrder="1"/>
    </xf>
    <xf numFmtId="43" fontId="75" fillId="0" borderId="1" xfId="1" applyFont="1" applyBorder="1" applyAlignment="1" applyProtection="1">
      <alignment horizontal="left" vertical="center" wrapText="1"/>
    </xf>
    <xf numFmtId="0" fontId="77" fillId="2" borderId="1" xfId="11" applyFont="1" applyFill="1" applyBorder="1" applyAlignment="1" applyProtection="1">
      <alignment horizontal="left" vertical="center" wrapText="1"/>
      <protection locked="0"/>
    </xf>
    <xf numFmtId="43" fontId="75" fillId="0" borderId="1" xfId="1" applyFont="1" applyFill="1" applyBorder="1" applyAlignment="1" applyProtection="1">
      <alignment horizontal="left" vertical="center" wrapText="1"/>
      <protection locked="0"/>
    </xf>
    <xf numFmtId="0" fontId="77" fillId="2" borderId="1" xfId="38" applyFont="1" applyFill="1" applyBorder="1" applyAlignment="1" applyProtection="1">
      <alignment horizontal="left" vertical="center" wrapText="1"/>
      <protection locked="0"/>
    </xf>
    <xf numFmtId="43" fontId="75" fillId="0" borderId="1" xfId="1" applyFont="1" applyBorder="1" applyAlignment="1" applyProtection="1">
      <alignment vertical="center" wrapText="1"/>
      <protection locked="0"/>
    </xf>
    <xf numFmtId="0" fontId="77" fillId="23" borderId="1" xfId="11" applyFont="1" applyFill="1" applyBorder="1" applyAlignment="1" applyProtection="1">
      <alignment horizontal="left" vertical="center" wrapText="1"/>
      <protection locked="0"/>
    </xf>
    <xf numFmtId="43" fontId="77" fillId="23" borderId="1" xfId="1" applyFont="1" applyFill="1" applyBorder="1" applyAlignment="1" applyProtection="1">
      <alignment horizontal="center" vertical="center" wrapText="1"/>
      <protection locked="0"/>
    </xf>
    <xf numFmtId="0" fontId="41" fillId="0" borderId="3" xfId="38" applyFont="1" applyBorder="1" applyAlignment="1">
      <alignment horizontal="left" vertical="center" wrapText="1"/>
    </xf>
    <xf numFmtId="0" fontId="72" fillId="2" borderId="3" xfId="38" applyFont="1" applyFill="1" applyBorder="1" applyAlignment="1">
      <alignment horizontal="center" vertical="center" wrapText="1"/>
    </xf>
    <xf numFmtId="0" fontId="72" fillId="2" borderId="1" xfId="38" applyFont="1" applyFill="1" applyBorder="1" applyAlignment="1">
      <alignment horizontal="center" vertical="center" wrapText="1"/>
    </xf>
    <xf numFmtId="0" fontId="41" fillId="2" borderId="1" xfId="40" applyFont="1" applyFill="1" applyBorder="1" applyAlignment="1">
      <alignment horizontal="center" vertical="center" wrapText="1"/>
    </xf>
    <xf numFmtId="43" fontId="41" fillId="2" borderId="1" xfId="1" applyFont="1" applyFill="1" applyBorder="1" applyAlignment="1">
      <alignment horizontal="center" vertical="center" wrapText="1"/>
    </xf>
    <xf numFmtId="0" fontId="41" fillId="2" borderId="1" xfId="40" applyFont="1" applyFill="1" applyBorder="1" applyAlignment="1">
      <alignment horizontal="left" vertical="center" wrapText="1"/>
    </xf>
    <xf numFmtId="0" fontId="41" fillId="2" borderId="1" xfId="40" applyFont="1" applyFill="1" applyBorder="1" applyAlignment="1" applyProtection="1">
      <alignment horizontal="left" vertical="center" wrapText="1"/>
      <protection locked="0"/>
    </xf>
    <xf numFmtId="43" fontId="72" fillId="2" borderId="1" xfId="1" applyFont="1" applyFill="1" applyBorder="1" applyAlignment="1" applyProtection="1">
      <alignment horizontal="right" vertical="center" wrapText="1"/>
      <protection locked="0"/>
    </xf>
    <xf numFmtId="0" fontId="41" fillId="0" borderId="1" xfId="97" applyFont="1" applyFill="1" applyBorder="1" applyAlignment="1" applyProtection="1">
      <alignment horizontal="center" vertical="center" wrapText="1"/>
    </xf>
    <xf numFmtId="0" fontId="72" fillId="2" borderId="1" xfId="40" applyFont="1" applyFill="1" applyBorder="1" applyAlignment="1" applyProtection="1">
      <alignment horizontal="left" vertical="center" wrapText="1"/>
      <protection locked="0"/>
    </xf>
    <xf numFmtId="43" fontId="43" fillId="0" borderId="1" xfId="1" applyFont="1" applyFill="1" applyBorder="1" applyAlignment="1" applyProtection="1">
      <alignment horizontal="left" vertical="center" wrapText="1"/>
    </xf>
    <xf numFmtId="0" fontId="77" fillId="2" borderId="5" xfId="4" applyFont="1" applyFill="1" applyBorder="1" applyAlignment="1" applyProtection="1">
      <alignment horizontal="left" vertical="center" wrapText="1"/>
      <protection locked="0"/>
    </xf>
    <xf numFmtId="2" fontId="77" fillId="2" borderId="5" xfId="4" applyNumberFormat="1" applyFont="1" applyFill="1" applyBorder="1" applyAlignment="1" applyProtection="1">
      <alignment horizontal="left" vertical="center" wrapText="1"/>
    </xf>
    <xf numFmtId="2" fontId="75" fillId="4" borderId="5" xfId="8" applyNumberFormat="1" applyFont="1" applyFill="1" applyBorder="1" applyAlignment="1" applyProtection="1">
      <alignment horizontal="left" vertical="center" wrapText="1"/>
    </xf>
    <xf numFmtId="0" fontId="75" fillId="28" borderId="5" xfId="8" applyFont="1" applyFill="1" applyBorder="1" applyAlignment="1" applyProtection="1">
      <alignment horizontal="left" vertical="center" wrapText="1"/>
      <protection locked="0"/>
    </xf>
    <xf numFmtId="0" fontId="77" fillId="28" borderId="5" xfId="8" applyFont="1" applyFill="1" applyBorder="1" applyAlignment="1" applyProtection="1">
      <alignment horizontal="left" vertical="center" wrapText="1"/>
      <protection locked="0"/>
    </xf>
    <xf numFmtId="0" fontId="75" fillId="4" borderId="5" xfId="8" applyFont="1" applyFill="1" applyBorder="1" applyAlignment="1" applyProtection="1">
      <alignment horizontal="left" vertical="center" wrapText="1"/>
      <protection locked="0"/>
    </xf>
    <xf numFmtId="0" fontId="77" fillId="28" borderId="5" xfId="4" applyFont="1" applyFill="1" applyBorder="1" applyAlignment="1" applyProtection="1">
      <alignment horizontal="left" vertical="center" wrapText="1"/>
      <protection locked="0"/>
    </xf>
    <xf numFmtId="43" fontId="75" fillId="0" borderId="0" xfId="1" applyFont="1" applyAlignment="1">
      <alignment horizontal="right" vertical="center"/>
    </xf>
    <xf numFmtId="0" fontId="72" fillId="2" borderId="1" xfId="0" applyFont="1" applyFill="1" applyBorder="1" applyAlignment="1" applyProtection="1">
      <alignment horizontal="left" vertical="center" wrapText="1"/>
      <protection locked="0"/>
    </xf>
    <xf numFmtId="43" fontId="70" fillId="7" borderId="6" xfId="1" applyFont="1" applyFill="1" applyBorder="1" applyAlignment="1" applyProtection="1">
      <alignment horizontal="right" vertical="center" wrapText="1"/>
    </xf>
    <xf numFmtId="0" fontId="72" fillId="2" borderId="1" xfId="0" applyFont="1" applyFill="1" applyBorder="1" applyAlignment="1" applyProtection="1">
      <alignment horizontal="center" vertical="center" wrapText="1"/>
      <protection locked="0"/>
    </xf>
    <xf numFmtId="43" fontId="75" fillId="2" borderId="1" xfId="1" applyFont="1" applyFill="1" applyBorder="1" applyAlignment="1" applyProtection="1">
      <alignment horizontal="center" vertical="center"/>
      <protection locked="0"/>
    </xf>
    <xf numFmtId="0" fontId="41" fillId="0" borderId="1" xfId="5" applyFont="1" applyFill="1" applyBorder="1" applyAlignment="1" applyProtection="1">
      <alignment horizontal="left" vertical="center" wrapText="1"/>
    </xf>
    <xf numFmtId="0" fontId="77" fillId="4" borderId="5" xfId="4" applyFont="1" applyFill="1" applyBorder="1" applyAlignment="1" applyProtection="1">
      <alignment horizontal="left" vertical="center" wrapText="1"/>
      <protection locked="0"/>
    </xf>
    <xf numFmtId="0" fontId="43" fillId="0" borderId="5" xfId="0" applyFont="1" applyBorder="1" applyAlignment="1" applyProtection="1">
      <alignment horizontal="left" vertical="center" wrapText="1"/>
      <protection locked="0"/>
    </xf>
    <xf numFmtId="0" fontId="72" fillId="28" borderId="5" xfId="11" applyFont="1" applyFill="1" applyBorder="1" applyAlignment="1" applyProtection="1">
      <alignment horizontal="left" vertical="center" wrapText="1"/>
      <protection locked="0"/>
    </xf>
    <xf numFmtId="0" fontId="75" fillId="0" borderId="5" xfId="65" applyFont="1" applyBorder="1" applyAlignment="1" applyProtection="1">
      <alignment horizontal="left" vertical="center" wrapText="1"/>
      <protection locked="0"/>
    </xf>
    <xf numFmtId="0" fontId="75" fillId="0" borderId="5" xfId="71" applyFont="1" applyBorder="1" applyAlignment="1" applyProtection="1">
      <alignment horizontal="left" vertical="center" wrapText="1"/>
      <protection locked="0"/>
    </xf>
    <xf numFmtId="0" fontId="75" fillId="0" borderId="5" xfId="73" applyFont="1" applyBorder="1" applyAlignment="1" applyProtection="1">
      <alignment horizontal="left" vertical="center" wrapText="1"/>
      <protection locked="0"/>
    </xf>
    <xf numFmtId="0" fontId="75" fillId="0" borderId="5" xfId="75" applyFont="1" applyBorder="1" applyAlignment="1" applyProtection="1">
      <alignment horizontal="left" vertical="center" wrapText="1"/>
      <protection locked="0"/>
    </xf>
    <xf numFmtId="0" fontId="75" fillId="0" borderId="5" xfId="62" applyFont="1" applyBorder="1" applyAlignment="1" applyProtection="1">
      <alignment horizontal="left" vertical="center" wrapText="1"/>
      <protection locked="0"/>
    </xf>
    <xf numFmtId="0" fontId="75" fillId="0" borderId="5" xfId="62" applyFont="1" applyBorder="1" applyAlignment="1" applyProtection="1">
      <alignment horizontal="left" vertical="center"/>
      <protection locked="0"/>
    </xf>
    <xf numFmtId="0" fontId="75" fillId="0" borderId="5" xfId="77" applyFont="1" applyBorder="1" applyAlignment="1" applyProtection="1">
      <alignment horizontal="left" vertical="center" wrapText="1"/>
      <protection locked="0"/>
    </xf>
    <xf numFmtId="0" fontId="75" fillId="0" borderId="5" xfId="62" applyFont="1" applyFill="1" applyBorder="1" applyAlignment="1" applyProtection="1">
      <alignment horizontal="left" vertical="center" wrapText="1"/>
      <protection locked="0"/>
    </xf>
    <xf numFmtId="0" fontId="75" fillId="0" borderId="5" xfId="62" applyFont="1" applyFill="1" applyBorder="1" applyAlignment="1" applyProtection="1">
      <alignment horizontal="left" vertical="center"/>
      <protection locked="0"/>
    </xf>
    <xf numFmtId="0" fontId="72" fillId="2" borderId="5" xfId="4" applyFont="1" applyFill="1" applyBorder="1" applyAlignment="1" applyProtection="1">
      <alignment horizontal="left" vertical="center" wrapText="1"/>
      <protection locked="0"/>
    </xf>
    <xf numFmtId="0" fontId="43" fillId="0" borderId="5" xfId="82" applyFont="1" applyBorder="1" applyAlignment="1" applyProtection="1">
      <alignment horizontal="left" vertical="center"/>
      <protection locked="0"/>
    </xf>
    <xf numFmtId="0" fontId="43" fillId="0" borderId="5" xfId="82" applyFont="1" applyBorder="1" applyAlignment="1" applyProtection="1">
      <alignment horizontal="left" vertical="center" wrapText="1"/>
      <protection locked="0"/>
    </xf>
    <xf numFmtId="0" fontId="72" fillId="0" borderId="5" xfId="11" applyFont="1" applyFill="1" applyBorder="1" applyAlignment="1" applyProtection="1">
      <alignment horizontal="left" vertical="center" wrapText="1"/>
      <protection locked="0"/>
    </xf>
    <xf numFmtId="0" fontId="43" fillId="0" borderId="5" xfId="4" applyFont="1" applyBorder="1" applyAlignment="1" applyProtection="1">
      <alignment horizontal="left" vertical="center" wrapText="1"/>
      <protection locked="0"/>
    </xf>
    <xf numFmtId="0" fontId="72" fillId="2" borderId="1" xfId="40" applyFont="1" applyFill="1" applyBorder="1" applyAlignment="1" applyProtection="1">
      <alignment horizontal="left" vertical="center" wrapText="1"/>
    </xf>
    <xf numFmtId="0" fontId="72" fillId="2" borderId="1" xfId="40" applyFont="1" applyFill="1" applyBorder="1" applyAlignment="1" applyProtection="1">
      <alignment horizontal="center" vertical="center" wrapText="1"/>
    </xf>
    <xf numFmtId="43" fontId="72" fillId="0" borderId="13" xfId="1" applyFont="1" applyFill="1" applyBorder="1" applyAlignment="1" applyProtection="1">
      <alignment horizontal="center" vertical="center" wrapText="1"/>
    </xf>
    <xf numFmtId="0" fontId="75" fillId="0" borderId="5" xfId="87" applyFont="1" applyFill="1" applyBorder="1" applyAlignment="1" applyProtection="1">
      <alignment horizontal="left" vertical="center" wrapText="1"/>
      <protection locked="0"/>
    </xf>
    <xf numFmtId="0" fontId="75" fillId="0" borderId="5" xfId="87" applyFont="1" applyFill="1" applyBorder="1" applyAlignment="1" applyProtection="1">
      <alignment horizontal="left" vertical="center"/>
      <protection locked="0"/>
    </xf>
    <xf numFmtId="0" fontId="75" fillId="0" borderId="5" xfId="54" applyFont="1" applyFill="1" applyBorder="1" applyAlignment="1" applyProtection="1">
      <alignment horizontal="left" vertical="center" wrapText="1"/>
      <protection locked="0"/>
    </xf>
    <xf numFmtId="43" fontId="49" fillId="0" borderId="1" xfId="1" applyFont="1" applyFill="1" applyBorder="1" applyAlignment="1" applyProtection="1">
      <alignment horizontal="center" vertical="center" wrapText="1"/>
    </xf>
    <xf numFmtId="43" fontId="43" fillId="0" borderId="1" xfId="1" applyFont="1" applyBorder="1" applyAlignment="1" applyProtection="1">
      <alignment horizontal="left" vertical="center"/>
    </xf>
    <xf numFmtId="43" fontId="43" fillId="0" borderId="1" xfId="1" applyFont="1" applyFill="1" applyBorder="1" applyAlignment="1" applyProtection="1">
      <alignment horizontal="right" vertical="center" wrapText="1"/>
      <protection locked="0"/>
    </xf>
    <xf numFmtId="43" fontId="72" fillId="36" borderId="1" xfId="1" applyFont="1" applyFill="1" applyBorder="1" applyAlignment="1" applyProtection="1">
      <alignment horizontal="right" vertical="center" wrapText="1"/>
    </xf>
    <xf numFmtId="43" fontId="43" fillId="10" borderId="1" xfId="1" applyFont="1" applyFill="1" applyBorder="1" applyAlignment="1" applyProtection="1">
      <alignment horizontal="right" vertical="center" wrapText="1"/>
      <protection locked="0"/>
    </xf>
    <xf numFmtId="43" fontId="73" fillId="20" borderId="1" xfId="1" applyFont="1" applyFill="1" applyBorder="1" applyAlignment="1" applyProtection="1">
      <alignment horizontal="right" vertical="center" wrapText="1"/>
    </xf>
    <xf numFmtId="43" fontId="75" fillId="0" borderId="1" xfId="1" applyFont="1" applyBorder="1" applyAlignment="1">
      <alignment horizontal="right" vertical="center"/>
    </xf>
    <xf numFmtId="43" fontId="70" fillId="7" borderId="1" xfId="1" applyFont="1" applyFill="1" applyBorder="1" applyAlignment="1" applyProtection="1">
      <alignment horizontal="right" vertical="center" wrapText="1"/>
      <protection locked="0"/>
    </xf>
    <xf numFmtId="43" fontId="75" fillId="0" borderId="1" xfId="1" applyFont="1" applyBorder="1" applyAlignment="1" applyProtection="1">
      <alignment horizontal="right" vertical="center" wrapText="1"/>
      <protection locked="0"/>
    </xf>
    <xf numFmtId="43" fontId="77" fillId="2" borderId="1" xfId="1" applyFont="1" applyFill="1" applyBorder="1" applyAlignment="1" applyProtection="1">
      <alignment horizontal="right" vertical="center" wrapText="1"/>
    </xf>
    <xf numFmtId="43" fontId="75" fillId="0" borderId="1" xfId="1" applyFont="1" applyFill="1" applyBorder="1" applyAlignment="1" applyProtection="1">
      <alignment horizontal="right" vertical="center" wrapText="1"/>
      <protection locked="0"/>
    </xf>
    <xf numFmtId="43" fontId="72" fillId="0" borderId="1" xfId="1" applyFont="1" applyFill="1" applyBorder="1" applyAlignment="1" applyProtection="1">
      <alignment horizontal="right" vertical="center" wrapText="1"/>
      <protection locked="0"/>
    </xf>
    <xf numFmtId="43" fontId="77" fillId="2" borderId="1" xfId="1" applyFont="1" applyFill="1" applyBorder="1" applyAlignment="1" applyProtection="1">
      <alignment horizontal="right" vertical="center" wrapText="1"/>
      <protection locked="0"/>
    </xf>
    <xf numFmtId="43" fontId="77" fillId="4" borderId="1" xfId="1" applyFont="1" applyFill="1" applyBorder="1" applyAlignment="1">
      <alignment horizontal="right" vertical="center"/>
    </xf>
    <xf numFmtId="43" fontId="75" fillId="0" borderId="1" xfId="1" applyFont="1" applyBorder="1" applyAlignment="1" applyProtection="1">
      <alignment horizontal="right" vertical="center"/>
      <protection locked="0"/>
    </xf>
    <xf numFmtId="0" fontId="55" fillId="0" borderId="2" xfId="0" applyFont="1" applyBorder="1" applyAlignment="1">
      <alignment vertical="center"/>
    </xf>
    <xf numFmtId="0" fontId="89" fillId="34" borderId="1" xfId="0" applyFont="1" applyFill="1" applyBorder="1" applyAlignment="1">
      <alignment horizontal="center" vertical="center" wrapText="1" readingOrder="1"/>
    </xf>
    <xf numFmtId="43" fontId="89" fillId="0" borderId="1" xfId="1" applyFont="1" applyBorder="1" applyAlignment="1">
      <alignment horizontal="center" vertical="center" wrapText="1" readingOrder="1"/>
    </xf>
    <xf numFmtId="0" fontId="88" fillId="0" borderId="2" xfId="0" applyFont="1" applyBorder="1" applyAlignment="1">
      <alignment horizontal="left" vertical="center" wrapText="1"/>
    </xf>
    <xf numFmtId="43" fontId="89" fillId="0" borderId="1" xfId="1" applyFont="1" applyBorder="1" applyAlignment="1">
      <alignment horizontal="left" vertical="center" wrapText="1"/>
    </xf>
    <xf numFmtId="0" fontId="41" fillId="0" borderId="1" xfId="38" applyFont="1" applyFill="1" applyBorder="1" applyAlignment="1" applyProtection="1">
      <alignment horizontal="center" vertical="center" wrapText="1"/>
    </xf>
    <xf numFmtId="0" fontId="77" fillId="2" borderId="1" xfId="4" applyFont="1" applyFill="1" applyBorder="1" applyAlignment="1" applyProtection="1">
      <alignment vertical="center"/>
      <protection locked="0"/>
    </xf>
    <xf numFmtId="0" fontId="72" fillId="2" borderId="1" xfId="4" applyFont="1" applyFill="1" applyBorder="1" applyAlignment="1" applyProtection="1">
      <alignment horizontal="center" vertical="center"/>
      <protection locked="0"/>
    </xf>
    <xf numFmtId="0" fontId="77" fillId="2" borderId="1" xfId="4" applyFont="1" applyFill="1" applyBorder="1" applyAlignment="1" applyProtection="1">
      <alignment horizontal="center" vertical="center"/>
      <protection locked="0"/>
    </xf>
    <xf numFmtId="0" fontId="77" fillId="2" borderId="1" xfId="4" applyFont="1" applyFill="1" applyBorder="1" applyAlignment="1" applyProtection="1">
      <alignment horizontal="left" vertical="center"/>
      <protection locked="0"/>
    </xf>
    <xf numFmtId="0" fontId="75" fillId="4" borderId="1" xfId="8" applyFont="1" applyFill="1" applyBorder="1" applyAlignment="1" applyProtection="1">
      <alignment vertical="center"/>
      <protection locked="0"/>
    </xf>
    <xf numFmtId="0" fontId="43" fillId="4" borderId="1" xfId="8" applyFont="1" applyFill="1" applyBorder="1" applyAlignment="1" applyProtection="1">
      <alignment horizontal="center" vertical="center"/>
      <protection locked="0"/>
    </xf>
    <xf numFmtId="0" fontId="77" fillId="4" borderId="1" xfId="8" applyFont="1" applyFill="1" applyBorder="1" applyAlignment="1" applyProtection="1">
      <alignment horizontal="center" vertical="center"/>
      <protection locked="0"/>
    </xf>
    <xf numFmtId="0" fontId="75" fillId="4" borderId="1" xfId="8" applyFont="1" applyFill="1" applyBorder="1" applyAlignment="1" applyProtection="1">
      <alignment horizontal="left" vertical="center"/>
      <protection locked="0"/>
    </xf>
    <xf numFmtId="0" fontId="75" fillId="0" borderId="1" xfId="8" applyFont="1" applyFill="1" applyBorder="1" applyAlignment="1" applyProtection="1">
      <alignment vertical="center"/>
      <protection locked="0"/>
    </xf>
    <xf numFmtId="43" fontId="47" fillId="0" borderId="1" xfId="1" applyFont="1" applyFill="1" applyBorder="1" applyAlignment="1" applyProtection="1">
      <alignment horizontal="right" vertical="center"/>
    </xf>
    <xf numFmtId="2" fontId="75" fillId="0" borderId="1" xfId="8" applyNumberFormat="1" applyFont="1" applyFill="1" applyBorder="1" applyAlignment="1" applyProtection="1">
      <alignment horizontal="right" vertical="center"/>
    </xf>
    <xf numFmtId="2" fontId="75" fillId="0" borderId="1" xfId="8" applyNumberFormat="1" applyFont="1" applyFill="1" applyBorder="1" applyAlignment="1" applyProtection="1">
      <alignment vertical="center"/>
    </xf>
    <xf numFmtId="2" fontId="77" fillId="0" borderId="1" xfId="8" applyNumberFormat="1" applyFont="1" applyFill="1" applyBorder="1" applyAlignment="1" applyProtection="1">
      <alignment vertical="center"/>
    </xf>
    <xf numFmtId="0" fontId="75" fillId="0" borderId="1" xfId="8" applyFont="1" applyBorder="1" applyAlignment="1" applyProtection="1">
      <alignment vertical="center"/>
      <protection locked="0"/>
    </xf>
    <xf numFmtId="0" fontId="47" fillId="0" borderId="1" xfId="8" applyFont="1" applyBorder="1" applyAlignment="1" applyProtection="1">
      <alignment horizontal="center" vertical="center"/>
      <protection locked="0"/>
    </xf>
    <xf numFmtId="43" fontId="47" fillId="0" borderId="1" xfId="1" applyFont="1" applyBorder="1" applyAlignment="1" applyProtection="1">
      <alignment horizontal="right" vertical="center"/>
    </xf>
    <xf numFmtId="0" fontId="75" fillId="0" borderId="1" xfId="8" applyFont="1" applyBorder="1" applyAlignment="1" applyProtection="1">
      <alignment horizontal="left" vertical="center"/>
      <protection locked="0"/>
    </xf>
    <xf numFmtId="2" fontId="75" fillId="0" borderId="1" xfId="8" applyNumberFormat="1" applyFont="1" applyBorder="1" applyAlignment="1" applyProtection="1">
      <alignment vertical="center"/>
    </xf>
    <xf numFmtId="2" fontId="77" fillId="4" borderId="1" xfId="8" applyNumberFormat="1" applyFont="1" applyFill="1" applyBorder="1" applyAlignment="1" applyProtection="1">
      <alignment vertical="center"/>
    </xf>
    <xf numFmtId="0" fontId="71" fillId="0" borderId="1" xfId="8" applyFont="1" applyBorder="1" applyAlignment="1" applyProtection="1">
      <alignment vertical="center"/>
      <protection locked="0"/>
    </xf>
    <xf numFmtId="0" fontId="71" fillId="0" borderId="1" xfId="8" applyFont="1" applyBorder="1" applyAlignment="1" applyProtection="1">
      <alignment horizontal="center" vertical="center"/>
      <protection locked="0"/>
    </xf>
    <xf numFmtId="0" fontId="75" fillId="0" borderId="1" xfId="8" applyFont="1" applyBorder="1" applyAlignment="1" applyProtection="1">
      <alignment horizontal="left" vertical="center"/>
    </xf>
    <xf numFmtId="0" fontId="75" fillId="0" borderId="1" xfId="8" applyFont="1" applyFill="1" applyBorder="1" applyAlignment="1" applyProtection="1">
      <alignment vertical="center"/>
    </xf>
    <xf numFmtId="2" fontId="77" fillId="0" borderId="1" xfId="8" applyNumberFormat="1" applyFont="1" applyFill="1" applyBorder="1" applyAlignment="1" applyProtection="1">
      <alignment horizontal="right" vertical="center"/>
    </xf>
    <xf numFmtId="43" fontId="43" fillId="0" borderId="1" xfId="1" applyFont="1" applyBorder="1" applyAlignment="1" applyProtection="1">
      <alignment horizontal="right" vertical="center"/>
    </xf>
    <xf numFmtId="2" fontId="75" fillId="10" borderId="1" xfId="8" applyNumberFormat="1" applyFont="1" applyFill="1" applyBorder="1" applyAlignment="1" applyProtection="1">
      <alignment horizontal="right" vertical="center"/>
      <protection locked="0"/>
    </xf>
    <xf numFmtId="2" fontId="75" fillId="10" borderId="1" xfId="8" applyNumberFormat="1" applyFont="1" applyFill="1" applyBorder="1" applyAlignment="1" applyProtection="1">
      <alignment vertical="center"/>
      <protection locked="0"/>
    </xf>
    <xf numFmtId="0" fontId="77" fillId="0" borderId="1" xfId="8" applyFont="1" applyBorder="1" applyAlignment="1" applyProtection="1">
      <alignment vertical="center"/>
      <protection locked="0"/>
    </xf>
    <xf numFmtId="0" fontId="72" fillId="0" borderId="1" xfId="8" applyFont="1" applyBorder="1" applyAlignment="1" applyProtection="1">
      <alignment horizontal="center" vertical="center"/>
      <protection locked="0"/>
    </xf>
    <xf numFmtId="0" fontId="75" fillId="0" borderId="1" xfId="0" applyFont="1" applyBorder="1" applyAlignment="1" applyProtection="1">
      <alignment horizontal="left" vertical="center"/>
    </xf>
    <xf numFmtId="43" fontId="75" fillId="0" borderId="1" xfId="1" applyFont="1" applyBorder="1" applyAlignment="1" applyProtection="1">
      <alignment horizontal="left" vertical="center"/>
    </xf>
    <xf numFmtId="0" fontId="0" fillId="0" borderId="1" xfId="0" applyBorder="1" applyAlignment="1" applyProtection="1">
      <alignment vertical="center" wrapText="1"/>
      <protection locked="0"/>
    </xf>
    <xf numFmtId="0" fontId="0" fillId="0" borderId="1" xfId="0" applyBorder="1" applyAlignment="1" applyProtection="1">
      <alignment vertical="center"/>
      <protection locked="0"/>
    </xf>
    <xf numFmtId="0" fontId="59" fillId="8" borderId="1" xfId="3" applyFill="1" applyBorder="1" applyProtection="1"/>
    <xf numFmtId="0" fontId="51" fillId="0" borderId="1" xfId="0" applyFont="1" applyFill="1" applyBorder="1" applyAlignment="1" applyProtection="1">
      <alignment vertical="center" wrapText="1"/>
    </xf>
    <xf numFmtId="0" fontId="59" fillId="36" borderId="1" xfId="3" applyFill="1" applyBorder="1" applyAlignment="1" applyProtection="1"/>
    <xf numFmtId="0" fontId="59" fillId="0" borderId="1" xfId="3" applyFill="1" applyBorder="1" applyAlignment="1" applyProtection="1">
      <alignment horizontal="left" vertical="center" wrapText="1"/>
    </xf>
    <xf numFmtId="0" fontId="51" fillId="0" borderId="0" xfId="0" applyFont="1" applyBorder="1" applyAlignment="1" applyProtection="1">
      <alignment vertical="center"/>
    </xf>
    <xf numFmtId="0" fontId="64" fillId="0" borderId="1" xfId="8" applyFont="1" applyFill="1" applyBorder="1" applyAlignment="1" applyProtection="1">
      <alignment horizontal="left" vertical="center"/>
    </xf>
    <xf numFmtId="0" fontId="53" fillId="0" borderId="0" xfId="0" applyFont="1" applyAlignment="1" applyProtection="1">
      <alignment horizontal="center" vertical="center" wrapText="1"/>
    </xf>
    <xf numFmtId="0" fontId="53" fillId="0" borderId="0" xfId="0" applyFont="1" applyAlignment="1" applyProtection="1">
      <alignment wrapText="1"/>
    </xf>
    <xf numFmtId="0" fontId="53" fillId="0" borderId="0" xfId="0" applyFont="1" applyAlignment="1" applyProtection="1">
      <alignment vertical="center"/>
    </xf>
    <xf numFmtId="2" fontId="52" fillId="5" borderId="1" xfId="0" applyNumberFormat="1" applyFont="1" applyFill="1" applyBorder="1" applyAlignment="1" applyProtection="1">
      <alignment horizontal="center" vertical="center" wrapText="1"/>
    </xf>
    <xf numFmtId="2" fontId="52" fillId="5" borderId="1" xfId="4" applyNumberFormat="1" applyFont="1" applyFill="1" applyBorder="1" applyAlignment="1" applyProtection="1">
      <alignment horizontal="center" vertical="center" wrapText="1"/>
    </xf>
    <xf numFmtId="0" fontId="52" fillId="0" borderId="0" xfId="0" applyFont="1" applyAlignment="1" applyProtection="1">
      <alignment horizontal="center" vertical="center"/>
    </xf>
    <xf numFmtId="0" fontId="52" fillId="5" borderId="1" xfId="0" applyFont="1" applyFill="1" applyBorder="1" applyAlignment="1" applyProtection="1">
      <alignment horizontal="center" vertical="center"/>
    </xf>
    <xf numFmtId="1" fontId="52" fillId="6" borderId="5" xfId="4" applyNumberFormat="1" applyFont="1" applyFill="1" applyBorder="1" applyAlignment="1" applyProtection="1">
      <alignment horizontal="center" vertical="center" wrapText="1"/>
    </xf>
    <xf numFmtId="0" fontId="52" fillId="42" borderId="1" xfId="0" applyFont="1" applyFill="1" applyBorder="1" applyAlignment="1" applyProtection="1">
      <alignment horizontal="center" vertical="center" wrapText="1"/>
    </xf>
    <xf numFmtId="0" fontId="60" fillId="6" borderId="2" xfId="0" applyFont="1" applyFill="1" applyBorder="1" applyAlignment="1" applyProtection="1">
      <alignment vertical="center"/>
    </xf>
    <xf numFmtId="2" fontId="52" fillId="6" borderId="1" xfId="0" applyNumberFormat="1" applyFont="1" applyFill="1" applyBorder="1" applyAlignment="1" applyProtection="1">
      <alignment horizontal="center" vertical="center" wrapText="1"/>
    </xf>
    <xf numFmtId="2" fontId="52" fillId="6" borderId="1" xfId="4" applyNumberFormat="1" applyFont="1" applyFill="1" applyBorder="1" applyAlignment="1" applyProtection="1">
      <alignment horizontal="center" vertical="center" wrapText="1"/>
    </xf>
    <xf numFmtId="165" fontId="53" fillId="0" borderId="5" xfId="4" applyNumberFormat="1" applyFont="1" applyBorder="1" applyAlignment="1" applyProtection="1">
      <alignment horizontal="center" vertical="center" wrapText="1"/>
    </xf>
    <xf numFmtId="0" fontId="53" fillId="0" borderId="1" xfId="0" applyFont="1" applyBorder="1" applyAlignment="1" applyProtection="1">
      <alignment horizontal="center" vertical="center" wrapText="1"/>
    </xf>
    <xf numFmtId="2" fontId="53" fillId="0" borderId="2" xfId="4" applyNumberFormat="1" applyFont="1" applyBorder="1" applyAlignment="1" applyProtection="1">
      <alignment horizontal="left" vertical="center" wrapText="1"/>
    </xf>
    <xf numFmtId="2" fontId="52" fillId="0" borderId="1" xfId="0" applyNumberFormat="1" applyFont="1" applyBorder="1" applyAlignment="1" applyProtection="1">
      <alignment horizontal="center" vertical="center" wrapText="1"/>
    </xf>
    <xf numFmtId="2" fontId="53" fillId="0" borderId="1" xfId="4" applyNumberFormat="1" applyFont="1" applyBorder="1" applyAlignment="1" applyProtection="1">
      <alignment horizontal="center" vertical="center" wrapText="1"/>
    </xf>
    <xf numFmtId="2" fontId="53" fillId="0" borderId="1" xfId="4" applyNumberFormat="1" applyFont="1" applyFill="1" applyBorder="1" applyAlignment="1" applyProtection="1">
      <alignment horizontal="center" vertical="center" wrapText="1"/>
    </xf>
    <xf numFmtId="0" fontId="60" fillId="42" borderId="1" xfId="0" applyFont="1" applyFill="1" applyBorder="1" applyAlignment="1" applyProtection="1">
      <alignment horizontal="center" vertical="center" wrapText="1"/>
    </xf>
    <xf numFmtId="1" fontId="52" fillId="6" borderId="2" xfId="4" applyNumberFormat="1" applyFont="1" applyFill="1" applyBorder="1" applyAlignment="1" applyProtection="1">
      <alignment horizontal="left" vertical="center" wrapText="1"/>
    </xf>
    <xf numFmtId="165" fontId="53" fillId="0" borderId="2" xfId="4" applyNumberFormat="1" applyFont="1" applyBorder="1" applyAlignment="1" applyProtection="1">
      <alignment horizontal="left" vertical="center" wrapText="1"/>
    </xf>
    <xf numFmtId="0" fontId="52" fillId="6" borderId="5" xfId="0" applyFont="1" applyFill="1" applyBorder="1" applyAlignment="1" applyProtection="1">
      <alignment horizontal="center" vertical="center" wrapText="1"/>
    </xf>
    <xf numFmtId="0" fontId="53" fillId="0" borderId="5" xfId="0" applyFont="1" applyBorder="1" applyAlignment="1" applyProtection="1">
      <alignment horizontal="center" vertical="center" wrapText="1"/>
    </xf>
    <xf numFmtId="0" fontId="53" fillId="0" borderId="2" xfId="0" applyFont="1" applyBorder="1" applyAlignment="1" applyProtection="1">
      <alignment horizontal="left" vertical="center" wrapText="1"/>
    </xf>
    <xf numFmtId="2" fontId="53" fillId="0" borderId="1" xfId="0" applyNumberFormat="1" applyFont="1" applyFill="1" applyBorder="1" applyAlignment="1" applyProtection="1">
      <alignment horizontal="center" vertical="center" wrapText="1"/>
    </xf>
    <xf numFmtId="0" fontId="52" fillId="6" borderId="2" xfId="0" applyFont="1" applyFill="1" applyBorder="1" applyAlignment="1" applyProtection="1">
      <alignment horizontal="left" vertical="center" wrapText="1"/>
    </xf>
    <xf numFmtId="0" fontId="53" fillId="0" borderId="0" xfId="0" applyFont="1" applyProtection="1"/>
    <xf numFmtId="1" fontId="52" fillId="6" borderId="1" xfId="4" applyNumberFormat="1" applyFont="1" applyFill="1" applyBorder="1" applyAlignment="1" applyProtection="1">
      <alignment horizontal="center" vertical="center" wrapText="1"/>
    </xf>
    <xf numFmtId="165" fontId="53" fillId="0" borderId="1" xfId="4" applyNumberFormat="1" applyFont="1" applyBorder="1" applyAlignment="1" applyProtection="1">
      <alignment horizontal="center" vertical="center" wrapText="1"/>
    </xf>
    <xf numFmtId="0" fontId="60" fillId="6" borderId="5" xfId="0" applyFont="1" applyFill="1" applyBorder="1" applyAlignment="1" applyProtection="1">
      <alignment horizontal="center" vertical="center"/>
    </xf>
    <xf numFmtId="0" fontId="60" fillId="42" borderId="1" xfId="0" applyFont="1" applyFill="1" applyBorder="1" applyAlignment="1" applyProtection="1">
      <alignment horizontal="center" vertical="center"/>
    </xf>
    <xf numFmtId="2" fontId="60" fillId="6" borderId="1" xfId="0" applyNumberFormat="1" applyFont="1" applyFill="1" applyBorder="1" applyAlignment="1" applyProtection="1">
      <alignment horizontal="center" vertical="center"/>
    </xf>
    <xf numFmtId="165" fontId="53" fillId="0" borderId="5" xfId="4" applyNumberFormat="1" applyFont="1" applyBorder="1" applyAlignment="1" applyProtection="1">
      <alignment horizontal="left" vertical="center" wrapText="1"/>
    </xf>
    <xf numFmtId="2" fontId="52" fillId="6" borderId="2" xfId="4" applyNumberFormat="1" applyFont="1" applyFill="1" applyBorder="1" applyAlignment="1" applyProtection="1">
      <alignment horizontal="left" vertical="center" wrapText="1"/>
    </xf>
    <xf numFmtId="0" fontId="61" fillId="0" borderId="2" xfId="0" applyFont="1" applyBorder="1" applyAlignment="1" applyProtection="1">
      <alignment vertical="center" wrapText="1"/>
    </xf>
    <xf numFmtId="2" fontId="53" fillId="0" borderId="1" xfId="0" applyNumberFormat="1" applyFont="1" applyBorder="1" applyAlignment="1" applyProtection="1">
      <alignment horizontal="center" vertical="center" wrapText="1"/>
    </xf>
    <xf numFmtId="0" fontId="53" fillId="0" borderId="0" xfId="0" applyFont="1" applyFill="1" applyAlignment="1" applyProtection="1">
      <alignment horizontal="center" vertical="center" wrapText="1"/>
    </xf>
    <xf numFmtId="0" fontId="75" fillId="0" borderId="0" xfId="0" applyFont="1" applyAlignment="1" applyProtection="1">
      <alignment vertical="center" wrapText="1"/>
    </xf>
    <xf numFmtId="0" fontId="76" fillId="0" borderId="1" xfId="3" applyFont="1" applyFill="1" applyBorder="1" applyAlignment="1" applyProtection="1">
      <alignment horizontal="left" vertical="center" wrapText="1"/>
    </xf>
    <xf numFmtId="0" fontId="75" fillId="0" borderId="0" xfId="0" applyFont="1" applyFill="1" applyAlignment="1" applyProtection="1">
      <alignment vertical="center" wrapText="1"/>
    </xf>
    <xf numFmtId="0" fontId="76" fillId="0" borderId="1" xfId="3" applyFont="1" applyFill="1" applyBorder="1" applyAlignment="1" applyProtection="1"/>
    <xf numFmtId="0" fontId="72" fillId="0" borderId="1" xfId="8" applyFont="1" applyFill="1" applyBorder="1" applyAlignment="1" applyProtection="1">
      <alignment horizontal="left" vertical="center" wrapText="1"/>
    </xf>
    <xf numFmtId="0" fontId="76" fillId="39" borderId="1" xfId="3" applyFont="1" applyFill="1" applyBorder="1" applyAlignment="1" applyProtection="1">
      <alignment horizontal="left"/>
    </xf>
    <xf numFmtId="43" fontId="77" fillId="0" borderId="1" xfId="1" applyFont="1" applyFill="1" applyBorder="1" applyAlignment="1" applyProtection="1">
      <alignment horizontal="left" vertical="center" wrapText="1"/>
    </xf>
    <xf numFmtId="43" fontId="77" fillId="0" borderId="1" xfId="1" applyFont="1" applyBorder="1" applyAlignment="1" applyProtection="1">
      <alignment horizontal="right" vertical="center" wrapText="1"/>
    </xf>
    <xf numFmtId="2" fontId="72" fillId="0" borderId="1" xfId="8" applyNumberFormat="1" applyFont="1" applyFill="1" applyBorder="1" applyAlignment="1" applyProtection="1">
      <alignment horizontal="left" vertical="center" wrapText="1"/>
    </xf>
    <xf numFmtId="0" fontId="75" fillId="0" borderId="0" xfId="0" applyFont="1" applyAlignment="1" applyProtection="1">
      <alignment horizontal="center" vertical="center" wrapText="1"/>
    </xf>
    <xf numFmtId="0" fontId="75" fillId="0" borderId="0" xfId="0" applyFont="1" applyFill="1" applyAlignment="1" applyProtection="1">
      <alignment horizontal="center" vertical="center" wrapText="1"/>
    </xf>
    <xf numFmtId="0" fontId="64" fillId="9" borderId="1" xfId="38" applyFont="1" applyFill="1" applyBorder="1" applyAlignment="1" applyProtection="1">
      <alignment horizontal="center" vertical="center" wrapText="1"/>
    </xf>
    <xf numFmtId="43" fontId="70" fillId="7" borderId="1" xfId="1" applyFont="1" applyFill="1" applyBorder="1" applyAlignment="1" applyProtection="1">
      <alignment horizontal="left" vertical="center" wrapText="1"/>
    </xf>
    <xf numFmtId="0" fontId="43" fillId="0" borderId="0" xfId="0" applyFont="1" applyFill="1" applyAlignment="1" applyProtection="1">
      <alignment horizontal="left" vertical="center" wrapText="1"/>
    </xf>
    <xf numFmtId="0" fontId="72" fillId="2" borderId="1" xfId="38" applyFont="1" applyFill="1" applyBorder="1" applyAlignment="1" applyProtection="1">
      <alignment horizontal="left" vertical="center" wrapText="1"/>
    </xf>
    <xf numFmtId="43" fontId="72" fillId="2" borderId="1" xfId="1" applyFont="1" applyFill="1" applyBorder="1" applyAlignment="1" applyProtection="1">
      <alignment horizontal="left" vertical="center" wrapText="1"/>
    </xf>
    <xf numFmtId="0" fontId="91" fillId="0" borderId="1" xfId="0" applyFont="1" applyBorder="1" applyAlignment="1" applyProtection="1">
      <alignment vertical="center" wrapText="1"/>
    </xf>
    <xf numFmtId="0" fontId="91" fillId="0" borderId="1" xfId="0" applyFont="1" applyBorder="1" applyAlignment="1" applyProtection="1">
      <alignment vertical="center"/>
    </xf>
    <xf numFmtId="0" fontId="72" fillId="2" borderId="1" xfId="0" applyFont="1" applyFill="1" applyBorder="1" applyAlignment="1" applyProtection="1">
      <alignment horizontal="left" vertical="center" wrapText="1"/>
    </xf>
    <xf numFmtId="0" fontId="72" fillId="2" borderId="1" xfId="0" applyFont="1" applyFill="1" applyBorder="1" applyAlignment="1" applyProtection="1">
      <alignment horizontal="center" vertical="center" wrapText="1"/>
    </xf>
    <xf numFmtId="0" fontId="72" fillId="2" borderId="1" xfId="0" applyFont="1" applyFill="1" applyBorder="1" applyAlignment="1" applyProtection="1">
      <alignment vertical="center" wrapText="1"/>
    </xf>
    <xf numFmtId="0" fontId="43" fillId="0" borderId="1" xfId="0" applyFont="1" applyBorder="1" applyAlignment="1" applyProtection="1">
      <alignment horizontal="center" vertical="center" wrapText="1"/>
    </xf>
    <xf numFmtId="0" fontId="77" fillId="4" borderId="1" xfId="8" applyFont="1" applyFill="1" applyBorder="1" applyAlignment="1" applyProtection="1">
      <alignment horizontal="left" vertical="center" wrapText="1"/>
    </xf>
    <xf numFmtId="43" fontId="72" fillId="4" borderId="1" xfId="1" applyFont="1" applyFill="1" applyBorder="1" applyAlignment="1" applyProtection="1">
      <alignment horizontal="left" vertical="center" wrapText="1"/>
    </xf>
    <xf numFmtId="0" fontId="75" fillId="40" borderId="1" xfId="8" applyFont="1" applyFill="1" applyBorder="1" applyAlignment="1" applyProtection="1">
      <alignment horizontal="left" vertical="center" wrapText="1"/>
    </xf>
    <xf numFmtId="0" fontId="75" fillId="0" borderId="1" xfId="4" applyFont="1" applyBorder="1" applyAlignment="1" applyProtection="1">
      <alignment vertical="center" wrapText="1"/>
    </xf>
    <xf numFmtId="0" fontId="43" fillId="0" borderId="1" xfId="38" applyFont="1" applyFill="1" applyBorder="1" applyAlignment="1" applyProtection="1">
      <alignment horizontal="left" vertical="center" wrapText="1"/>
    </xf>
    <xf numFmtId="0" fontId="41" fillId="0" borderId="1" xfId="0" applyFont="1" applyBorder="1" applyAlignment="1" applyProtection="1">
      <alignment vertical="center" wrapText="1"/>
    </xf>
    <xf numFmtId="0" fontId="43" fillId="0" borderId="1" xfId="38" applyFont="1" applyBorder="1" applyAlignment="1" applyProtection="1">
      <alignment horizontal="left" vertical="center" wrapText="1"/>
    </xf>
    <xf numFmtId="0" fontId="77" fillId="0" borderId="1" xfId="0" applyFont="1" applyBorder="1" applyAlignment="1" applyProtection="1">
      <alignment horizontal="center" vertical="center" wrapText="1"/>
    </xf>
    <xf numFmtId="0" fontId="77" fillId="0" borderId="0" xfId="0" applyFont="1" applyAlignment="1" applyProtection="1">
      <alignment vertical="center" wrapText="1"/>
    </xf>
    <xf numFmtId="0" fontId="77" fillId="0" borderId="1" xfId="0" applyFont="1" applyFill="1" applyBorder="1" applyAlignment="1" applyProtection="1">
      <alignment horizontal="left" vertical="center" wrapText="1"/>
    </xf>
    <xf numFmtId="0" fontId="77" fillId="0" borderId="0" xfId="0" applyFont="1" applyFill="1" applyAlignment="1" applyProtection="1">
      <alignment vertical="center" wrapText="1"/>
    </xf>
    <xf numFmtId="0" fontId="77" fillId="38" borderId="1" xfId="0" applyFont="1" applyFill="1" applyBorder="1" applyAlignment="1" applyProtection="1">
      <alignment horizontal="left" vertical="center" wrapText="1"/>
    </xf>
    <xf numFmtId="0" fontId="77" fillId="38" borderId="1" xfId="4" applyFont="1" applyFill="1" applyBorder="1" applyAlignment="1" applyProtection="1">
      <alignment vertical="center" wrapText="1"/>
    </xf>
    <xf numFmtId="43" fontId="72" fillId="38" borderId="1" xfId="1" applyFont="1" applyFill="1" applyBorder="1" applyAlignment="1" applyProtection="1">
      <alignment horizontal="left" vertical="center" wrapText="1"/>
    </xf>
    <xf numFmtId="43" fontId="72" fillId="38" borderId="1" xfId="1" applyFont="1" applyFill="1" applyBorder="1" applyAlignment="1" applyProtection="1">
      <alignment horizontal="right" vertical="center" wrapText="1"/>
    </xf>
    <xf numFmtId="0" fontId="77" fillId="0" borderId="1" xfId="0" applyFont="1" applyBorder="1" applyAlignment="1" applyProtection="1">
      <alignment horizontal="left" vertical="center" wrapText="1"/>
    </xf>
    <xf numFmtId="0" fontId="72" fillId="38" borderId="1" xfId="0" applyFont="1" applyFill="1" applyBorder="1" applyAlignment="1" applyProtection="1">
      <alignment horizontal="left" vertical="center" wrapText="1"/>
    </xf>
    <xf numFmtId="0" fontId="43" fillId="38" borderId="1" xfId="0" applyFont="1" applyFill="1" applyBorder="1" applyAlignment="1" applyProtection="1">
      <alignment horizontal="left" vertical="center" wrapText="1"/>
    </xf>
    <xf numFmtId="0" fontId="72" fillId="38" borderId="1" xfId="4" applyFont="1" applyFill="1" applyBorder="1" applyAlignment="1" applyProtection="1">
      <alignment vertical="center" wrapText="1"/>
    </xf>
    <xf numFmtId="0" fontId="72" fillId="0" borderId="0" xfId="0" applyFont="1" applyAlignment="1" applyProtection="1">
      <alignment vertical="center" wrapText="1"/>
    </xf>
    <xf numFmtId="0" fontId="43" fillId="0" borderId="0" xfId="0" applyFont="1" applyAlignment="1" applyProtection="1">
      <alignment vertical="center" wrapText="1"/>
    </xf>
    <xf numFmtId="0" fontId="77" fillId="0" borderId="1" xfId="8" applyFont="1" applyBorder="1" applyAlignment="1" applyProtection="1">
      <alignment vertical="center" wrapText="1"/>
    </xf>
    <xf numFmtId="0" fontId="75" fillId="0" borderId="1" xfId="0" applyFont="1" applyBorder="1" applyAlignment="1" applyProtection="1">
      <alignment vertical="center" wrapText="1"/>
    </xf>
    <xf numFmtId="0" fontId="71" fillId="0" borderId="1" xfId="0" applyFont="1" applyBorder="1" applyAlignment="1" applyProtection="1">
      <alignment horizontal="center" vertical="center" wrapText="1"/>
    </xf>
    <xf numFmtId="0" fontId="75" fillId="0" borderId="1" xfId="8" applyFont="1" applyBorder="1" applyAlignment="1" applyProtection="1">
      <alignment vertical="center" wrapText="1"/>
    </xf>
    <xf numFmtId="2" fontId="75" fillId="0" borderId="1" xfId="8" applyNumberFormat="1" applyFont="1" applyBorder="1" applyAlignment="1" applyProtection="1">
      <alignment vertical="center" wrapText="1"/>
    </xf>
    <xf numFmtId="0" fontId="75" fillId="0" borderId="0" xfId="0" applyFont="1" applyBorder="1" applyAlignment="1" applyProtection="1">
      <alignment horizontal="left" vertical="center" wrapText="1"/>
    </xf>
    <xf numFmtId="0" fontId="72" fillId="38" borderId="1" xfId="50" applyFont="1" applyFill="1" applyBorder="1" applyAlignment="1" applyProtection="1">
      <alignment vertical="center" wrapText="1"/>
    </xf>
    <xf numFmtId="0" fontId="43" fillId="0" borderId="1" xfId="5" applyFont="1" applyFill="1" applyBorder="1" applyAlignment="1" applyProtection="1">
      <alignment vertical="center" wrapText="1"/>
    </xf>
    <xf numFmtId="0" fontId="75" fillId="0" borderId="1" xfId="0" applyFont="1" applyFill="1" applyBorder="1" applyAlignment="1" applyProtection="1">
      <alignment horizontal="center" vertical="center" wrapText="1"/>
    </xf>
    <xf numFmtId="0" fontId="91" fillId="0" borderId="1" xfId="0" applyFont="1" applyFill="1" applyBorder="1" applyAlignment="1" applyProtection="1">
      <alignment vertical="center" wrapText="1"/>
    </xf>
    <xf numFmtId="0" fontId="77" fillId="0" borderId="1" xfId="8" applyFont="1" applyFill="1" applyBorder="1" applyAlignment="1" applyProtection="1">
      <alignment horizontal="left" vertical="center" wrapText="1"/>
    </xf>
    <xf numFmtId="0" fontId="75" fillId="0" borderId="0" xfId="0" applyFont="1" applyAlignment="1" applyProtection="1">
      <alignment horizontal="right" vertical="center" wrapText="1"/>
    </xf>
    <xf numFmtId="0" fontId="75" fillId="0" borderId="0" xfId="0" applyFont="1" applyAlignment="1" applyProtection="1">
      <alignment horizontal="left" vertical="center" wrapText="1"/>
    </xf>
    <xf numFmtId="0" fontId="52" fillId="0" borderId="0" xfId="0" applyFont="1" applyAlignment="1" applyProtection="1">
      <alignment horizontal="center" vertical="center" wrapText="1"/>
      <protection locked="0"/>
    </xf>
    <xf numFmtId="0" fontId="80" fillId="0" borderId="1" xfId="0" applyFont="1" applyFill="1" applyBorder="1" applyAlignment="1" applyProtection="1">
      <alignment horizontal="center" vertical="center" wrapText="1"/>
    </xf>
    <xf numFmtId="0" fontId="74" fillId="29" borderId="1" xfId="0" applyFont="1" applyFill="1" applyBorder="1" applyAlignment="1" applyProtection="1">
      <alignment horizontal="center" vertical="center" wrapText="1"/>
    </xf>
    <xf numFmtId="43" fontId="74" fillId="29" borderId="1" xfId="1" applyFont="1" applyFill="1" applyBorder="1" applyAlignment="1" applyProtection="1">
      <alignment horizontal="center" vertical="center" wrapText="1"/>
    </xf>
    <xf numFmtId="0" fontId="72" fillId="30" borderId="1" xfId="0" applyFont="1" applyFill="1" applyBorder="1" applyAlignment="1" applyProtection="1">
      <alignment horizontal="center" vertical="center" wrapText="1"/>
    </xf>
    <xf numFmtId="43" fontId="72" fillId="30" borderId="1" xfId="1" applyFont="1" applyFill="1" applyBorder="1" applyAlignment="1" applyProtection="1">
      <alignment horizontal="center" vertical="center" wrapText="1"/>
    </xf>
    <xf numFmtId="0" fontId="72" fillId="10" borderId="1" xfId="0" applyFont="1" applyFill="1" applyBorder="1" applyAlignment="1" applyProtection="1">
      <alignment horizontal="center" vertical="center" wrapText="1"/>
    </xf>
    <xf numFmtId="0" fontId="72" fillId="28" borderId="1" xfId="8" applyFont="1" applyFill="1" applyBorder="1" applyAlignment="1" applyProtection="1">
      <alignment horizontal="center" vertical="center"/>
    </xf>
    <xf numFmtId="43" fontId="72" fillId="28" borderId="1" xfId="1" applyFont="1" applyFill="1" applyBorder="1" applyAlignment="1" applyProtection="1">
      <alignment horizontal="center" vertical="center" wrapText="1"/>
    </xf>
    <xf numFmtId="0" fontId="72" fillId="28" borderId="1" xfId="0" applyFont="1" applyFill="1" applyBorder="1" applyAlignment="1" applyProtection="1">
      <alignment horizontal="center" vertical="center" wrapText="1"/>
    </xf>
    <xf numFmtId="0" fontId="59" fillId="39" borderId="1" xfId="3" applyFill="1" applyBorder="1" applyAlignment="1" applyProtection="1">
      <alignment horizontal="left"/>
    </xf>
    <xf numFmtId="43" fontId="77" fillId="0" borderId="1" xfId="1" applyFont="1" applyFill="1" applyBorder="1" applyAlignment="1" applyProtection="1">
      <alignment horizontal="center" vertical="center" wrapText="1"/>
    </xf>
    <xf numFmtId="43" fontId="77" fillId="0" borderId="1" xfId="1" applyFont="1" applyBorder="1" applyAlignment="1" applyProtection="1">
      <alignment horizontal="center" vertical="center" wrapText="1"/>
    </xf>
    <xf numFmtId="0" fontId="77" fillId="0" borderId="0" xfId="0" applyFont="1" applyFill="1" applyAlignment="1" applyProtection="1">
      <alignment horizontal="center" vertical="center" wrapText="1"/>
    </xf>
    <xf numFmtId="0" fontId="77" fillId="18" borderId="1" xfId="38" applyFont="1" applyFill="1" applyBorder="1" applyAlignment="1" applyProtection="1">
      <alignment horizontal="center" vertical="center" wrapText="1"/>
    </xf>
    <xf numFmtId="0" fontId="77" fillId="24" borderId="1" xfId="38" applyFont="1" applyFill="1" applyBorder="1" applyAlignment="1" applyProtection="1">
      <alignment horizontal="center" vertical="center" wrapText="1"/>
    </xf>
    <xf numFmtId="43" fontId="77" fillId="24" borderId="1" xfId="1" applyFont="1" applyFill="1" applyBorder="1" applyAlignment="1" applyProtection="1">
      <alignment horizontal="center" vertical="center" wrapText="1"/>
    </xf>
    <xf numFmtId="0" fontId="77" fillId="5" borderId="1" xfId="38" applyFont="1" applyFill="1" applyBorder="1" applyAlignment="1" applyProtection="1">
      <alignment horizontal="center" vertical="center" wrapText="1"/>
    </xf>
    <xf numFmtId="43" fontId="77" fillId="5" borderId="1" xfId="1" applyFont="1" applyFill="1" applyBorder="1" applyAlignment="1" applyProtection="1">
      <alignment horizontal="center" vertical="center" wrapText="1"/>
    </xf>
    <xf numFmtId="0" fontId="47" fillId="0" borderId="0" xfId="38" applyFont="1" applyBorder="1" applyAlignment="1" applyProtection="1">
      <alignment horizontal="center" vertical="center" wrapText="1"/>
    </xf>
    <xf numFmtId="0" fontId="73" fillId="7" borderId="1" xfId="38" applyFont="1" applyFill="1" applyBorder="1" applyAlignment="1" applyProtection="1">
      <alignment horizontal="left" vertical="center" wrapText="1"/>
    </xf>
    <xf numFmtId="0" fontId="70" fillId="7" borderId="1" xfId="38" applyFont="1" applyFill="1" applyBorder="1" applyAlignment="1" applyProtection="1">
      <alignment horizontal="center" vertical="center" wrapText="1"/>
    </xf>
    <xf numFmtId="0" fontId="73" fillId="7" borderId="1" xfId="38" applyFont="1" applyFill="1" applyBorder="1" applyAlignment="1" applyProtection="1">
      <alignment horizontal="center" vertical="center" wrapText="1"/>
    </xf>
    <xf numFmtId="0" fontId="47" fillId="0" borderId="0" xfId="38" applyFont="1" applyBorder="1" applyAlignment="1" applyProtection="1">
      <alignment vertical="center" wrapText="1"/>
    </xf>
    <xf numFmtId="0" fontId="75" fillId="2" borderId="1" xfId="4" applyFont="1" applyFill="1" applyBorder="1" applyAlignment="1" applyProtection="1">
      <alignment horizontal="left" vertical="center" wrapText="1"/>
    </xf>
    <xf numFmtId="0" fontId="77" fillId="2" borderId="1" xfId="4" applyFont="1" applyFill="1" applyBorder="1" applyAlignment="1" applyProtection="1">
      <alignment horizontal="center" vertical="center" wrapText="1"/>
    </xf>
    <xf numFmtId="0" fontId="75" fillId="2" borderId="1" xfId="4" applyFont="1" applyFill="1" applyBorder="1" applyAlignment="1" applyProtection="1">
      <alignment horizontal="center" vertical="center" wrapText="1"/>
    </xf>
    <xf numFmtId="2" fontId="75" fillId="2" borderId="1" xfId="4" applyNumberFormat="1" applyFont="1" applyFill="1" applyBorder="1" applyAlignment="1" applyProtection="1">
      <alignment horizontal="center" vertical="center" wrapText="1"/>
    </xf>
    <xf numFmtId="0" fontId="47" fillId="2" borderId="1" xfId="38" applyFont="1" applyFill="1" applyBorder="1" applyAlignment="1" applyProtection="1">
      <alignment horizontal="center" vertical="center" wrapText="1"/>
    </xf>
    <xf numFmtId="43" fontId="47" fillId="2" borderId="1" xfId="1" applyFont="1" applyFill="1" applyBorder="1" applyAlignment="1" applyProtection="1">
      <alignment horizontal="center" vertical="center" wrapText="1"/>
    </xf>
    <xf numFmtId="0" fontId="72" fillId="2" borderId="1" xfId="38" applyFont="1" applyFill="1" applyBorder="1" applyAlignment="1" applyProtection="1">
      <alignment horizontal="center" vertical="center" wrapText="1"/>
    </xf>
    <xf numFmtId="0" fontId="77" fillId="4" borderId="1" xfId="38" applyFont="1" applyFill="1" applyBorder="1" applyAlignment="1" applyProtection="1">
      <alignment horizontal="left" vertical="center" wrapText="1"/>
    </xf>
    <xf numFmtId="0" fontId="75" fillId="4" borderId="1" xfId="4" applyFont="1" applyFill="1" applyBorder="1" applyAlignment="1" applyProtection="1">
      <alignment horizontal="left" vertical="center" wrapText="1"/>
    </xf>
    <xf numFmtId="0" fontId="77" fillId="4" borderId="1" xfId="38" applyFont="1" applyFill="1" applyBorder="1" applyAlignment="1" applyProtection="1">
      <alignment horizontal="center" vertical="center" wrapText="1"/>
    </xf>
    <xf numFmtId="0" fontId="75" fillId="4" borderId="1" xfId="4" applyFont="1" applyFill="1" applyBorder="1" applyAlignment="1" applyProtection="1">
      <alignment horizontal="center" vertical="center" wrapText="1"/>
    </xf>
    <xf numFmtId="0" fontId="77" fillId="4" borderId="1" xfId="4" applyFont="1" applyFill="1" applyBorder="1" applyAlignment="1" applyProtection="1">
      <alignment horizontal="center" vertical="center" wrapText="1"/>
    </xf>
    <xf numFmtId="43" fontId="77" fillId="4" borderId="1" xfId="1" applyFont="1" applyFill="1" applyBorder="1" applyAlignment="1" applyProtection="1">
      <alignment horizontal="center" vertical="center" wrapText="1"/>
    </xf>
    <xf numFmtId="0" fontId="75" fillId="0" borderId="0" xfId="0" applyFont="1" applyBorder="1" applyAlignment="1" applyProtection="1">
      <alignment vertical="center" wrapText="1"/>
    </xf>
    <xf numFmtId="0" fontId="47" fillId="0" borderId="1" xfId="4" applyFont="1" applyBorder="1" applyAlignment="1" applyProtection="1">
      <alignment horizontal="left" vertical="center" wrapText="1"/>
    </xf>
    <xf numFmtId="0" fontId="72" fillId="29" borderId="1" xfId="0" applyFont="1" applyFill="1" applyBorder="1" applyAlignment="1" applyProtection="1">
      <alignment horizontal="center" vertical="center" wrapText="1"/>
    </xf>
    <xf numFmtId="0" fontId="47" fillId="0" borderId="1" xfId="0" applyFont="1" applyBorder="1" applyAlignment="1" applyProtection="1">
      <alignment horizontal="center" vertical="center" wrapText="1"/>
    </xf>
    <xf numFmtId="0" fontId="75" fillId="0" borderId="1" xfId="8" applyFont="1" applyBorder="1" applyAlignment="1" applyProtection="1">
      <alignment horizontal="center" vertical="center" wrapText="1"/>
    </xf>
    <xf numFmtId="0" fontId="42" fillId="0" borderId="1" xfId="0" applyFont="1" applyBorder="1" applyAlignment="1" applyProtection="1">
      <alignment horizontal="center" vertical="center" wrapText="1"/>
    </xf>
    <xf numFmtId="0" fontId="47" fillId="0" borderId="1" xfId="4" applyFont="1" applyFill="1" applyBorder="1" applyAlignment="1" applyProtection="1">
      <alignment horizontal="left" vertical="center" wrapText="1"/>
    </xf>
    <xf numFmtId="0" fontId="77" fillId="29" borderId="1" xfId="0" applyFont="1" applyFill="1" applyBorder="1" applyAlignment="1" applyProtection="1">
      <alignment horizontal="center" vertical="center" wrapText="1"/>
    </xf>
    <xf numFmtId="43" fontId="72" fillId="4" borderId="1" xfId="1" applyFont="1" applyFill="1" applyBorder="1" applyAlignment="1" applyProtection="1">
      <alignment horizontal="center" vertical="center" wrapText="1"/>
    </xf>
    <xf numFmtId="0" fontId="72" fillId="4" borderId="1" xfId="4" applyFont="1" applyFill="1" applyBorder="1" applyAlignment="1" applyProtection="1">
      <alignment horizontal="center" vertical="center" wrapText="1"/>
    </xf>
    <xf numFmtId="0" fontId="75" fillId="0" borderId="1" xfId="0" applyFont="1" applyBorder="1" applyAlignment="1" applyProtection="1">
      <alignment horizontal="center" vertical="center"/>
    </xf>
    <xf numFmtId="0" fontId="75" fillId="6" borderId="1" xfId="0" applyFont="1" applyFill="1" applyBorder="1" applyAlignment="1" applyProtection="1">
      <alignment horizontal="center" vertical="center" wrapText="1"/>
    </xf>
    <xf numFmtId="0" fontId="72" fillId="6" borderId="1" xfId="38" applyFont="1" applyFill="1" applyBorder="1" applyAlignment="1" applyProtection="1">
      <alignment horizontal="center" vertical="center" wrapText="1"/>
    </xf>
    <xf numFmtId="43" fontId="72" fillId="6" borderId="1" xfId="1"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wrapText="1"/>
    </xf>
    <xf numFmtId="43" fontId="47" fillId="0" borderId="1" xfId="1" applyFont="1" applyFill="1" applyBorder="1" applyAlignment="1" applyProtection="1">
      <alignment horizontal="center" vertical="center" wrapText="1"/>
    </xf>
    <xf numFmtId="0" fontId="72" fillId="0" borderId="1" xfId="4" applyFont="1" applyFill="1" applyBorder="1" applyAlignment="1" applyProtection="1">
      <alignment horizontal="left" vertical="center" wrapText="1"/>
    </xf>
    <xf numFmtId="0" fontId="72" fillId="0" borderId="1" xfId="4" applyFont="1" applyBorder="1" applyAlignment="1" applyProtection="1">
      <alignment horizontal="left" vertical="center" wrapText="1"/>
    </xf>
    <xf numFmtId="0" fontId="47" fillId="0" borderId="1" xfId="0" applyFont="1" applyBorder="1" applyAlignment="1" applyProtection="1">
      <alignment horizontal="left" vertical="center" wrapText="1"/>
    </xf>
    <xf numFmtId="0" fontId="47" fillId="0" borderId="1" xfId="0" applyFont="1" applyFill="1" applyBorder="1" applyAlignment="1" applyProtection="1">
      <alignment horizontal="left" vertical="center" wrapText="1"/>
    </xf>
    <xf numFmtId="43" fontId="75" fillId="0" borderId="1" xfId="1" applyFont="1" applyFill="1" applyBorder="1" applyAlignment="1" applyProtection="1">
      <alignment horizontal="center" vertical="center" wrapText="1"/>
    </xf>
    <xf numFmtId="0" fontId="75" fillId="0" borderId="0" xfId="0" applyFont="1" applyFill="1" applyBorder="1" applyAlignment="1" applyProtection="1">
      <alignment vertical="center" wrapText="1"/>
    </xf>
    <xf numFmtId="0" fontId="42" fillId="0" borderId="1" xfId="0" applyFont="1" applyFill="1" applyBorder="1" applyAlignment="1" applyProtection="1">
      <alignment horizontal="center" vertical="center" wrapText="1"/>
    </xf>
    <xf numFmtId="0" fontId="77" fillId="6" borderId="1" xfId="0" applyFont="1" applyFill="1" applyBorder="1" applyAlignment="1" applyProtection="1">
      <alignment horizontal="left" vertical="center" wrapText="1"/>
    </xf>
    <xf numFmtId="0" fontId="72" fillId="6" borderId="1" xfId="0" applyFont="1" applyFill="1" applyBorder="1" applyAlignment="1" applyProtection="1">
      <alignment horizontal="left" vertical="center" wrapText="1"/>
    </xf>
    <xf numFmtId="0" fontId="72" fillId="6" borderId="1" xfId="0" applyFont="1" applyFill="1" applyBorder="1" applyAlignment="1" applyProtection="1">
      <alignment horizontal="center" vertical="center" wrapText="1"/>
    </xf>
    <xf numFmtId="0" fontId="47" fillId="11" borderId="1" xfId="4" applyFont="1" applyFill="1" applyBorder="1" applyAlignment="1" applyProtection="1">
      <alignment horizontal="left" vertical="center" wrapText="1"/>
    </xf>
    <xf numFmtId="0" fontId="77" fillId="30" borderId="1" xfId="0" applyFont="1" applyFill="1" applyBorder="1" applyAlignment="1" applyProtection="1">
      <alignment horizontal="center" vertical="center" wrapText="1"/>
    </xf>
    <xf numFmtId="0" fontId="75" fillId="2" borderId="1" xfId="38" applyFont="1" applyFill="1" applyBorder="1" applyAlignment="1" applyProtection="1">
      <alignment horizontal="center" vertical="center" wrapText="1"/>
    </xf>
    <xf numFmtId="0" fontId="72" fillId="0" borderId="1" xfId="38" applyFont="1" applyFill="1" applyBorder="1" applyAlignment="1" applyProtection="1">
      <alignment horizontal="center" vertical="center" wrapText="1"/>
    </xf>
    <xf numFmtId="0" fontId="77" fillId="0" borderId="1" xfId="38" applyFont="1" applyFill="1" applyBorder="1" applyAlignment="1" applyProtection="1">
      <alignment horizontal="center" vertical="center" wrapText="1"/>
    </xf>
    <xf numFmtId="0" fontId="77" fillId="0" borderId="0" xfId="0" applyFont="1" applyBorder="1" applyAlignment="1" applyProtection="1">
      <alignment vertical="center" wrapText="1"/>
    </xf>
    <xf numFmtId="0" fontId="42" fillId="0" borderId="1" xfId="4" applyFont="1" applyBorder="1" applyAlignment="1" applyProtection="1">
      <alignment horizontal="left" vertical="center" wrapText="1"/>
    </xf>
    <xf numFmtId="0" fontId="72" fillId="4" borderId="1" xfId="0" applyFont="1" applyFill="1" applyBorder="1" applyAlignment="1" applyProtection="1">
      <alignment horizontal="center" vertical="center" wrapText="1"/>
    </xf>
    <xf numFmtId="0" fontId="87" fillId="0" borderId="1" xfId="0" applyFont="1" applyFill="1" applyBorder="1" applyAlignment="1" applyProtection="1">
      <alignment horizontal="left" wrapText="1"/>
    </xf>
    <xf numFmtId="0" fontId="44" fillId="0" borderId="1" xfId="0" applyFont="1" applyBorder="1" applyAlignment="1" applyProtection="1">
      <alignment horizontal="left" vertical="center" wrapText="1"/>
    </xf>
    <xf numFmtId="43" fontId="75" fillId="0" borderId="0" xfId="0" applyNumberFormat="1" applyFont="1" applyAlignment="1" applyProtection="1">
      <alignment horizontal="center" vertical="center" wrapText="1"/>
    </xf>
    <xf numFmtId="43" fontId="75" fillId="0" borderId="0" xfId="1" applyFont="1" applyAlignment="1" applyProtection="1">
      <alignment horizontal="center" vertical="center" wrapText="1"/>
    </xf>
    <xf numFmtId="43" fontId="75" fillId="0" borderId="0" xfId="1" applyFont="1" applyAlignment="1" applyProtection="1">
      <alignment horizontal="right" vertical="center" wrapText="1"/>
    </xf>
    <xf numFmtId="0" fontId="70" fillId="0" borderId="1" xfId="8" applyFont="1" applyFill="1" applyBorder="1" applyAlignment="1" applyProtection="1">
      <alignment horizontal="center" vertical="center" wrapText="1"/>
    </xf>
    <xf numFmtId="0" fontId="72" fillId="0" borderId="1" xfId="0" applyFont="1" applyFill="1" applyBorder="1" applyAlignment="1" applyProtection="1">
      <alignment horizontal="center" vertical="center" wrapText="1"/>
    </xf>
    <xf numFmtId="43" fontId="72" fillId="0" borderId="1" xfId="1" applyFont="1" applyFill="1" applyBorder="1" applyAlignment="1" applyProtection="1">
      <alignment horizontal="center" vertical="center"/>
    </xf>
    <xf numFmtId="43" fontId="72" fillId="0" borderId="1" xfId="1" applyFont="1" applyFill="1" applyBorder="1" applyAlignment="1" applyProtection="1">
      <alignment vertical="center" wrapText="1"/>
    </xf>
    <xf numFmtId="0" fontId="77" fillId="24" borderId="5" xfId="38" applyFont="1" applyFill="1" applyBorder="1" applyAlignment="1" applyProtection="1">
      <alignment horizontal="center" vertical="center" wrapText="1"/>
    </xf>
    <xf numFmtId="0" fontId="100" fillId="45" borderId="1" xfId="0" applyFont="1" applyFill="1" applyBorder="1" applyAlignment="1" applyProtection="1">
      <alignment horizontal="center" vertical="center" wrapText="1"/>
    </xf>
    <xf numFmtId="43" fontId="100" fillId="45" borderId="1" xfId="1" applyFont="1" applyFill="1" applyBorder="1" applyAlignment="1" applyProtection="1">
      <alignment horizontal="center" vertical="center" wrapText="1"/>
    </xf>
    <xf numFmtId="0" fontId="73" fillId="7" borderId="1" xfId="8" applyFont="1" applyFill="1" applyBorder="1" applyAlignment="1" applyProtection="1">
      <alignment horizontal="left" vertical="center" wrapText="1"/>
    </xf>
    <xf numFmtId="0" fontId="70" fillId="7" borderId="1" xfId="8" applyFont="1" applyFill="1" applyBorder="1" applyAlignment="1" applyProtection="1">
      <alignment horizontal="center" vertical="center" wrapText="1"/>
    </xf>
    <xf numFmtId="0" fontId="99" fillId="31" borderId="1" xfId="0" applyFont="1" applyFill="1" applyBorder="1" applyAlignment="1" applyProtection="1">
      <alignment vertical="center" wrapText="1"/>
    </xf>
    <xf numFmtId="43" fontId="99" fillId="31" borderId="1" xfId="1" applyFont="1" applyFill="1" applyBorder="1" applyAlignment="1" applyProtection="1">
      <alignment horizontal="center" vertical="center" wrapText="1"/>
    </xf>
    <xf numFmtId="43" fontId="77" fillId="2" borderId="1" xfId="1" applyFont="1" applyFill="1" applyBorder="1" applyAlignment="1" applyProtection="1">
      <alignment horizontal="center" vertical="center" wrapText="1"/>
    </xf>
    <xf numFmtId="0" fontId="77" fillId="2" borderId="5" xfId="4" applyFont="1" applyFill="1" applyBorder="1" applyAlignment="1" applyProtection="1">
      <alignment horizontal="left" vertical="center" wrapText="1"/>
    </xf>
    <xf numFmtId="0" fontId="100" fillId="33" borderId="1" xfId="0" applyFont="1" applyFill="1" applyBorder="1" applyAlignment="1" applyProtection="1">
      <alignment vertical="center" wrapText="1"/>
    </xf>
    <xf numFmtId="43" fontId="100" fillId="33" borderId="1" xfId="1" applyFont="1" applyFill="1" applyBorder="1" applyAlignment="1" applyProtection="1">
      <alignment horizontal="center" vertical="center" wrapText="1"/>
    </xf>
    <xf numFmtId="0" fontId="75" fillId="4" borderId="1" xfId="8" applyFont="1" applyFill="1" applyBorder="1" applyAlignment="1" applyProtection="1">
      <alignment horizontal="center" vertical="center" wrapText="1"/>
    </xf>
    <xf numFmtId="0" fontId="100" fillId="46" borderId="1" xfId="0" applyFont="1" applyFill="1" applyBorder="1" applyAlignment="1" applyProtection="1">
      <alignment vertical="center" wrapText="1"/>
    </xf>
    <xf numFmtId="0" fontId="84" fillId="0" borderId="1" xfId="0" applyFont="1" applyBorder="1" applyAlignment="1" applyProtection="1">
      <alignment vertical="center" wrapText="1"/>
    </xf>
    <xf numFmtId="0" fontId="75" fillId="0" borderId="1" xfId="4" applyFont="1" applyFill="1" applyBorder="1" applyAlignment="1" applyProtection="1">
      <alignment horizontal="left" vertical="center" wrapText="1"/>
    </xf>
    <xf numFmtId="0" fontId="77" fillId="29" borderId="1" xfId="8" applyFont="1" applyFill="1" applyBorder="1" applyAlignment="1" applyProtection="1">
      <alignment horizontal="center" vertical="center" wrapText="1"/>
    </xf>
    <xf numFmtId="43" fontId="84" fillId="0" borderId="1" xfId="1" applyFont="1" applyBorder="1" applyAlignment="1" applyProtection="1">
      <alignment vertical="center" wrapText="1"/>
    </xf>
    <xf numFmtId="0" fontId="75" fillId="0" borderId="1" xfId="40" applyFont="1" applyBorder="1" applyAlignment="1" applyProtection="1">
      <alignment horizontal="center" vertical="center" wrapText="1"/>
    </xf>
    <xf numFmtId="0" fontId="77" fillId="10" borderId="1" xfId="8" applyFont="1" applyFill="1" applyBorder="1" applyAlignment="1" applyProtection="1">
      <alignment horizontal="center" vertical="center" wrapText="1"/>
    </xf>
    <xf numFmtId="0" fontId="100" fillId="42" borderId="1" xfId="0" applyFont="1" applyFill="1" applyBorder="1" applyAlignment="1" applyProtection="1">
      <alignment vertical="center" wrapText="1"/>
    </xf>
    <xf numFmtId="0" fontId="72" fillId="0" borderId="0" xfId="8" applyFont="1" applyAlignment="1" applyProtection="1">
      <alignment vertical="center" wrapText="1"/>
    </xf>
    <xf numFmtId="49" fontId="75" fillId="0" borderId="1" xfId="4" applyNumberFormat="1" applyFont="1" applyBorder="1" applyAlignment="1" applyProtection="1">
      <alignment horizontal="left" vertical="center" wrapText="1"/>
    </xf>
    <xf numFmtId="0" fontId="75" fillId="0" borderId="1" xfId="40" applyFont="1" applyFill="1" applyBorder="1" applyAlignment="1" applyProtection="1">
      <alignment horizontal="center" vertical="center" wrapText="1"/>
    </xf>
    <xf numFmtId="0" fontId="94" fillId="0" borderId="1" xfId="0" applyFont="1" applyBorder="1" applyAlignment="1" applyProtection="1">
      <alignment vertical="center" wrapText="1"/>
    </xf>
    <xf numFmtId="0" fontId="75" fillId="0" borderId="1" xfId="8" applyFont="1" applyFill="1" applyBorder="1" applyAlignment="1" applyProtection="1">
      <alignment horizontal="center" vertical="center" wrapText="1"/>
    </xf>
    <xf numFmtId="0" fontId="94" fillId="47" borderId="1" xfId="0" applyFont="1" applyFill="1" applyBorder="1" applyAlignment="1" applyProtection="1">
      <alignment vertical="center" wrapText="1"/>
      <protection locked="0"/>
    </xf>
    <xf numFmtId="0" fontId="70" fillId="0" borderId="1" xfId="8" applyFont="1" applyFill="1" applyBorder="1" applyAlignment="1" applyProtection="1">
      <alignment horizontal="center" vertical="center"/>
    </xf>
    <xf numFmtId="0" fontId="75" fillId="0" borderId="0" xfId="8" applyFont="1" applyAlignment="1" applyProtection="1">
      <alignment vertical="center"/>
    </xf>
    <xf numFmtId="0" fontId="72" fillId="0" borderId="1" xfId="0" applyFont="1" applyFill="1" applyBorder="1" applyAlignment="1" applyProtection="1">
      <alignment horizontal="center" vertical="center"/>
    </xf>
    <xf numFmtId="0" fontId="74" fillId="29" borderId="1" xfId="0" applyFont="1" applyFill="1" applyBorder="1" applyAlignment="1" applyProtection="1">
      <alignment horizontal="center" vertical="center"/>
    </xf>
    <xf numFmtId="0" fontId="78" fillId="29" borderId="1" xfId="0" applyFont="1" applyFill="1" applyBorder="1" applyAlignment="1" applyProtection="1">
      <alignment horizontal="center" vertical="center"/>
    </xf>
    <xf numFmtId="43" fontId="74" fillId="29" borderId="1" xfId="1" applyFont="1" applyFill="1" applyBorder="1" applyAlignment="1" applyProtection="1">
      <alignment horizontal="center" vertical="center"/>
    </xf>
    <xf numFmtId="43" fontId="72" fillId="30" borderId="1" xfId="1" applyFont="1" applyFill="1" applyBorder="1" applyAlignment="1" applyProtection="1">
      <alignment horizontal="center" vertical="center"/>
    </xf>
    <xf numFmtId="0" fontId="72" fillId="10" borderId="1" xfId="0" applyFont="1" applyFill="1" applyBorder="1" applyAlignment="1" applyProtection="1">
      <alignment horizontal="center" vertical="center"/>
    </xf>
    <xf numFmtId="0" fontId="75" fillId="0" borderId="0" xfId="0" applyFont="1" applyFill="1" applyAlignment="1" applyProtection="1">
      <alignment vertical="center"/>
    </xf>
    <xf numFmtId="43" fontId="72" fillId="0" borderId="1" xfId="1" applyFont="1" applyFill="1" applyBorder="1" applyAlignment="1" applyProtection="1">
      <alignment vertical="center"/>
    </xf>
    <xf numFmtId="0" fontId="43" fillId="0" borderId="0" xfId="0" applyFont="1" applyFill="1" applyAlignment="1" applyProtection="1">
      <alignment vertical="center"/>
    </xf>
    <xf numFmtId="0" fontId="75" fillId="0" borderId="0" xfId="8" applyFont="1" applyAlignment="1" applyProtection="1">
      <alignment horizontal="center" vertical="center"/>
    </xf>
    <xf numFmtId="0" fontId="77" fillId="18" borderId="1" xfId="38" applyFont="1" applyFill="1" applyBorder="1" applyAlignment="1" applyProtection="1">
      <alignment horizontal="center" vertical="center"/>
    </xf>
    <xf numFmtId="0" fontId="72" fillId="24" borderId="1" xfId="38" applyFont="1" applyFill="1" applyBorder="1" applyAlignment="1" applyProtection="1">
      <alignment horizontal="center" vertical="center"/>
    </xf>
    <xf numFmtId="0" fontId="77" fillId="24" borderId="1" xfId="38" applyFont="1" applyFill="1" applyBorder="1" applyAlignment="1" applyProtection="1">
      <alignment horizontal="center" vertical="center"/>
    </xf>
    <xf numFmtId="43" fontId="77" fillId="24" borderId="1" xfId="1" applyFont="1" applyFill="1" applyBorder="1" applyAlignment="1" applyProtection="1">
      <alignment horizontal="center" vertical="center"/>
    </xf>
    <xf numFmtId="2" fontId="77" fillId="5" borderId="1" xfId="38" applyNumberFormat="1" applyFont="1" applyFill="1" applyBorder="1" applyAlignment="1" applyProtection="1">
      <alignment horizontal="center" vertical="center"/>
    </xf>
    <xf numFmtId="0" fontId="70" fillId="7" borderId="1" xfId="8" applyFont="1" applyFill="1" applyBorder="1" applyAlignment="1" applyProtection="1">
      <alignment horizontal="left" vertical="center"/>
    </xf>
    <xf numFmtId="0" fontId="73" fillId="7" borderId="1" xfId="8" applyFont="1" applyFill="1" applyBorder="1" applyAlignment="1" applyProtection="1">
      <alignment horizontal="left" vertical="center"/>
    </xf>
    <xf numFmtId="0" fontId="70" fillId="7" borderId="1" xfId="8" applyFont="1" applyFill="1" applyBorder="1" applyAlignment="1" applyProtection="1">
      <alignment horizontal="center" vertical="center"/>
    </xf>
    <xf numFmtId="0" fontId="72" fillId="7" borderId="1" xfId="8" applyFont="1" applyFill="1" applyBorder="1" applyAlignment="1" applyProtection="1">
      <alignment horizontal="center" vertical="center"/>
    </xf>
    <xf numFmtId="43" fontId="77" fillId="7" borderId="1" xfId="1" applyFont="1" applyFill="1" applyBorder="1" applyAlignment="1" applyProtection="1">
      <alignment horizontal="right" vertical="center"/>
    </xf>
    <xf numFmtId="0" fontId="77" fillId="7" borderId="1" xfId="8" applyFont="1" applyFill="1" applyBorder="1" applyAlignment="1" applyProtection="1">
      <alignment horizontal="center" vertical="center"/>
    </xf>
    <xf numFmtId="43" fontId="70" fillId="7" borderId="1" xfId="1" applyFont="1" applyFill="1" applyBorder="1" applyAlignment="1" applyProtection="1">
      <alignment horizontal="right" vertical="center"/>
    </xf>
    <xf numFmtId="2" fontId="70" fillId="7" borderId="1" xfId="8" applyNumberFormat="1" applyFont="1" applyFill="1" applyBorder="1" applyAlignment="1" applyProtection="1">
      <alignment horizontal="right" vertical="center"/>
    </xf>
    <xf numFmtId="2" fontId="75" fillId="0" borderId="0" xfId="8" applyNumberFormat="1" applyFont="1" applyAlignment="1" applyProtection="1">
      <alignment vertical="center"/>
    </xf>
    <xf numFmtId="0" fontId="77" fillId="2" borderId="1" xfId="4" applyFont="1" applyFill="1" applyBorder="1" applyAlignment="1" applyProtection="1">
      <alignment horizontal="left" vertical="center"/>
    </xf>
    <xf numFmtId="0" fontId="75" fillId="2" borderId="1" xfId="4" applyFont="1" applyFill="1" applyBorder="1" applyAlignment="1" applyProtection="1">
      <alignment vertical="center"/>
    </xf>
    <xf numFmtId="0" fontId="77" fillId="2" borderId="1" xfId="4" applyFont="1" applyFill="1" applyBorder="1" applyAlignment="1" applyProtection="1">
      <alignment vertical="center" wrapText="1"/>
    </xf>
    <xf numFmtId="0" fontId="77" fillId="2" borderId="1" xfId="4" applyFont="1" applyFill="1" applyBorder="1" applyAlignment="1" applyProtection="1">
      <alignment horizontal="center" vertical="center"/>
    </xf>
    <xf numFmtId="0" fontId="77" fillId="2" borderId="1" xfId="4" applyFont="1" applyFill="1" applyBorder="1" applyAlignment="1" applyProtection="1">
      <alignment vertical="center"/>
    </xf>
    <xf numFmtId="0" fontId="72" fillId="2" borderId="1" xfId="4" applyFont="1" applyFill="1" applyBorder="1" applyAlignment="1" applyProtection="1">
      <alignment horizontal="center" vertical="center"/>
    </xf>
    <xf numFmtId="43" fontId="77" fillId="2" borderId="1" xfId="1" applyFont="1" applyFill="1" applyBorder="1" applyAlignment="1" applyProtection="1">
      <alignment horizontal="right" vertical="center"/>
    </xf>
    <xf numFmtId="2" fontId="77" fillId="2" borderId="1" xfId="4" applyNumberFormat="1" applyFont="1" applyFill="1" applyBorder="1" applyAlignment="1" applyProtection="1">
      <alignment horizontal="right" vertical="center"/>
    </xf>
    <xf numFmtId="0" fontId="77" fillId="4" borderId="1" xfId="8" applyFont="1" applyFill="1" applyBorder="1" applyAlignment="1" applyProtection="1">
      <alignment horizontal="left" vertical="center"/>
    </xf>
    <xf numFmtId="0" fontId="75" fillId="4" borderId="1" xfId="4" applyFont="1" applyFill="1" applyBorder="1" applyAlignment="1" applyProtection="1">
      <alignment vertical="center"/>
    </xf>
    <xf numFmtId="0" fontId="77" fillId="4" borderId="1" xfId="4" applyFont="1" applyFill="1" applyBorder="1" applyAlignment="1" applyProtection="1">
      <alignment vertical="center" wrapText="1"/>
    </xf>
    <xf numFmtId="0" fontId="75" fillId="4" borderId="1" xfId="8" applyFont="1" applyFill="1" applyBorder="1" applyAlignment="1" applyProtection="1">
      <alignment horizontal="center" vertical="center"/>
    </xf>
    <xf numFmtId="0" fontId="75" fillId="4" borderId="1" xfId="8" applyFont="1" applyFill="1" applyBorder="1" applyAlignment="1" applyProtection="1">
      <alignment vertical="center"/>
    </xf>
    <xf numFmtId="0" fontId="43" fillId="4" borderId="1" xfId="8" applyFont="1" applyFill="1" applyBorder="1" applyAlignment="1" applyProtection="1">
      <alignment horizontal="center" vertical="center"/>
    </xf>
    <xf numFmtId="43" fontId="75" fillId="4" borderId="1" xfId="1" applyFont="1" applyFill="1" applyBorder="1" applyAlignment="1" applyProtection="1">
      <alignment horizontal="right" vertical="center"/>
    </xf>
    <xf numFmtId="0" fontId="77" fillId="4" borderId="1" xfId="8" applyFont="1" applyFill="1" applyBorder="1" applyAlignment="1" applyProtection="1">
      <alignment horizontal="center" vertical="center"/>
    </xf>
    <xf numFmtId="43" fontId="77" fillId="4" borderId="1" xfId="1" applyFont="1" applyFill="1" applyBorder="1" applyAlignment="1" applyProtection="1">
      <alignment horizontal="right" vertical="center"/>
    </xf>
    <xf numFmtId="0" fontId="75" fillId="4" borderId="1" xfId="8" applyFont="1" applyFill="1" applyBorder="1" applyAlignment="1" applyProtection="1">
      <alignment horizontal="left" vertical="center"/>
    </xf>
    <xf numFmtId="2" fontId="77" fillId="4" borderId="1" xfId="8" applyNumberFormat="1" applyFont="1" applyFill="1" applyBorder="1" applyAlignment="1" applyProtection="1">
      <alignment horizontal="right" vertical="center"/>
    </xf>
    <xf numFmtId="0" fontId="77" fillId="0" borderId="1" xfId="8" applyFont="1" applyFill="1" applyBorder="1" applyAlignment="1" applyProtection="1">
      <alignment horizontal="left" vertical="center"/>
    </xf>
    <xf numFmtId="0" fontId="75" fillId="0" borderId="1" xfId="4" applyFont="1" applyFill="1" applyBorder="1" applyAlignment="1" applyProtection="1">
      <alignment vertical="center"/>
    </xf>
    <xf numFmtId="0" fontId="77" fillId="0" borderId="1" xfId="4" applyFont="1" applyFill="1" applyBorder="1" applyAlignment="1" applyProtection="1">
      <alignment vertical="center" wrapText="1"/>
    </xf>
    <xf numFmtId="0" fontId="77" fillId="29" borderId="1" xfId="8" applyFont="1" applyFill="1" applyBorder="1" applyAlignment="1" applyProtection="1">
      <alignment horizontal="center" vertical="center"/>
    </xf>
    <xf numFmtId="0" fontId="75" fillId="0" borderId="1" xfId="8" applyFont="1" applyFill="1" applyBorder="1" applyAlignment="1" applyProtection="1">
      <alignment horizontal="center" vertical="center"/>
    </xf>
    <xf numFmtId="0" fontId="43" fillId="0" borderId="1" xfId="8" applyFont="1" applyFill="1" applyBorder="1" applyAlignment="1" applyProtection="1">
      <alignment horizontal="center" vertical="center"/>
    </xf>
    <xf numFmtId="43" fontId="75" fillId="0" borderId="1" xfId="1" applyFont="1" applyFill="1" applyBorder="1" applyAlignment="1" applyProtection="1">
      <alignment horizontal="right" vertical="center"/>
    </xf>
    <xf numFmtId="0" fontId="77" fillId="0" borderId="1" xfId="8" applyFont="1" applyFill="1" applyBorder="1" applyAlignment="1" applyProtection="1">
      <alignment horizontal="center" vertical="center"/>
    </xf>
    <xf numFmtId="43" fontId="77" fillId="0" borderId="1" xfId="1" applyFont="1" applyFill="1" applyBorder="1" applyAlignment="1" applyProtection="1">
      <alignment horizontal="right" vertical="center"/>
    </xf>
    <xf numFmtId="0" fontId="75" fillId="0" borderId="1" xfId="8" applyFont="1" applyFill="1" applyBorder="1" applyAlignment="1" applyProtection="1">
      <alignment horizontal="left" vertical="center"/>
    </xf>
    <xf numFmtId="0" fontId="75" fillId="0" borderId="1" xfId="4" applyFont="1" applyFill="1" applyBorder="1" applyAlignment="1" applyProtection="1">
      <alignment vertical="center" wrapText="1"/>
    </xf>
    <xf numFmtId="0" fontId="71" fillId="0" borderId="1" xfId="8" applyFont="1" applyFill="1" applyBorder="1" applyAlignment="1" applyProtection="1">
      <alignment vertical="center"/>
    </xf>
    <xf numFmtId="0" fontId="71" fillId="0" borderId="1" xfId="8" applyFont="1" applyFill="1" applyBorder="1" applyAlignment="1" applyProtection="1">
      <alignment horizontal="center" vertical="center"/>
    </xf>
    <xf numFmtId="0" fontId="43" fillId="0" borderId="1" xfId="38" applyFont="1" applyFill="1" applyBorder="1" applyAlignment="1" applyProtection="1">
      <alignment horizontal="center" vertical="center"/>
    </xf>
    <xf numFmtId="0" fontId="47" fillId="0" borderId="1" xfId="8" applyFont="1" applyFill="1" applyBorder="1" applyAlignment="1" applyProtection="1">
      <alignment horizontal="center" vertical="center"/>
    </xf>
    <xf numFmtId="0" fontId="75" fillId="0" borderId="1" xfId="0" applyFont="1" applyFill="1" applyBorder="1" applyAlignment="1" applyProtection="1">
      <alignment horizontal="left" vertical="center"/>
    </xf>
    <xf numFmtId="0" fontId="77" fillId="30" borderId="1" xfId="8" applyFont="1" applyFill="1" applyBorder="1" applyAlignment="1" applyProtection="1">
      <alignment horizontal="center" vertical="center"/>
    </xf>
    <xf numFmtId="0" fontId="77" fillId="10" borderId="1" xfId="8" applyFont="1" applyFill="1" applyBorder="1" applyAlignment="1" applyProtection="1">
      <alignment horizontal="center" vertical="center"/>
    </xf>
    <xf numFmtId="0" fontId="75" fillId="0" borderId="1" xfId="4" applyFont="1" applyFill="1" applyBorder="1" applyAlignment="1" applyProtection="1">
      <alignment horizontal="left" vertical="center"/>
    </xf>
    <xf numFmtId="0" fontId="72" fillId="21" borderId="1" xfId="0" applyFont="1" applyFill="1" applyBorder="1" applyAlignment="1" applyProtection="1">
      <alignment horizontal="center" vertical="center"/>
    </xf>
    <xf numFmtId="0" fontId="75" fillId="0" borderId="1" xfId="9" applyFont="1" applyFill="1" applyBorder="1" applyAlignment="1" applyProtection="1">
      <alignment horizontal="center" vertical="center"/>
    </xf>
    <xf numFmtId="0" fontId="75" fillId="0" borderId="1" xfId="8" applyFont="1" applyBorder="1" applyAlignment="1" applyProtection="1">
      <alignment horizontal="center" vertical="center"/>
    </xf>
    <xf numFmtId="0" fontId="75" fillId="0" borderId="1" xfId="8" applyFont="1" applyBorder="1" applyAlignment="1" applyProtection="1">
      <alignment vertical="center"/>
    </xf>
    <xf numFmtId="43" fontId="75" fillId="0" borderId="1" xfId="1" applyFont="1" applyBorder="1" applyAlignment="1" applyProtection="1">
      <alignment horizontal="right" vertical="center"/>
    </xf>
    <xf numFmtId="0" fontId="75" fillId="0" borderId="1" xfId="4" applyFont="1" applyBorder="1" applyAlignment="1" applyProtection="1">
      <alignment vertical="center"/>
    </xf>
    <xf numFmtId="0" fontId="47" fillId="0" borderId="1" xfId="8" applyFont="1" applyBorder="1" applyAlignment="1" applyProtection="1">
      <alignment horizontal="center" vertical="center"/>
    </xf>
    <xf numFmtId="2" fontId="75" fillId="0" borderId="1" xfId="4" applyNumberFormat="1" applyFont="1" applyBorder="1" applyAlignment="1" applyProtection="1">
      <alignment vertical="center"/>
    </xf>
    <xf numFmtId="2" fontId="47" fillId="0" borderId="0" xfId="8" applyNumberFormat="1" applyFont="1" applyAlignment="1" applyProtection="1">
      <alignment vertical="center"/>
    </xf>
    <xf numFmtId="0" fontId="72" fillId="0" borderId="0" xfId="8" applyFont="1" applyAlignment="1" applyProtection="1">
      <alignment vertical="center"/>
    </xf>
    <xf numFmtId="0" fontId="72" fillId="30" borderId="1" xfId="0" applyFont="1" applyFill="1" applyBorder="1" applyAlignment="1" applyProtection="1">
      <alignment horizontal="center" vertical="center"/>
    </xf>
    <xf numFmtId="0" fontId="71" fillId="0" borderId="1" xfId="8" applyFont="1" applyBorder="1" applyAlignment="1" applyProtection="1">
      <alignment vertical="center"/>
    </xf>
    <xf numFmtId="0" fontId="71" fillId="0" borderId="1" xfId="8" applyFont="1" applyBorder="1" applyAlignment="1" applyProtection="1">
      <alignment horizontal="center" vertical="center"/>
    </xf>
    <xf numFmtId="2" fontId="72" fillId="0" borderId="0" xfId="8" applyNumberFormat="1" applyFont="1" applyAlignment="1" applyProtection="1">
      <alignment vertical="center"/>
    </xf>
    <xf numFmtId="0" fontId="77" fillId="4" borderId="1" xfId="4" applyFont="1" applyFill="1" applyBorder="1" applyAlignment="1" applyProtection="1">
      <alignment horizontal="left" vertical="center"/>
    </xf>
    <xf numFmtId="0" fontId="77" fillId="4" borderId="1" xfId="4" applyFont="1" applyFill="1" applyBorder="1" applyAlignment="1" applyProtection="1">
      <alignment horizontal="center" vertical="center"/>
    </xf>
    <xf numFmtId="0" fontId="77" fillId="4" borderId="1" xfId="4" applyFont="1" applyFill="1" applyBorder="1" applyAlignment="1" applyProtection="1">
      <alignment vertical="center"/>
    </xf>
    <xf numFmtId="0" fontId="72" fillId="4" borderId="1" xfId="4" applyFont="1" applyFill="1" applyBorder="1" applyAlignment="1" applyProtection="1">
      <alignment horizontal="center" vertical="center"/>
    </xf>
    <xf numFmtId="2" fontId="77" fillId="4" borderId="1" xfId="4" applyNumberFormat="1" applyFont="1" applyFill="1" applyBorder="1" applyAlignment="1" applyProtection="1">
      <alignment horizontal="right" vertical="center"/>
    </xf>
    <xf numFmtId="2" fontId="75" fillId="0" borderId="0" xfId="8" applyNumberFormat="1" applyFont="1" applyFill="1" applyAlignment="1" applyProtection="1">
      <alignment vertical="center"/>
    </xf>
    <xf numFmtId="0" fontId="75" fillId="0" borderId="0" xfId="8" applyFont="1" applyFill="1" applyAlignment="1" applyProtection="1">
      <alignment vertical="center"/>
    </xf>
    <xf numFmtId="0" fontId="77" fillId="28" borderId="1" xfId="8" applyFont="1" applyFill="1" applyBorder="1" applyAlignment="1" applyProtection="1">
      <alignment horizontal="center" vertical="center"/>
    </xf>
    <xf numFmtId="0" fontId="77" fillId="0" borderId="1" xfId="4" applyFont="1" applyFill="1" applyBorder="1" applyAlignment="1" applyProtection="1">
      <alignment horizontal="left" vertical="center"/>
    </xf>
    <xf numFmtId="0" fontId="77" fillId="0" borderId="1" xfId="4" applyFont="1" applyBorder="1" applyAlignment="1" applyProtection="1">
      <alignment horizontal="left" vertical="center"/>
    </xf>
    <xf numFmtId="0" fontId="77" fillId="0" borderId="1" xfId="4" applyFont="1" applyBorder="1" applyAlignment="1" applyProtection="1">
      <alignment vertical="center" wrapText="1"/>
    </xf>
    <xf numFmtId="0" fontId="77" fillId="0" borderId="1" xfId="8" applyFont="1" applyBorder="1" applyAlignment="1" applyProtection="1">
      <alignment horizontal="center" vertical="center"/>
    </xf>
    <xf numFmtId="0" fontId="43" fillId="0" borderId="1" xfId="8" applyFont="1" applyBorder="1" applyAlignment="1" applyProtection="1">
      <alignment horizontal="center" vertical="center"/>
    </xf>
    <xf numFmtId="43" fontId="77" fillId="0" borderId="1" xfId="1" applyFont="1" applyBorder="1" applyAlignment="1" applyProtection="1">
      <alignment horizontal="right" vertical="center"/>
    </xf>
    <xf numFmtId="2" fontId="77" fillId="2" borderId="1" xfId="4" applyNumberFormat="1" applyFont="1" applyFill="1" applyBorder="1" applyAlignment="1" applyProtection="1">
      <alignment vertical="center"/>
    </xf>
    <xf numFmtId="43" fontId="77" fillId="4" borderId="1" xfId="1" applyFont="1" applyFill="1" applyBorder="1" applyAlignment="1" applyProtection="1">
      <alignment vertical="center"/>
    </xf>
    <xf numFmtId="2" fontId="75" fillId="0" borderId="1" xfId="8" applyNumberFormat="1" applyFont="1" applyBorder="1" applyAlignment="1" applyProtection="1">
      <alignment horizontal="right" vertical="center"/>
    </xf>
    <xf numFmtId="0" fontId="77" fillId="0" borderId="1" xfId="4" applyFont="1" applyFill="1" applyBorder="1" applyAlignment="1" applyProtection="1">
      <alignment vertical="center"/>
    </xf>
    <xf numFmtId="0" fontId="72" fillId="0" borderId="1" xfId="8" applyFont="1" applyBorder="1" applyAlignment="1" applyProtection="1">
      <alignment horizontal="center" vertical="center"/>
    </xf>
    <xf numFmtId="0" fontId="77" fillId="0" borderId="0" xfId="8" applyFont="1" applyAlignment="1" applyProtection="1">
      <alignment vertical="center"/>
    </xf>
    <xf numFmtId="0" fontId="75" fillId="0" borderId="0" xfId="8" applyFont="1" applyAlignment="1" applyProtection="1">
      <alignment horizontal="left" vertical="center"/>
    </xf>
    <xf numFmtId="0" fontId="75" fillId="0" borderId="0" xfId="8" applyFont="1" applyAlignment="1" applyProtection="1">
      <alignment vertical="center" wrapText="1"/>
    </xf>
    <xf numFmtId="0" fontId="43" fillId="0" borderId="0" xfId="8" applyFont="1" applyAlignment="1" applyProtection="1">
      <alignment horizontal="center" vertical="center"/>
    </xf>
    <xf numFmtId="43" fontId="75" fillId="0" borderId="0" xfId="1" applyFont="1" applyAlignment="1" applyProtection="1">
      <alignment horizontal="right" vertical="center"/>
    </xf>
    <xf numFmtId="0" fontId="91" fillId="0" borderId="1" xfId="0" applyFont="1" applyBorder="1" applyAlignment="1" applyProtection="1">
      <alignment horizontal="left" vertical="center" wrapText="1"/>
    </xf>
    <xf numFmtId="43" fontId="91" fillId="0" borderId="1" xfId="1" applyFont="1" applyBorder="1" applyAlignment="1" applyProtection="1">
      <alignment horizontal="left" vertical="center" wrapText="1"/>
    </xf>
    <xf numFmtId="0" fontId="70" fillId="0" borderId="0" xfId="8" applyFont="1" applyFill="1" applyBorder="1" applyAlignment="1" applyProtection="1">
      <alignment horizontal="center" vertical="center" wrapText="1"/>
    </xf>
    <xf numFmtId="0" fontId="85" fillId="0" borderId="0" xfId="0" applyFont="1" applyFill="1" applyBorder="1" applyAlignment="1" applyProtection="1">
      <alignment vertical="center" wrapText="1"/>
    </xf>
    <xf numFmtId="0" fontId="77" fillId="0" borderId="0" xfId="0" applyFont="1" applyFill="1" applyBorder="1" applyAlignment="1" applyProtection="1">
      <alignment vertical="center" wrapText="1"/>
    </xf>
    <xf numFmtId="0" fontId="72" fillId="0" borderId="0" xfId="0" applyFont="1" applyFill="1" applyBorder="1" applyAlignment="1" applyProtection="1">
      <alignment vertical="center" wrapText="1"/>
    </xf>
    <xf numFmtId="0" fontId="72" fillId="0" borderId="0" xfId="8" applyFont="1" applyFill="1" applyBorder="1" applyAlignment="1" applyProtection="1">
      <alignment vertical="center" wrapText="1"/>
    </xf>
    <xf numFmtId="0" fontId="76" fillId="8" borderId="13" xfId="3" applyFont="1" applyFill="1" applyBorder="1" applyAlignment="1" applyProtection="1">
      <alignment vertical="center" wrapText="1"/>
    </xf>
    <xf numFmtId="0" fontId="76" fillId="39" borderId="13" xfId="3" applyFont="1" applyFill="1" applyBorder="1" applyAlignment="1" applyProtection="1">
      <alignment horizontal="left" wrapText="1"/>
    </xf>
    <xf numFmtId="0" fontId="76" fillId="24" borderId="13" xfId="3" applyFont="1" applyFill="1" applyBorder="1" applyAlignment="1" applyProtection="1">
      <alignment horizontal="left" vertical="center" wrapText="1"/>
    </xf>
    <xf numFmtId="0" fontId="72" fillId="0" borderId="0" xfId="0" applyFont="1" applyFill="1" applyBorder="1" applyAlignment="1" applyProtection="1">
      <alignment horizontal="center" vertical="center" wrapText="1"/>
    </xf>
    <xf numFmtId="0" fontId="74" fillId="0" borderId="0" xfId="0" applyFont="1" applyFill="1" applyBorder="1" applyAlignment="1" applyProtection="1">
      <alignment horizontal="center" vertical="center" wrapText="1"/>
    </xf>
    <xf numFmtId="43" fontId="74" fillId="0" borderId="0" xfId="1" applyFont="1" applyFill="1" applyBorder="1" applyAlignment="1" applyProtection="1">
      <alignment horizontal="center" vertical="center" wrapText="1"/>
    </xf>
    <xf numFmtId="43" fontId="72" fillId="0" borderId="0" xfId="1" applyFont="1" applyFill="1" applyBorder="1" applyAlignment="1" applyProtection="1">
      <alignment horizontal="center" vertical="center" wrapText="1"/>
    </xf>
    <xf numFmtId="0" fontId="72" fillId="0" borderId="0" xfId="8" applyFont="1" applyFill="1" applyBorder="1" applyAlignment="1" applyProtection="1">
      <alignment horizontal="center" vertical="center" wrapText="1"/>
    </xf>
    <xf numFmtId="0" fontId="75" fillId="0" borderId="0" xfId="8" applyFont="1" applyAlignment="1" applyProtection="1">
      <alignment horizontal="center" vertical="center" wrapText="1"/>
    </xf>
    <xf numFmtId="0" fontId="72" fillId="2" borderId="1" xfId="4" applyFont="1" applyFill="1" applyBorder="1" applyAlignment="1" applyProtection="1">
      <alignment vertical="center" wrapText="1"/>
    </xf>
    <xf numFmtId="2" fontId="77" fillId="2" borderId="1" xfId="4" applyNumberFormat="1" applyFont="1" applyFill="1" applyBorder="1" applyAlignment="1" applyProtection="1">
      <alignment horizontal="right" vertical="center" wrapText="1"/>
    </xf>
    <xf numFmtId="43" fontId="77" fillId="2" borderId="1" xfId="1" applyFont="1" applyFill="1" applyBorder="1" applyAlignment="1" applyProtection="1">
      <alignment horizontal="left" vertical="center" wrapText="1"/>
    </xf>
    <xf numFmtId="0" fontId="75" fillId="4" borderId="1" xfId="8" applyFont="1" applyFill="1" applyBorder="1" applyAlignment="1" applyProtection="1">
      <alignment vertical="center" wrapText="1"/>
    </xf>
    <xf numFmtId="0" fontId="43" fillId="4" borderId="1" xfId="8" applyFont="1" applyFill="1" applyBorder="1" applyAlignment="1" applyProtection="1">
      <alignment vertical="center" wrapText="1"/>
    </xf>
    <xf numFmtId="2" fontId="75" fillId="4" borderId="1" xfId="8" applyNumberFormat="1" applyFont="1" applyFill="1" applyBorder="1" applyAlignment="1" applyProtection="1">
      <alignment horizontal="right" vertical="center" wrapText="1"/>
    </xf>
    <xf numFmtId="2" fontId="77" fillId="4" borderId="1" xfId="8" applyNumberFormat="1" applyFont="1" applyFill="1" applyBorder="1" applyAlignment="1" applyProtection="1">
      <alignment horizontal="right" vertical="center" wrapText="1"/>
    </xf>
    <xf numFmtId="43" fontId="75" fillId="4" borderId="1" xfId="1" applyFont="1" applyFill="1" applyBorder="1" applyAlignment="1" applyProtection="1">
      <alignment horizontal="left" vertical="center" wrapText="1"/>
    </xf>
    <xf numFmtId="0" fontId="100" fillId="46" borderId="1" xfId="0" applyFont="1" applyFill="1" applyBorder="1" applyAlignment="1" applyProtection="1">
      <alignment horizontal="right" vertical="center" wrapText="1"/>
    </xf>
    <xf numFmtId="0" fontId="94" fillId="46" borderId="1" xfId="0" applyFont="1" applyFill="1" applyBorder="1" applyAlignment="1" applyProtection="1">
      <alignment vertical="center" wrapText="1"/>
    </xf>
    <xf numFmtId="0" fontId="75" fillId="0" borderId="0" xfId="8" applyFont="1" applyFill="1" applyAlignment="1" applyProtection="1">
      <alignment horizontal="center" vertical="center" wrapText="1"/>
    </xf>
    <xf numFmtId="0" fontId="77" fillId="28" borderId="1" xfId="8" applyFont="1" applyFill="1" applyBorder="1" applyAlignment="1" applyProtection="1">
      <alignment horizontal="left" vertical="center" wrapText="1"/>
    </xf>
    <xf numFmtId="0" fontId="75" fillId="28" borderId="1" xfId="4" applyFont="1" applyFill="1" applyBorder="1" applyAlignment="1" applyProtection="1">
      <alignment vertical="center" wrapText="1"/>
    </xf>
    <xf numFmtId="0" fontId="77" fillId="28" borderId="1" xfId="4" applyFont="1" applyFill="1" applyBorder="1" applyAlignment="1" applyProtection="1">
      <alignment vertical="center" wrapText="1"/>
    </xf>
    <xf numFmtId="0" fontId="75" fillId="28" borderId="1" xfId="8" applyFont="1" applyFill="1" applyBorder="1" applyAlignment="1" applyProtection="1">
      <alignment horizontal="center" vertical="center" wrapText="1"/>
    </xf>
    <xf numFmtId="0" fontId="75" fillId="28" borderId="1" xfId="8" applyFont="1" applyFill="1" applyBorder="1" applyAlignment="1" applyProtection="1">
      <alignment vertical="center" wrapText="1"/>
    </xf>
    <xf numFmtId="43" fontId="75" fillId="28" borderId="1" xfId="1" applyFont="1" applyFill="1" applyBorder="1" applyAlignment="1" applyProtection="1">
      <alignment horizontal="right" vertical="center" wrapText="1"/>
    </xf>
    <xf numFmtId="0" fontId="77" fillId="28" borderId="1" xfId="8" applyFont="1" applyFill="1" applyBorder="1" applyAlignment="1" applyProtection="1">
      <alignment horizontal="center" vertical="center" wrapText="1"/>
    </xf>
    <xf numFmtId="0" fontId="75" fillId="28" borderId="5" xfId="8" applyFont="1" applyFill="1" applyBorder="1" applyAlignment="1" applyProtection="1">
      <alignment horizontal="left" vertical="center" wrapText="1"/>
    </xf>
    <xf numFmtId="0" fontId="94" fillId="49" borderId="1" xfId="0" applyFont="1" applyFill="1" applyBorder="1" applyAlignment="1" applyProtection="1">
      <alignment vertical="center" wrapText="1"/>
    </xf>
    <xf numFmtId="0" fontId="100" fillId="49" borderId="1" xfId="0" applyFont="1" applyFill="1" applyBorder="1" applyAlignment="1" applyProtection="1">
      <alignment horizontal="right" vertical="center" wrapText="1"/>
    </xf>
    <xf numFmtId="2" fontId="75" fillId="0" borderId="0" xfId="8" applyNumberFormat="1" applyFont="1" applyFill="1" applyAlignment="1" applyProtection="1">
      <alignment vertical="center" wrapText="1"/>
    </xf>
    <xf numFmtId="0" fontId="75" fillId="0" borderId="0" xfId="8" applyFont="1" applyFill="1" applyAlignment="1" applyProtection="1">
      <alignment vertical="center" wrapText="1"/>
    </xf>
    <xf numFmtId="0" fontId="75" fillId="0" borderId="1" xfId="4" applyFont="1" applyFill="1" applyBorder="1" applyAlignment="1" applyProtection="1">
      <alignment horizontal="center" vertical="center" wrapText="1"/>
    </xf>
    <xf numFmtId="0" fontId="43" fillId="0" borderId="1" xfId="8" applyFont="1" applyBorder="1" applyAlignment="1" applyProtection="1">
      <alignment horizontal="center" vertical="center" wrapText="1"/>
    </xf>
    <xf numFmtId="43" fontId="84" fillId="0" borderId="1" xfId="0" applyNumberFormat="1" applyFont="1" applyBorder="1" applyAlignment="1" applyProtection="1">
      <alignment vertical="center" wrapText="1"/>
    </xf>
    <xf numFmtId="2" fontId="75" fillId="0" borderId="0" xfId="8" applyNumberFormat="1" applyFont="1" applyAlignment="1" applyProtection="1">
      <alignment vertical="center" wrapText="1"/>
    </xf>
    <xf numFmtId="0" fontId="75" fillId="0" borderId="1" xfId="0" applyFont="1" applyBorder="1" applyAlignment="1" applyProtection="1">
      <alignment vertical="top" wrapText="1"/>
    </xf>
    <xf numFmtId="2" fontId="72" fillId="0" borderId="0" xfId="8" applyNumberFormat="1" applyFont="1" applyAlignment="1" applyProtection="1">
      <alignment vertical="center" wrapText="1"/>
    </xf>
    <xf numFmtId="0" fontId="43" fillId="0" borderId="0" xfId="8" applyFont="1" applyAlignment="1" applyProtection="1">
      <alignment wrapText="1"/>
    </xf>
    <xf numFmtId="0" fontId="75" fillId="0" borderId="1" xfId="9" applyFont="1" applyBorder="1" applyAlignment="1" applyProtection="1">
      <alignment horizontal="center" vertical="center" wrapText="1"/>
    </xf>
    <xf numFmtId="0" fontId="77" fillId="0" borderId="1" xfId="4" applyFont="1" applyFill="1" applyBorder="1" applyAlignment="1" applyProtection="1">
      <alignment horizontal="left" vertical="center" wrapText="1"/>
    </xf>
    <xf numFmtId="0" fontId="75" fillId="0" borderId="1" xfId="4" applyFont="1" applyBorder="1" applyAlignment="1" applyProtection="1">
      <alignment horizontal="center" vertical="center" wrapText="1"/>
    </xf>
    <xf numFmtId="0" fontId="0" fillId="0" borderId="1" xfId="0" applyBorder="1" applyAlignment="1" applyProtection="1">
      <alignment horizontal="center" vertical="center" wrapText="1"/>
    </xf>
    <xf numFmtId="0" fontId="75" fillId="0" borderId="3" xfId="8" applyFont="1" applyBorder="1" applyAlignment="1" applyProtection="1">
      <alignment horizontal="center" vertical="center" wrapText="1"/>
    </xf>
    <xf numFmtId="0" fontId="75" fillId="0" borderId="1" xfId="8" applyFont="1" applyFill="1" applyBorder="1" applyAlignment="1" applyProtection="1">
      <alignment vertical="center" wrapText="1"/>
    </xf>
    <xf numFmtId="0" fontId="77" fillId="28" borderId="1" xfId="4" applyFont="1" applyFill="1" applyBorder="1" applyAlignment="1" applyProtection="1">
      <alignment horizontal="left" vertical="center" wrapText="1"/>
    </xf>
    <xf numFmtId="0" fontId="77" fillId="28" borderId="1" xfId="8" applyFont="1" applyFill="1" applyBorder="1" applyAlignment="1" applyProtection="1">
      <alignment vertical="center" wrapText="1"/>
    </xf>
    <xf numFmtId="0" fontId="100" fillId="49" borderId="1" xfId="0" applyFont="1" applyFill="1" applyBorder="1" applyAlignment="1" applyProtection="1">
      <alignment vertical="center" wrapText="1"/>
    </xf>
    <xf numFmtId="43" fontId="75" fillId="4" borderId="1" xfId="1" applyFont="1" applyFill="1" applyBorder="1" applyAlignment="1" applyProtection="1">
      <alignment horizontal="right" vertical="center" wrapText="1"/>
    </xf>
    <xf numFmtId="2" fontId="75" fillId="0" borderId="1" xfId="4" applyNumberFormat="1" applyFont="1" applyBorder="1" applyAlignment="1" applyProtection="1">
      <alignment vertical="center" wrapText="1"/>
    </xf>
    <xf numFmtId="0" fontId="43" fillId="0" borderId="1" xfId="8" applyFont="1" applyFill="1" applyBorder="1" applyAlignment="1" applyProtection="1">
      <alignment horizontal="center" vertical="center" wrapText="1"/>
    </xf>
    <xf numFmtId="0" fontId="43" fillId="0" borderId="1" xfId="9" applyFont="1" applyFill="1" applyBorder="1" applyAlignment="1" applyProtection="1">
      <alignment horizontal="center" vertical="center" wrapText="1"/>
    </xf>
    <xf numFmtId="0" fontId="43" fillId="0" borderId="1" xfId="9" applyFont="1" applyFill="1" applyBorder="1" applyAlignment="1" applyProtection="1">
      <alignment horizontal="left" vertical="center" wrapText="1"/>
    </xf>
    <xf numFmtId="0" fontId="75" fillId="0" borderId="1" xfId="0" applyFont="1" applyFill="1" applyBorder="1" applyAlignment="1" applyProtection="1">
      <alignment vertical="center" wrapText="1"/>
    </xf>
    <xf numFmtId="0" fontId="43" fillId="0" borderId="1" xfId="105" applyFont="1" applyBorder="1" applyAlignment="1" applyProtection="1">
      <alignment horizontal="left" vertical="top" wrapText="1"/>
    </xf>
    <xf numFmtId="0" fontId="43" fillId="0" borderId="1" xfId="105" applyFont="1" applyFill="1" applyBorder="1" applyAlignment="1" applyProtection="1">
      <alignment horizontal="left" vertical="top" wrapText="1"/>
    </xf>
    <xf numFmtId="43" fontId="77" fillId="0" borderId="1" xfId="1" applyFont="1" applyFill="1" applyBorder="1" applyAlignment="1" applyProtection="1">
      <alignment horizontal="right" vertical="center" wrapText="1"/>
    </xf>
    <xf numFmtId="0" fontId="72" fillId="28" borderId="1" xfId="8" applyFont="1" applyFill="1" applyBorder="1" applyAlignment="1" applyProtection="1">
      <alignment horizontal="left" vertical="center" wrapText="1"/>
    </xf>
    <xf numFmtId="0" fontId="72" fillId="28" borderId="1" xfId="4" applyFont="1" applyFill="1" applyBorder="1" applyAlignment="1" applyProtection="1">
      <alignment horizontal="left" vertical="center" wrapText="1"/>
    </xf>
    <xf numFmtId="0" fontId="71" fillId="0" borderId="1" xfId="9" applyFont="1" applyFill="1" applyBorder="1" applyAlignment="1" applyProtection="1">
      <alignment vertical="center" wrapText="1"/>
    </xf>
    <xf numFmtId="0" fontId="71" fillId="0" borderId="1" xfId="9" applyFont="1" applyFill="1" applyBorder="1" applyAlignment="1" applyProtection="1">
      <alignment horizontal="center" vertical="center" wrapText="1"/>
    </xf>
    <xf numFmtId="0" fontId="72" fillId="0" borderId="1" xfId="9" applyFont="1" applyFill="1" applyBorder="1" applyAlignment="1" applyProtection="1">
      <alignment horizontal="left" vertical="center" wrapText="1"/>
    </xf>
    <xf numFmtId="0" fontId="75" fillId="4" borderId="1" xfId="4" applyFont="1" applyFill="1" applyBorder="1" applyAlignment="1" applyProtection="1">
      <alignment vertical="center" wrapText="1"/>
    </xf>
    <xf numFmtId="0" fontId="43" fillId="0" borderId="0" xfId="8" applyFont="1" applyAlignment="1" applyProtection="1">
      <alignment vertical="center" wrapText="1"/>
    </xf>
    <xf numFmtId="2" fontId="43" fillId="0" borderId="0" xfId="8" applyNumberFormat="1" applyFont="1" applyAlignment="1" applyProtection="1">
      <alignment vertical="center" wrapText="1"/>
    </xf>
    <xf numFmtId="2" fontId="43" fillId="0" borderId="0" xfId="8" applyNumberFormat="1" applyFont="1" applyAlignment="1" applyProtection="1">
      <alignment wrapText="1"/>
    </xf>
    <xf numFmtId="0" fontId="75" fillId="2" borderId="1" xfId="4" applyFont="1" applyFill="1" applyBorder="1" applyAlignment="1" applyProtection="1">
      <alignment vertical="center" wrapText="1"/>
    </xf>
    <xf numFmtId="0" fontId="100" fillId="33" borderId="1" xfId="0" applyFont="1" applyFill="1" applyBorder="1" applyAlignment="1" applyProtection="1">
      <alignment horizontal="right" vertical="center" wrapText="1"/>
    </xf>
    <xf numFmtId="0" fontId="77" fillId="28" borderId="1" xfId="4" applyFont="1" applyFill="1" applyBorder="1" applyAlignment="1" applyProtection="1">
      <alignment horizontal="center" vertical="center" wrapText="1"/>
    </xf>
    <xf numFmtId="0" fontId="77" fillId="28" borderId="5" xfId="4" applyFont="1" applyFill="1" applyBorder="1" applyAlignment="1" applyProtection="1">
      <alignment horizontal="left" vertical="center" wrapText="1"/>
    </xf>
    <xf numFmtId="2" fontId="43" fillId="0" borderId="0" xfId="8" applyNumberFormat="1" applyFont="1" applyFill="1" applyAlignment="1" applyProtection="1">
      <alignment wrapText="1"/>
    </xf>
    <xf numFmtId="0" fontId="43" fillId="0" borderId="0" xfId="8" applyFont="1" applyFill="1" applyAlignment="1" applyProtection="1">
      <alignment wrapText="1"/>
    </xf>
    <xf numFmtId="0" fontId="75" fillId="28" borderId="1" xfId="4" applyFont="1" applyFill="1" applyBorder="1" applyAlignment="1" applyProtection="1">
      <alignment horizontal="left" vertical="center" wrapText="1"/>
    </xf>
    <xf numFmtId="0" fontId="43" fillId="0" borderId="1" xfId="40" applyFont="1" applyFill="1" applyBorder="1" applyAlignment="1" applyProtection="1">
      <alignment horizontal="center" vertical="center" wrapText="1"/>
    </xf>
    <xf numFmtId="0" fontId="43" fillId="0" borderId="1" xfId="40" applyFont="1" applyFill="1" applyBorder="1" applyAlignment="1" applyProtection="1">
      <alignment horizontal="left" vertical="center" wrapText="1"/>
    </xf>
    <xf numFmtId="2" fontId="75" fillId="0" borderId="1" xfId="4" applyNumberFormat="1" applyFont="1" applyFill="1" applyBorder="1" applyAlignment="1" applyProtection="1">
      <alignment vertical="center" wrapText="1"/>
    </xf>
    <xf numFmtId="43" fontId="84" fillId="0" borderId="1" xfId="1" applyFont="1" applyBorder="1" applyAlignment="1" applyProtection="1">
      <alignment horizontal="right" vertical="center" wrapText="1"/>
    </xf>
    <xf numFmtId="2" fontId="72" fillId="0" borderId="0" xfId="8" applyNumberFormat="1" applyFont="1" applyFill="1" applyAlignment="1" applyProtection="1">
      <alignment vertical="center" wrapText="1"/>
    </xf>
    <xf numFmtId="0" fontId="77" fillId="0" borderId="0" xfId="8" applyFont="1" applyFill="1" applyAlignment="1" applyProtection="1">
      <alignment vertical="center" wrapText="1"/>
    </xf>
    <xf numFmtId="0" fontId="84" fillId="0" borderId="1" xfId="0" applyFont="1" applyBorder="1" applyAlignment="1" applyProtection="1">
      <alignment horizontal="right" vertical="center" wrapText="1"/>
    </xf>
    <xf numFmtId="0" fontId="72" fillId="28" borderId="1" xfId="8" applyFont="1" applyFill="1" applyBorder="1" applyAlignment="1" applyProtection="1">
      <alignment horizontal="center" vertical="center" wrapText="1"/>
    </xf>
    <xf numFmtId="0" fontId="75" fillId="0" borderId="0" xfId="8" applyFont="1" applyAlignment="1" applyProtection="1">
      <alignment horizontal="left" vertical="center" wrapText="1"/>
    </xf>
    <xf numFmtId="2" fontId="75" fillId="0" borderId="0" xfId="8" applyNumberFormat="1" applyFont="1" applyAlignment="1" applyProtection="1">
      <alignment horizontal="left" vertical="center" wrapText="1"/>
    </xf>
    <xf numFmtId="43" fontId="75" fillId="0" borderId="0" xfId="1" applyFont="1" applyAlignment="1" applyProtection="1">
      <alignment vertical="center" wrapText="1"/>
    </xf>
    <xf numFmtId="43" fontId="75" fillId="0" borderId="0" xfId="1" applyFont="1" applyFill="1" applyAlignment="1" applyProtection="1">
      <alignment vertical="center" wrapText="1"/>
    </xf>
    <xf numFmtId="0" fontId="77" fillId="0" borderId="0" xfId="8" applyFont="1" applyAlignment="1" applyProtection="1">
      <alignment vertical="center" wrapText="1"/>
    </xf>
    <xf numFmtId="43" fontId="77" fillId="0" borderId="0" xfId="1" applyFont="1" applyAlignment="1" applyProtection="1">
      <alignment vertical="center" wrapText="1"/>
    </xf>
    <xf numFmtId="2" fontId="75" fillId="4" borderId="1" xfId="8" applyNumberFormat="1" applyFont="1" applyFill="1" applyBorder="1" applyAlignment="1" applyProtection="1">
      <alignment horizontal="right" vertical="center" wrapText="1"/>
      <protection locked="0"/>
    </xf>
    <xf numFmtId="0" fontId="75" fillId="28" borderId="1" xfId="8" applyFont="1" applyFill="1" applyBorder="1" applyAlignment="1" applyProtection="1">
      <alignment horizontal="center" vertical="center" wrapText="1"/>
      <protection locked="0"/>
    </xf>
    <xf numFmtId="2" fontId="75" fillId="4" borderId="5" xfId="8" applyNumberFormat="1" applyFont="1" applyFill="1" applyBorder="1" applyAlignment="1" applyProtection="1">
      <alignment horizontal="left" vertical="center" wrapText="1"/>
      <protection locked="0"/>
    </xf>
    <xf numFmtId="0" fontId="75" fillId="0" borderId="0" xfId="8" applyFont="1" applyAlignment="1" applyProtection="1">
      <alignment horizontal="left" vertical="center" wrapText="1"/>
      <protection locked="0"/>
    </xf>
    <xf numFmtId="0" fontId="75" fillId="0" borderId="0" xfId="8" applyFont="1" applyFill="1" applyAlignment="1" applyProtection="1">
      <alignment vertical="center" wrapText="1"/>
      <protection locked="0"/>
    </xf>
    <xf numFmtId="0" fontId="77" fillId="0" borderId="0" xfId="8" applyFont="1" applyAlignment="1" applyProtection="1">
      <alignment vertical="center" wrapText="1"/>
      <protection locked="0"/>
    </xf>
    <xf numFmtId="0" fontId="94" fillId="47" borderId="1" xfId="0" applyFont="1" applyFill="1" applyBorder="1" applyAlignment="1" applyProtection="1">
      <alignment horizontal="right" vertical="center" wrapText="1"/>
      <protection locked="0"/>
    </xf>
    <xf numFmtId="0" fontId="70" fillId="16" borderId="1" xfId="8" applyFont="1" applyFill="1" applyBorder="1" applyAlignment="1" applyProtection="1">
      <alignment vertical="center" wrapText="1"/>
    </xf>
    <xf numFmtId="0" fontId="75" fillId="0" borderId="0" xfId="0" applyFont="1" applyProtection="1"/>
    <xf numFmtId="0" fontId="72" fillId="0" borderId="1" xfId="0" applyFont="1" applyFill="1" applyBorder="1" applyAlignment="1" applyProtection="1">
      <alignment vertical="center" wrapText="1"/>
    </xf>
    <xf numFmtId="0" fontId="78" fillId="29" borderId="1" xfId="0" applyFont="1" applyFill="1" applyBorder="1" applyAlignment="1" applyProtection="1">
      <alignment horizontal="center" vertical="center" wrapText="1"/>
    </xf>
    <xf numFmtId="2" fontId="72" fillId="0" borderId="1" xfId="3" applyNumberFormat="1" applyFont="1" applyFill="1" applyBorder="1" applyProtection="1"/>
    <xf numFmtId="0" fontId="75" fillId="0" borderId="0" xfId="0" applyFont="1" applyAlignment="1" applyProtection="1">
      <alignment horizontal="center" vertical="center"/>
    </xf>
    <xf numFmtId="2" fontId="77" fillId="24" borderId="1" xfId="38" applyNumberFormat="1" applyFont="1" applyFill="1" applyBorder="1" applyAlignment="1" applyProtection="1">
      <alignment horizontal="center" vertical="center" wrapText="1"/>
    </xf>
    <xf numFmtId="2" fontId="77" fillId="5" borderId="1" xfId="38" applyNumberFormat="1" applyFont="1" applyFill="1" applyBorder="1" applyAlignment="1" applyProtection="1">
      <alignment horizontal="center" vertical="center" wrapText="1"/>
    </xf>
    <xf numFmtId="2" fontId="70" fillId="7" borderId="1" xfId="8" applyNumberFormat="1" applyFont="1" applyFill="1" applyBorder="1" applyAlignment="1" applyProtection="1">
      <alignment horizontal="left" vertical="center" wrapText="1"/>
    </xf>
    <xf numFmtId="0" fontId="70" fillId="7" borderId="1" xfId="8" applyFont="1" applyFill="1" applyBorder="1" applyAlignment="1" applyProtection="1">
      <alignment horizontal="left" wrapText="1"/>
    </xf>
    <xf numFmtId="2" fontId="77" fillId="2" borderId="1" xfId="4" applyNumberFormat="1" applyFont="1" applyFill="1" applyBorder="1" applyAlignment="1" applyProtection="1">
      <alignment horizontal="left" vertical="center" wrapText="1"/>
    </xf>
    <xf numFmtId="0" fontId="77" fillId="2" borderId="1" xfId="4" applyFont="1" applyFill="1" applyBorder="1" applyAlignment="1" applyProtection="1">
      <alignment horizontal="right" vertical="center" wrapText="1"/>
    </xf>
    <xf numFmtId="0" fontId="77" fillId="2" borderId="1" xfId="4" applyFont="1" applyFill="1" applyBorder="1" applyAlignment="1" applyProtection="1">
      <alignment horizontal="left" wrapText="1"/>
    </xf>
    <xf numFmtId="0" fontId="75" fillId="0" borderId="1" xfId="11" applyFont="1" applyBorder="1" applyAlignment="1" applyProtection="1">
      <alignment horizontal="left" vertical="center"/>
    </xf>
    <xf numFmtId="0" fontId="75" fillId="0" borderId="1" xfId="11" applyFont="1" applyBorder="1" applyAlignment="1" applyProtection="1">
      <alignment horizontal="center" vertical="center"/>
    </xf>
    <xf numFmtId="2" fontId="77" fillId="0" borderId="1" xfId="11" applyNumberFormat="1" applyFont="1" applyBorder="1" applyAlignment="1" applyProtection="1">
      <alignment vertical="center" wrapText="1"/>
    </xf>
    <xf numFmtId="2" fontId="75" fillId="0" borderId="0" xfId="0" applyNumberFormat="1" applyFont="1" applyProtection="1"/>
    <xf numFmtId="43" fontId="72" fillId="0" borderId="1" xfId="1" applyFont="1" applyFill="1" applyBorder="1" applyAlignment="1" applyProtection="1">
      <alignment horizontal="left" vertical="center" wrapText="1"/>
    </xf>
    <xf numFmtId="0" fontId="98" fillId="45" borderId="1" xfId="0" applyFont="1" applyFill="1" applyBorder="1" applyAlignment="1" applyProtection="1">
      <alignment horizontal="center" vertical="center" wrapText="1"/>
    </xf>
    <xf numFmtId="0" fontId="73" fillId="7" borderId="1" xfId="8" applyFont="1" applyFill="1" applyBorder="1" applyAlignment="1" applyProtection="1">
      <alignment horizontal="center" vertical="center" wrapText="1"/>
    </xf>
    <xf numFmtId="43" fontId="72" fillId="7" borderId="1" xfId="1" applyFont="1" applyFill="1" applyBorder="1" applyAlignment="1" applyProtection="1">
      <alignment horizontal="right" vertical="center" wrapText="1"/>
    </xf>
    <xf numFmtId="0" fontId="72" fillId="7" borderId="1" xfId="8" applyFont="1" applyFill="1" applyBorder="1" applyAlignment="1" applyProtection="1">
      <alignment horizontal="center" vertical="center" wrapText="1"/>
    </xf>
    <xf numFmtId="0" fontId="99" fillId="31" borderId="1" xfId="0" applyFont="1" applyFill="1" applyBorder="1" applyAlignment="1" applyProtection="1">
      <alignment horizontal="left" vertical="center" wrapText="1"/>
    </xf>
    <xf numFmtId="43" fontId="99" fillId="31" borderId="1" xfId="1" applyFont="1" applyFill="1" applyBorder="1" applyAlignment="1" applyProtection="1">
      <alignment horizontal="right" vertical="center" wrapText="1"/>
    </xf>
    <xf numFmtId="0" fontId="75" fillId="2" borderId="1" xfId="8" applyFont="1" applyFill="1" applyBorder="1" applyAlignment="1" applyProtection="1">
      <alignment horizontal="center" vertical="center" wrapText="1"/>
    </xf>
    <xf numFmtId="0" fontId="75" fillId="2" borderId="1" xfId="8" applyFont="1" applyFill="1" applyBorder="1" applyAlignment="1" applyProtection="1">
      <alignment vertical="center" wrapText="1"/>
    </xf>
    <xf numFmtId="43" fontId="43" fillId="2" borderId="1" xfId="1" applyFont="1" applyFill="1" applyBorder="1" applyAlignment="1" applyProtection="1">
      <alignment horizontal="right" vertical="center" wrapText="1"/>
    </xf>
    <xf numFmtId="0" fontId="72" fillId="2" borderId="1" xfId="8" applyFont="1" applyFill="1" applyBorder="1" applyAlignment="1" applyProtection="1">
      <alignment vertical="center" wrapText="1"/>
    </xf>
    <xf numFmtId="0" fontId="94" fillId="33" borderId="1" xfId="0" applyFont="1" applyFill="1" applyBorder="1" applyAlignment="1" applyProtection="1">
      <alignment horizontal="left" vertical="center" wrapText="1"/>
    </xf>
    <xf numFmtId="43" fontId="100" fillId="33" borderId="1" xfId="1" applyFont="1" applyFill="1" applyBorder="1" applyAlignment="1" applyProtection="1">
      <alignment horizontal="right" vertical="center" wrapText="1"/>
    </xf>
    <xf numFmtId="0" fontId="77" fillId="4" borderId="1" xfId="8" applyFont="1" applyFill="1" applyBorder="1" applyAlignment="1" applyProtection="1">
      <alignment vertical="center" wrapText="1"/>
    </xf>
    <xf numFmtId="43" fontId="43" fillId="4" borderId="1" xfId="1" applyFont="1" applyFill="1" applyBorder="1" applyAlignment="1" applyProtection="1">
      <alignment horizontal="right" vertical="center" wrapText="1"/>
    </xf>
    <xf numFmtId="0" fontId="72" fillId="4" borderId="1" xfId="8" applyFont="1" applyFill="1" applyBorder="1" applyAlignment="1" applyProtection="1">
      <alignment vertical="center" wrapText="1"/>
    </xf>
    <xf numFmtId="0" fontId="94" fillId="46" borderId="1" xfId="0" applyFont="1" applyFill="1" applyBorder="1" applyAlignment="1" applyProtection="1">
      <alignment horizontal="left" vertical="center" wrapText="1"/>
    </xf>
    <xf numFmtId="43" fontId="100" fillId="46" borderId="1" xfId="1" applyFont="1" applyFill="1" applyBorder="1" applyAlignment="1" applyProtection="1">
      <alignment horizontal="right" vertical="center" wrapText="1"/>
    </xf>
    <xf numFmtId="0" fontId="77" fillId="3" borderId="1" xfId="8" applyFont="1" applyFill="1" applyBorder="1" applyAlignment="1" applyProtection="1">
      <alignment vertical="center" wrapText="1"/>
    </xf>
    <xf numFmtId="0" fontId="75" fillId="3" borderId="1" xfId="4" applyFont="1" applyFill="1" applyBorder="1" applyAlignment="1" applyProtection="1">
      <alignment vertical="center" wrapText="1"/>
    </xf>
    <xf numFmtId="0" fontId="77" fillId="3" borderId="1" xfId="4" applyFont="1" applyFill="1" applyBorder="1" applyAlignment="1" applyProtection="1">
      <alignment vertical="center" wrapText="1"/>
    </xf>
    <xf numFmtId="0" fontId="75" fillId="3" borderId="1" xfId="8" applyFont="1" applyFill="1" applyBorder="1" applyAlignment="1" applyProtection="1">
      <alignment horizontal="center" vertical="center" wrapText="1"/>
    </xf>
    <xf numFmtId="0" fontId="75" fillId="3" borderId="1" xfId="8" applyFont="1" applyFill="1" applyBorder="1" applyAlignment="1" applyProtection="1">
      <alignment vertical="center" wrapText="1"/>
    </xf>
    <xf numFmtId="43" fontId="43" fillId="3" borderId="1" xfId="1" applyFont="1" applyFill="1" applyBorder="1" applyAlignment="1" applyProtection="1">
      <alignment horizontal="right" vertical="center" wrapText="1"/>
    </xf>
    <xf numFmtId="0" fontId="72" fillId="3" borderId="1" xfId="8" applyFont="1" applyFill="1" applyBorder="1" applyAlignment="1" applyProtection="1">
      <alignment vertical="center" wrapText="1"/>
    </xf>
    <xf numFmtId="43" fontId="72" fillId="3" borderId="1" xfId="1" applyFont="1" applyFill="1" applyBorder="1" applyAlignment="1" applyProtection="1">
      <alignment horizontal="right" vertical="center" wrapText="1"/>
    </xf>
    <xf numFmtId="0" fontId="94" fillId="50" borderId="1" xfId="0" applyFont="1" applyFill="1" applyBorder="1" applyAlignment="1" applyProtection="1">
      <alignment horizontal="left" vertical="center" wrapText="1"/>
    </xf>
    <xf numFmtId="43" fontId="100" fillId="50" borderId="1" xfId="1" applyFont="1" applyFill="1" applyBorder="1" applyAlignment="1" applyProtection="1">
      <alignment horizontal="right" vertical="center" wrapText="1"/>
    </xf>
    <xf numFmtId="0" fontId="84" fillId="0" borderId="1" xfId="0" applyFont="1" applyBorder="1" applyAlignment="1" applyProtection="1">
      <alignment horizontal="left" vertical="center" wrapText="1"/>
    </xf>
    <xf numFmtId="43" fontId="77" fillId="3" borderId="1" xfId="1" applyFont="1" applyFill="1" applyBorder="1" applyAlignment="1" applyProtection="1">
      <alignment horizontal="right" vertical="center" wrapText="1"/>
    </xf>
    <xf numFmtId="0" fontId="75" fillId="0" borderId="1" xfId="0" applyFont="1" applyBorder="1" applyProtection="1"/>
    <xf numFmtId="0" fontId="71" fillId="0" borderId="1" xfId="38" applyFont="1" applyFill="1" applyBorder="1" applyAlignment="1" applyProtection="1">
      <alignment horizontal="center" vertical="center" wrapText="1"/>
    </xf>
    <xf numFmtId="0" fontId="94" fillId="0" borderId="1" xfId="0" applyFont="1" applyFill="1" applyBorder="1" applyAlignment="1" applyProtection="1">
      <alignment horizontal="left" vertical="center" wrapText="1"/>
    </xf>
    <xf numFmtId="43" fontId="94" fillId="0" borderId="1" xfId="1" applyFont="1" applyFill="1" applyBorder="1" applyAlignment="1" applyProtection="1">
      <alignment vertical="center" wrapText="1"/>
    </xf>
    <xf numFmtId="0" fontId="75" fillId="0" borderId="1" xfId="0" applyFont="1" applyBorder="1" applyAlignment="1" applyProtection="1">
      <alignment vertical="center"/>
    </xf>
    <xf numFmtId="0" fontId="41" fillId="0" borderId="1" xfId="0" applyFont="1" applyBorder="1" applyAlignment="1" applyProtection="1">
      <alignment wrapText="1"/>
    </xf>
    <xf numFmtId="43" fontId="94" fillId="46" borderId="1" xfId="1" applyFont="1" applyFill="1" applyBorder="1" applyAlignment="1" applyProtection="1">
      <alignment horizontal="right" vertical="center" wrapText="1"/>
    </xf>
    <xf numFmtId="0" fontId="75" fillId="0" borderId="1" xfId="9" applyFont="1" applyBorder="1" applyAlignment="1" applyProtection="1">
      <alignment horizontal="left" vertical="center" wrapText="1"/>
    </xf>
    <xf numFmtId="2" fontId="75" fillId="3" borderId="1" xfId="4" applyNumberFormat="1" applyFont="1" applyFill="1" applyBorder="1" applyAlignment="1" applyProtection="1">
      <alignment vertical="center" wrapText="1"/>
    </xf>
    <xf numFmtId="2" fontId="77" fillId="3" borderId="1" xfId="4" applyNumberFormat="1" applyFont="1" applyFill="1" applyBorder="1" applyAlignment="1" applyProtection="1">
      <alignment vertical="center" wrapText="1"/>
    </xf>
    <xf numFmtId="0" fontId="75" fillId="0" borderId="1" xfId="87" applyFont="1" applyBorder="1" applyAlignment="1" applyProtection="1">
      <alignment horizontal="left" vertical="center"/>
    </xf>
    <xf numFmtId="0" fontId="91" fillId="0" borderId="0" xfId="0" applyFont="1" applyAlignment="1" applyProtection="1">
      <alignment wrapText="1"/>
    </xf>
    <xf numFmtId="0" fontId="43" fillId="0" borderId="1" xfId="87" applyFont="1" applyBorder="1" applyAlignment="1" applyProtection="1">
      <alignment horizontal="center" vertical="center" wrapText="1"/>
    </xf>
    <xf numFmtId="0" fontId="94" fillId="0" borderId="1" xfId="0" applyFont="1" applyBorder="1" applyAlignment="1" applyProtection="1">
      <alignment horizontal="left" vertical="center"/>
    </xf>
    <xf numFmtId="43" fontId="94" fillId="0" borderId="1" xfId="1" applyFont="1" applyBorder="1" applyAlignment="1" applyProtection="1">
      <alignment horizontal="right" vertical="center"/>
    </xf>
    <xf numFmtId="0" fontId="94" fillId="47" borderId="1" xfId="0" applyFont="1" applyFill="1" applyBorder="1" applyAlignment="1" applyProtection="1">
      <alignment horizontal="left" vertical="center" wrapText="1"/>
      <protection locked="0"/>
    </xf>
    <xf numFmtId="43" fontId="94" fillId="47" borderId="1" xfId="1" applyFont="1" applyFill="1" applyBorder="1" applyAlignment="1" applyProtection="1">
      <alignment horizontal="right" vertical="center" wrapText="1"/>
      <protection locked="0"/>
    </xf>
    <xf numFmtId="43" fontId="84" fillId="10" borderId="1" xfId="1" applyFont="1" applyFill="1" applyBorder="1" applyAlignment="1" applyProtection="1">
      <alignment horizontal="right" vertical="center" wrapText="1"/>
      <protection locked="0"/>
    </xf>
    <xf numFmtId="43" fontId="94" fillId="47" borderId="1" xfId="1" applyFont="1" applyFill="1" applyBorder="1" applyAlignment="1" applyProtection="1">
      <alignment horizontal="right" vertical="center"/>
      <protection locked="0"/>
    </xf>
    <xf numFmtId="0" fontId="43" fillId="0" borderId="0" xfId="62" applyFont="1" applyAlignment="1" applyProtection="1">
      <alignment vertical="center"/>
    </xf>
    <xf numFmtId="0" fontId="43" fillId="0" borderId="0" xfId="62" applyFont="1" applyFill="1" applyAlignment="1" applyProtection="1">
      <alignment vertical="center"/>
    </xf>
    <xf numFmtId="0" fontId="43" fillId="0" borderId="0" xfId="62" applyFont="1" applyAlignment="1" applyProtection="1">
      <alignment horizontal="center" vertical="center"/>
    </xf>
    <xf numFmtId="0" fontId="43" fillId="0" borderId="0" xfId="11" applyFont="1" applyAlignment="1" applyProtection="1">
      <alignment horizontal="center" vertical="center" wrapText="1"/>
    </xf>
    <xf numFmtId="0" fontId="73" fillId="7" borderId="1" xfId="11" applyFont="1" applyFill="1" applyBorder="1" applyAlignment="1" applyProtection="1">
      <alignment horizontal="center" vertical="center" wrapText="1"/>
    </xf>
    <xf numFmtId="0" fontId="77" fillId="7" borderId="1" xfId="11" applyFont="1" applyFill="1" applyBorder="1" applyAlignment="1" applyProtection="1">
      <alignment horizontal="left" vertical="center" wrapText="1"/>
    </xf>
    <xf numFmtId="0" fontId="77" fillId="7" borderId="1" xfId="11" applyFont="1" applyFill="1" applyBorder="1" applyAlignment="1" applyProtection="1">
      <alignment horizontal="center" vertical="center" wrapText="1"/>
    </xf>
    <xf numFmtId="43" fontId="77" fillId="7" borderId="1" xfId="1" applyFont="1" applyFill="1" applyBorder="1" applyAlignment="1" applyProtection="1">
      <alignment horizontal="right" vertical="center" wrapText="1"/>
    </xf>
    <xf numFmtId="0" fontId="43" fillId="0" borderId="0" xfId="11" applyFont="1" applyAlignment="1" applyProtection="1">
      <alignment vertical="center" wrapText="1"/>
    </xf>
    <xf numFmtId="0" fontId="72" fillId="2" borderId="1" xfId="4" applyFont="1" applyFill="1" applyBorder="1" applyAlignment="1" applyProtection="1">
      <alignment horizontal="left" vertical="center" wrapText="1"/>
    </xf>
    <xf numFmtId="0" fontId="43" fillId="2" borderId="1" xfId="4" applyFont="1" applyFill="1" applyBorder="1" applyAlignment="1" applyProtection="1">
      <alignment horizontal="left" vertical="center" wrapText="1"/>
    </xf>
    <xf numFmtId="0" fontId="72" fillId="36" borderId="1" xfId="11" applyFont="1" applyFill="1" applyBorder="1" applyAlignment="1" applyProtection="1">
      <alignment horizontal="left" vertical="center" wrapText="1"/>
    </xf>
    <xf numFmtId="0" fontId="43" fillId="36" borderId="1" xfId="4" applyFont="1" applyFill="1" applyBorder="1" applyAlignment="1" applyProtection="1">
      <alignment vertical="center" wrapText="1"/>
    </xf>
    <xf numFmtId="0" fontId="72" fillId="36" borderId="1" xfId="4" applyFont="1" applyFill="1" applyBorder="1" applyAlignment="1" applyProtection="1">
      <alignment vertical="center" wrapText="1"/>
    </xf>
    <xf numFmtId="0" fontId="75" fillId="36" borderId="1" xfId="4" applyFont="1" applyFill="1" applyBorder="1" applyAlignment="1" applyProtection="1">
      <alignment horizontal="center" vertical="center" wrapText="1"/>
    </xf>
    <xf numFmtId="0" fontId="77" fillId="36" borderId="1" xfId="4" applyFont="1" applyFill="1" applyBorder="1" applyAlignment="1" applyProtection="1">
      <alignment vertical="center" wrapText="1"/>
    </xf>
    <xf numFmtId="0" fontId="77" fillId="36" borderId="1" xfId="4" applyFont="1" applyFill="1" applyBorder="1" applyAlignment="1" applyProtection="1">
      <alignment horizontal="center" vertical="center" wrapText="1"/>
    </xf>
    <xf numFmtId="43" fontId="77" fillId="36" borderId="1" xfId="1" applyFont="1" applyFill="1" applyBorder="1" applyAlignment="1" applyProtection="1">
      <alignment horizontal="right" vertical="center" wrapText="1"/>
    </xf>
    <xf numFmtId="0" fontId="77" fillId="36" borderId="1" xfId="4" applyFont="1" applyFill="1" applyBorder="1" applyAlignment="1" applyProtection="1">
      <alignment horizontal="left" vertical="center" wrapText="1"/>
    </xf>
    <xf numFmtId="0" fontId="43" fillId="0" borderId="0" xfId="87" applyFont="1" applyAlignment="1" applyProtection="1">
      <alignment vertical="center" wrapText="1"/>
    </xf>
    <xf numFmtId="0" fontId="72" fillId="29" borderId="1" xfId="87" applyFont="1" applyFill="1" applyBorder="1" applyAlignment="1" applyProtection="1">
      <alignment horizontal="center" vertical="center"/>
    </xf>
    <xf numFmtId="0" fontId="43" fillId="0" borderId="0" xfId="87" applyFont="1" applyFill="1" applyAlignment="1" applyProtection="1">
      <alignment vertical="center"/>
    </xf>
    <xf numFmtId="0" fontId="43" fillId="0" borderId="0" xfId="87" applyFont="1" applyAlignment="1" applyProtection="1">
      <alignment vertical="center"/>
    </xf>
    <xf numFmtId="0" fontId="43" fillId="0" borderId="1" xfId="87" applyFont="1" applyFill="1" applyBorder="1" applyAlignment="1" applyProtection="1">
      <alignment horizontal="center" vertical="center" wrapText="1"/>
    </xf>
    <xf numFmtId="0" fontId="41" fillId="0" borderId="1" xfId="4" applyFont="1" applyFill="1" applyBorder="1" applyAlignment="1" applyProtection="1">
      <alignment vertical="center" wrapText="1"/>
    </xf>
    <xf numFmtId="0" fontId="42" fillId="0" borderId="1" xfId="87" applyFont="1" applyFill="1" applyBorder="1" applyAlignment="1" applyProtection="1">
      <alignment horizontal="center" vertical="center" wrapText="1"/>
    </xf>
    <xf numFmtId="0" fontId="77" fillId="10" borderId="1" xfId="4" applyFont="1" applyFill="1" applyBorder="1" applyAlignment="1" applyProtection="1">
      <alignment horizontal="center" vertical="center" wrapText="1"/>
    </xf>
    <xf numFmtId="49" fontId="43" fillId="0" borderId="1" xfId="4" applyNumberFormat="1" applyFont="1" applyFill="1" applyBorder="1" applyAlignment="1" applyProtection="1">
      <alignment vertical="center" wrapText="1"/>
    </xf>
    <xf numFmtId="43" fontId="75" fillId="0" borderId="1" xfId="1" applyFont="1" applyFill="1" applyBorder="1" applyAlignment="1" applyProtection="1">
      <alignment vertical="center" wrapText="1"/>
    </xf>
    <xf numFmtId="0" fontId="43" fillId="0" borderId="1" xfId="11" applyFont="1" applyFill="1" applyBorder="1" applyAlignment="1" applyProtection="1">
      <alignment horizontal="left" vertical="center" wrapText="1"/>
    </xf>
    <xf numFmtId="0" fontId="43" fillId="0" borderId="1" xfId="87" applyFont="1" applyFill="1" applyBorder="1" applyAlignment="1" applyProtection="1">
      <alignment vertical="center" wrapText="1"/>
    </xf>
    <xf numFmtId="0" fontId="77" fillId="28" borderId="1" xfId="11" applyFont="1" applyFill="1" applyBorder="1" applyAlignment="1" applyProtection="1">
      <alignment horizontal="center" vertical="center" wrapText="1"/>
    </xf>
    <xf numFmtId="0" fontId="75" fillId="0" borderId="1" xfId="11" applyFont="1" applyFill="1" applyBorder="1" applyAlignment="1" applyProtection="1">
      <alignment horizontal="center" vertical="center" wrapText="1"/>
    </xf>
    <xf numFmtId="0" fontId="43" fillId="0" borderId="1" xfId="4" applyFont="1" applyFill="1" applyBorder="1" applyAlignment="1" applyProtection="1">
      <alignment horizontal="left" vertical="center"/>
    </xf>
    <xf numFmtId="0" fontId="43" fillId="0" borderId="1" xfId="87" applyFont="1" applyFill="1" applyBorder="1" applyAlignment="1" applyProtection="1">
      <alignment vertical="center"/>
    </xf>
    <xf numFmtId="0" fontId="43" fillId="0" borderId="1" xfId="87" applyFont="1" applyBorder="1" applyAlignment="1" applyProtection="1">
      <alignment vertical="center"/>
    </xf>
    <xf numFmtId="0" fontId="43" fillId="0" borderId="1" xfId="87" applyFont="1" applyBorder="1" applyAlignment="1" applyProtection="1">
      <alignment vertical="center" wrapText="1"/>
    </xf>
    <xf numFmtId="0" fontId="43" fillId="0" borderId="1" xfId="87" applyFont="1" applyBorder="1" applyAlignment="1" applyProtection="1">
      <alignment horizontal="center" vertical="center"/>
    </xf>
    <xf numFmtId="0" fontId="43" fillId="0" borderId="1" xfId="87" applyFont="1" applyBorder="1" applyAlignment="1" applyProtection="1">
      <alignment horizontal="left" vertical="center"/>
    </xf>
    <xf numFmtId="0" fontId="43" fillId="0" borderId="0" xfId="87" applyFont="1" applyAlignment="1" applyProtection="1">
      <alignment horizontal="center" vertical="center"/>
    </xf>
    <xf numFmtId="0" fontId="43" fillId="0" borderId="0" xfId="87" applyFont="1" applyAlignment="1" applyProtection="1">
      <alignment horizontal="center" vertical="center" wrapText="1"/>
    </xf>
    <xf numFmtId="43" fontId="43" fillId="0" borderId="0" xfId="1" applyFont="1" applyAlignment="1" applyProtection="1">
      <alignment horizontal="right" vertical="center"/>
    </xf>
    <xf numFmtId="0" fontId="43" fillId="0" borderId="0" xfId="87" applyFont="1" applyAlignment="1" applyProtection="1">
      <alignment horizontal="left" vertical="center"/>
    </xf>
    <xf numFmtId="43" fontId="77" fillId="0" borderId="1" xfId="1" applyFont="1" applyFill="1" applyBorder="1" applyAlignment="1" applyProtection="1">
      <alignment horizontal="right" vertical="center" wrapText="1"/>
      <protection locked="0"/>
    </xf>
    <xf numFmtId="43" fontId="77" fillId="36" borderId="1" xfId="1" applyFont="1" applyFill="1" applyBorder="1" applyAlignment="1" applyProtection="1">
      <alignment horizontal="right" vertical="center" wrapText="1"/>
      <protection locked="0"/>
    </xf>
    <xf numFmtId="43" fontId="77" fillId="0" borderId="1" xfId="1" applyFont="1" applyFill="1" applyBorder="1" applyAlignment="1" applyProtection="1">
      <alignment horizontal="left" vertical="center" wrapText="1"/>
      <protection locked="0"/>
    </xf>
    <xf numFmtId="0" fontId="43" fillId="0" borderId="1" xfId="87" applyFont="1" applyBorder="1" applyAlignment="1" applyProtection="1">
      <alignment horizontal="center" vertical="center"/>
      <protection locked="0"/>
    </xf>
    <xf numFmtId="43" fontId="43" fillId="0" borderId="1" xfId="1" applyFont="1" applyBorder="1" applyAlignment="1" applyProtection="1">
      <alignment horizontal="right" vertical="center"/>
      <protection locked="0"/>
    </xf>
    <xf numFmtId="0" fontId="43" fillId="0" borderId="1" xfId="87" applyFont="1" applyBorder="1" applyAlignment="1" applyProtection="1">
      <alignment horizontal="left" vertical="center"/>
      <protection locked="0"/>
    </xf>
    <xf numFmtId="0" fontId="72" fillId="0" borderId="0" xfId="8" applyFont="1" applyFill="1" applyBorder="1" applyAlignment="1" applyProtection="1">
      <alignment vertical="center"/>
    </xf>
    <xf numFmtId="0" fontId="76" fillId="8" borderId="1" xfId="3" applyFont="1" applyFill="1" applyBorder="1" applyAlignment="1" applyProtection="1">
      <alignment vertical="center"/>
    </xf>
    <xf numFmtId="0" fontId="76" fillId="24" borderId="1" xfId="3" applyFont="1" applyFill="1" applyBorder="1" applyAlignment="1" applyProtection="1">
      <alignment vertical="center" wrapText="1"/>
    </xf>
    <xf numFmtId="0" fontId="72" fillId="0" borderId="0" xfId="8" applyFont="1" applyFill="1" applyBorder="1" applyAlignment="1" applyProtection="1">
      <alignment horizontal="center" vertical="center"/>
    </xf>
    <xf numFmtId="0" fontId="72" fillId="0" borderId="1" xfId="62" applyFont="1" applyBorder="1" applyAlignment="1" applyProtection="1">
      <alignment horizontal="center" vertical="center"/>
    </xf>
    <xf numFmtId="0" fontId="77" fillId="2" borderId="13" xfId="4" applyFont="1" applyFill="1" applyBorder="1" applyAlignment="1" applyProtection="1">
      <alignment horizontal="left" vertical="center" wrapText="1"/>
    </xf>
    <xf numFmtId="2" fontId="77" fillId="2" borderId="13" xfId="4" applyNumberFormat="1" applyFont="1" applyFill="1" applyBorder="1" applyAlignment="1" applyProtection="1">
      <alignment horizontal="right" vertical="center" wrapText="1"/>
    </xf>
    <xf numFmtId="2" fontId="77" fillId="28" borderId="1" xfId="4" applyNumberFormat="1" applyFont="1" applyFill="1" applyBorder="1" applyAlignment="1" applyProtection="1">
      <alignment horizontal="right" vertical="center" wrapText="1"/>
    </xf>
    <xf numFmtId="0" fontId="77" fillId="28" borderId="1" xfId="4" applyFont="1" applyFill="1" applyBorder="1" applyAlignment="1" applyProtection="1">
      <alignment horizontal="right" vertical="center" wrapText="1"/>
    </xf>
    <xf numFmtId="0" fontId="98" fillId="49" borderId="1" xfId="0" applyFont="1" applyFill="1" applyBorder="1" applyAlignment="1" applyProtection="1">
      <alignment vertical="center" wrapText="1"/>
    </xf>
    <xf numFmtId="0" fontId="72" fillId="28" borderId="1" xfId="87" applyFont="1" applyFill="1" applyBorder="1" applyAlignment="1" applyProtection="1">
      <alignment horizontal="center" vertical="center"/>
    </xf>
    <xf numFmtId="0" fontId="72" fillId="3" borderId="1" xfId="4" applyFont="1" applyFill="1" applyBorder="1" applyAlignment="1" applyProtection="1">
      <alignment vertical="center" wrapText="1"/>
    </xf>
    <xf numFmtId="0" fontId="43" fillId="3" borderId="1" xfId="4" applyFont="1" applyFill="1" applyBorder="1" applyAlignment="1" applyProtection="1">
      <alignment vertical="center" wrapText="1"/>
    </xf>
    <xf numFmtId="0" fontId="75" fillId="3" borderId="1" xfId="4" applyFont="1" applyFill="1" applyBorder="1" applyAlignment="1" applyProtection="1">
      <alignment horizontal="center" vertical="center" wrapText="1"/>
    </xf>
    <xf numFmtId="2" fontId="77" fillId="3" borderId="1" xfId="4" applyNumberFormat="1" applyFont="1" applyFill="1" applyBorder="1" applyAlignment="1" applyProtection="1">
      <alignment horizontal="right" vertical="center" wrapText="1"/>
    </xf>
    <xf numFmtId="0" fontId="77" fillId="3" borderId="5" xfId="4" applyFont="1" applyFill="1" applyBorder="1" applyAlignment="1" applyProtection="1">
      <alignment horizontal="left" vertical="center" wrapText="1"/>
    </xf>
    <xf numFmtId="0" fontId="100" fillId="50" borderId="1" xfId="0" applyFont="1" applyFill="1" applyBorder="1" applyAlignment="1" applyProtection="1">
      <alignment vertical="center" wrapText="1"/>
    </xf>
    <xf numFmtId="2" fontId="75" fillId="0" borderId="1" xfId="87" applyNumberFormat="1" applyFont="1" applyBorder="1" applyAlignment="1" applyProtection="1">
      <alignment horizontal="right" vertical="center"/>
    </xf>
    <xf numFmtId="43" fontId="84" fillId="0" borderId="1" xfId="1" applyFont="1" applyBorder="1" applyAlignment="1" applyProtection="1">
      <alignment vertical="center"/>
    </xf>
    <xf numFmtId="0" fontId="43" fillId="0" borderId="1" xfId="87" applyFont="1" applyFill="1" applyBorder="1" applyAlignment="1" applyProtection="1">
      <alignment horizontal="center" vertical="center"/>
    </xf>
    <xf numFmtId="0" fontId="43" fillId="0" borderId="1" xfId="0" applyFont="1" applyFill="1" applyBorder="1" applyAlignment="1" applyProtection="1">
      <alignment vertical="center" wrapText="1"/>
    </xf>
    <xf numFmtId="2" fontId="75" fillId="0" borderId="1" xfId="87" applyNumberFormat="1" applyFont="1" applyFill="1" applyBorder="1" applyAlignment="1" applyProtection="1">
      <alignment horizontal="right" vertical="center"/>
    </xf>
    <xf numFmtId="0" fontId="43" fillId="0" borderId="1" xfId="8" applyFont="1" applyBorder="1" applyAlignment="1" applyProtection="1">
      <alignment vertical="center" wrapText="1"/>
    </xf>
    <xf numFmtId="0" fontId="43" fillId="0" borderId="1" xfId="0" applyFont="1" applyFill="1" applyBorder="1" applyAlignment="1" applyProtection="1">
      <alignment vertical="top" wrapText="1"/>
    </xf>
    <xf numFmtId="0" fontId="43" fillId="3" borderId="1" xfId="87" applyFont="1" applyFill="1" applyBorder="1" applyAlignment="1" applyProtection="1">
      <alignment horizontal="center" vertical="center" wrapText="1"/>
    </xf>
    <xf numFmtId="0" fontId="43" fillId="0" borderId="1" xfId="4" applyFont="1" applyBorder="1" applyAlignment="1" applyProtection="1">
      <alignment vertical="center"/>
    </xf>
    <xf numFmtId="0" fontId="77" fillId="3" borderId="1" xfId="4" applyFont="1" applyFill="1" applyBorder="1" applyAlignment="1" applyProtection="1">
      <alignment horizontal="center" vertical="center" wrapText="1"/>
    </xf>
    <xf numFmtId="43" fontId="84" fillId="0" borderId="1" xfId="1" applyFont="1" applyBorder="1" applyAlignment="1" applyProtection="1">
      <alignment horizontal="right" vertical="center"/>
    </xf>
    <xf numFmtId="0" fontId="41" fillId="0" borderId="1" xfId="87" applyFont="1" applyBorder="1" applyAlignment="1" applyProtection="1">
      <alignment vertical="center"/>
    </xf>
    <xf numFmtId="0" fontId="84" fillId="0" borderId="1" xfId="0" applyFont="1" applyBorder="1" applyAlignment="1" applyProtection="1">
      <alignment horizontal="right" vertical="center"/>
    </xf>
    <xf numFmtId="0" fontId="41" fillId="0" borderId="1" xfId="87" applyFont="1" applyFill="1" applyBorder="1" applyAlignment="1" applyProtection="1">
      <alignment horizontal="center" vertical="center" wrapText="1"/>
    </xf>
    <xf numFmtId="0" fontId="43" fillId="0" borderId="1" xfId="87" applyFont="1" applyBorder="1" applyAlignment="1" applyProtection="1">
      <alignment horizontal="left" vertical="center" wrapText="1"/>
    </xf>
    <xf numFmtId="0" fontId="43" fillId="0" borderId="1" xfId="87" applyFont="1" applyFill="1" applyBorder="1" applyAlignment="1" applyProtection="1">
      <alignment horizontal="left" vertical="center" wrapText="1"/>
    </xf>
    <xf numFmtId="2" fontId="75" fillId="0" borderId="1" xfId="87" applyNumberFormat="1" applyFont="1" applyBorder="1" applyAlignment="1" applyProtection="1">
      <alignment horizontal="right" vertical="center" wrapText="1"/>
    </xf>
    <xf numFmtId="2" fontId="75" fillId="0" borderId="1" xfId="88" applyNumberFormat="1" applyFont="1" applyBorder="1" applyAlignment="1" applyProtection="1">
      <alignment horizontal="right" vertical="center"/>
    </xf>
    <xf numFmtId="0" fontId="43" fillId="0" borderId="1" xfId="4" applyFont="1" applyFill="1" applyBorder="1" applyAlignment="1" applyProtection="1">
      <alignment horizontal="center" vertical="center" wrapText="1"/>
    </xf>
    <xf numFmtId="0" fontId="43" fillId="0" borderId="1" xfId="87" applyFont="1" applyFill="1" applyBorder="1" applyAlignment="1" applyProtection="1">
      <alignment horizontal="left" vertical="center"/>
    </xf>
    <xf numFmtId="0" fontId="41" fillId="0" borderId="1" xfId="87" applyFont="1" applyBorder="1" applyAlignment="1" applyProtection="1">
      <alignment horizontal="center" vertical="center" wrapText="1"/>
    </xf>
    <xf numFmtId="0" fontId="41" fillId="0" borderId="1" xfId="4" applyFont="1" applyBorder="1" applyAlignment="1" applyProtection="1">
      <alignment vertical="center" wrapText="1"/>
    </xf>
    <xf numFmtId="49" fontId="43" fillId="0" borderId="1" xfId="4" applyNumberFormat="1" applyFont="1" applyBorder="1" applyAlignment="1" applyProtection="1">
      <alignment vertical="center" wrapText="1"/>
    </xf>
    <xf numFmtId="0" fontId="72" fillId="0" borderId="1" xfId="87" applyFont="1" applyBorder="1" applyAlignment="1" applyProtection="1">
      <alignment horizontal="center" vertical="center"/>
    </xf>
    <xf numFmtId="0" fontId="72" fillId="4" borderId="1" xfId="11" applyFont="1" applyFill="1" applyBorder="1" applyAlignment="1" applyProtection="1">
      <alignment horizontal="left" vertical="center" wrapText="1"/>
    </xf>
    <xf numFmtId="0" fontId="43" fillId="4" borderId="1" xfId="4" applyFont="1" applyFill="1" applyBorder="1" applyAlignment="1" applyProtection="1">
      <alignment vertical="center" wrapText="1"/>
    </xf>
    <xf numFmtId="0" fontId="72" fillId="4" borderId="1" xfId="4" applyFont="1" applyFill="1" applyBorder="1" applyAlignment="1" applyProtection="1">
      <alignment vertical="center" wrapText="1"/>
    </xf>
    <xf numFmtId="0" fontId="75" fillId="4" borderId="1" xfId="11" applyFont="1" applyFill="1" applyBorder="1" applyAlignment="1" applyProtection="1">
      <alignment horizontal="center" vertical="center" wrapText="1"/>
    </xf>
    <xf numFmtId="0" fontId="77" fillId="4" borderId="1" xfId="11" applyFont="1" applyFill="1" applyBorder="1" applyAlignment="1" applyProtection="1">
      <alignment horizontal="left" vertical="center" wrapText="1"/>
    </xf>
    <xf numFmtId="2" fontId="77" fillId="4" borderId="1" xfId="4" applyNumberFormat="1" applyFont="1" applyFill="1" applyBorder="1" applyAlignment="1" applyProtection="1">
      <alignment horizontal="right" vertical="center" wrapText="1"/>
    </xf>
    <xf numFmtId="0" fontId="43" fillId="11" borderId="1" xfId="87" applyFont="1" applyFill="1" applyBorder="1" applyAlignment="1" applyProtection="1">
      <alignment vertical="center"/>
    </xf>
    <xf numFmtId="0" fontId="43" fillId="11" borderId="1" xfId="87" applyFont="1" applyFill="1" applyBorder="1" applyAlignment="1" applyProtection="1">
      <alignment vertical="center" wrapText="1"/>
    </xf>
    <xf numFmtId="2" fontId="77" fillId="4" borderId="1" xfId="11" applyNumberFormat="1" applyFont="1" applyFill="1" applyBorder="1" applyAlignment="1" applyProtection="1">
      <alignment horizontal="right" vertical="center" wrapText="1"/>
    </xf>
    <xf numFmtId="0" fontId="77" fillId="4" borderId="1" xfId="11" applyFont="1" applyFill="1" applyBorder="1" applyAlignment="1" applyProtection="1">
      <alignment horizontal="center" vertical="center" wrapText="1"/>
    </xf>
    <xf numFmtId="0" fontId="43" fillId="0" borderId="1" xfId="88" applyFont="1" applyBorder="1" applyAlignment="1" applyProtection="1">
      <alignment vertical="center"/>
    </xf>
    <xf numFmtId="0" fontId="72" fillId="2" borderId="1" xfId="4" applyFont="1" applyFill="1" applyBorder="1" applyAlignment="1" applyProtection="1">
      <alignment horizontal="left" vertical="center"/>
    </xf>
    <xf numFmtId="0" fontId="72" fillId="0" borderId="1" xfId="87" applyFont="1" applyBorder="1" applyAlignment="1" applyProtection="1">
      <alignment vertical="center" wrapText="1"/>
    </xf>
    <xf numFmtId="0" fontId="41" fillId="0" borderId="1" xfId="87" applyFont="1" applyBorder="1" applyAlignment="1" applyProtection="1">
      <alignment vertical="center" wrapText="1"/>
    </xf>
    <xf numFmtId="0" fontId="72" fillId="0" borderId="0" xfId="87" applyFont="1" applyAlignment="1" applyProtection="1">
      <alignment horizontal="center" vertical="center"/>
    </xf>
    <xf numFmtId="0" fontId="43" fillId="0" borderId="0" xfId="87" applyFont="1" applyAlignment="1" applyProtection="1">
      <alignment horizontal="right" vertical="center"/>
    </xf>
    <xf numFmtId="2" fontId="43" fillId="0" borderId="0" xfId="87" applyNumberFormat="1" applyFont="1" applyAlignment="1" applyProtection="1">
      <alignment horizontal="right" vertical="center"/>
    </xf>
    <xf numFmtId="0" fontId="94" fillId="47" borderId="1" xfId="0" applyFont="1" applyFill="1" applyBorder="1" applyAlignment="1" applyProtection="1">
      <alignment vertical="center"/>
      <protection locked="0"/>
    </xf>
    <xf numFmtId="0" fontId="94" fillId="47" borderId="1" xfId="0" applyFont="1" applyFill="1" applyBorder="1" applyAlignment="1" applyProtection="1">
      <alignment horizontal="right" vertical="center"/>
      <protection locked="0"/>
    </xf>
    <xf numFmtId="0" fontId="43" fillId="0" borderId="0" xfId="8" applyFont="1" applyAlignment="1" applyProtection="1">
      <alignment vertical="center"/>
    </xf>
    <xf numFmtId="0" fontId="76" fillId="24" borderId="1" xfId="3" applyFont="1" applyFill="1" applyBorder="1" applyAlignment="1" applyProtection="1">
      <alignment horizontal="left" vertical="center" wrapText="1"/>
    </xf>
    <xf numFmtId="0" fontId="43" fillId="0" borderId="0" xfId="8" applyFont="1" applyFill="1" applyAlignment="1" applyProtection="1">
      <alignment vertical="center"/>
    </xf>
    <xf numFmtId="2" fontId="43" fillId="0" borderId="1" xfId="4" applyNumberFormat="1" applyFont="1" applyFill="1" applyBorder="1" applyAlignment="1" applyProtection="1">
      <alignment horizontal="right" vertical="center" wrapText="1"/>
    </xf>
    <xf numFmtId="2" fontId="72" fillId="0" borderId="1" xfId="9" applyNumberFormat="1" applyFont="1" applyFill="1" applyBorder="1" applyAlignment="1" applyProtection="1">
      <alignment horizontal="right" vertical="center" wrapText="1"/>
    </xf>
    <xf numFmtId="2" fontId="72" fillId="0" borderId="1" xfId="8" applyNumberFormat="1" applyFont="1" applyFill="1" applyBorder="1" applyAlignment="1" applyProtection="1">
      <alignment horizontal="right" vertical="center" wrapText="1"/>
    </xf>
    <xf numFmtId="2" fontId="43" fillId="2" borderId="1" xfId="8" applyNumberFormat="1" applyFont="1" applyFill="1" applyBorder="1" applyAlignment="1" applyProtection="1">
      <alignment horizontal="right" vertical="center" wrapText="1"/>
    </xf>
    <xf numFmtId="0" fontId="72" fillId="21" borderId="1" xfId="8" applyFont="1" applyFill="1" applyBorder="1" applyAlignment="1" applyProtection="1">
      <alignment horizontal="left" vertical="center"/>
    </xf>
    <xf numFmtId="0" fontId="43" fillId="21" borderId="1" xfId="4" applyFont="1" applyFill="1" applyBorder="1" applyAlignment="1" applyProtection="1">
      <alignment vertical="center" wrapText="1"/>
    </xf>
    <xf numFmtId="0" fontId="72" fillId="21" borderId="1" xfId="4" applyFont="1" applyFill="1" applyBorder="1" applyAlignment="1" applyProtection="1">
      <alignment vertical="center" wrapText="1"/>
    </xf>
    <xf numFmtId="0" fontId="43" fillId="21" borderId="1" xfId="8" applyFont="1" applyFill="1" applyBorder="1" applyAlignment="1" applyProtection="1">
      <alignment horizontal="center" vertical="center"/>
    </xf>
    <xf numFmtId="2" fontId="43" fillId="21" borderId="1" xfId="9" applyNumberFormat="1" applyFont="1" applyFill="1" applyBorder="1" applyAlignment="1" applyProtection="1">
      <alignment horizontal="right" vertical="center" wrapText="1"/>
    </xf>
    <xf numFmtId="2" fontId="72" fillId="21" borderId="1" xfId="9" applyNumberFormat="1" applyFont="1" applyFill="1" applyBorder="1" applyAlignment="1" applyProtection="1">
      <alignment horizontal="right" vertical="center" wrapText="1"/>
    </xf>
    <xf numFmtId="0" fontId="43" fillId="21" borderId="1" xfId="8" applyFont="1" applyFill="1" applyBorder="1" applyAlignment="1" applyProtection="1">
      <alignment horizontal="left" vertical="center" wrapText="1"/>
    </xf>
    <xf numFmtId="2" fontId="43" fillId="21" borderId="1" xfId="8" applyNumberFormat="1" applyFont="1" applyFill="1" applyBorder="1" applyAlignment="1" applyProtection="1">
      <alignment horizontal="right" vertical="center" wrapText="1"/>
    </xf>
    <xf numFmtId="0" fontId="43" fillId="0" borderId="1" xfId="9" applyFont="1" applyBorder="1" applyAlignment="1" applyProtection="1">
      <alignment horizontal="left" vertical="center" wrapText="1"/>
    </xf>
    <xf numFmtId="2" fontId="43" fillId="0" borderId="1" xfId="9" applyNumberFormat="1" applyFont="1" applyBorder="1" applyAlignment="1" applyProtection="1">
      <alignment horizontal="right" vertical="center" wrapText="1"/>
    </xf>
    <xf numFmtId="0" fontId="72" fillId="19" borderId="1" xfId="8" applyFont="1" applyFill="1" applyBorder="1" applyAlignment="1" applyProtection="1">
      <alignment horizontal="left" vertical="center"/>
    </xf>
    <xf numFmtId="0" fontId="72" fillId="19" borderId="1" xfId="4" applyFont="1" applyFill="1" applyBorder="1" applyAlignment="1" applyProtection="1">
      <alignment vertical="center" wrapText="1"/>
    </xf>
    <xf numFmtId="0" fontId="72" fillId="19" borderId="1" xfId="8" applyFont="1" applyFill="1" applyBorder="1" applyAlignment="1" applyProtection="1">
      <alignment horizontal="center" vertical="center"/>
    </xf>
    <xf numFmtId="2" fontId="72" fillId="19" borderId="1" xfId="9" applyNumberFormat="1" applyFont="1" applyFill="1" applyBorder="1" applyAlignment="1" applyProtection="1">
      <alignment horizontal="right" vertical="center" wrapText="1"/>
    </xf>
    <xf numFmtId="0" fontId="43" fillId="6" borderId="1" xfId="8" applyFont="1" applyFill="1" applyBorder="1" applyAlignment="1" applyProtection="1">
      <alignment horizontal="left" vertical="center" wrapText="1"/>
    </xf>
    <xf numFmtId="2" fontId="43" fillId="6" borderId="1" xfId="8" applyNumberFormat="1" applyFont="1" applyFill="1" applyBorder="1" applyAlignment="1" applyProtection="1">
      <alignment horizontal="right" vertical="center" wrapText="1"/>
    </xf>
    <xf numFmtId="0" fontId="72" fillId="21" borderId="1" xfId="8" applyFont="1" applyFill="1" applyBorder="1" applyAlignment="1" applyProtection="1">
      <alignment horizontal="center" vertical="center"/>
    </xf>
    <xf numFmtId="0" fontId="77" fillId="21" borderId="1" xfId="9" applyFont="1" applyFill="1" applyBorder="1" applyAlignment="1" applyProtection="1">
      <alignment horizontal="right" vertical="center" wrapText="1"/>
    </xf>
    <xf numFmtId="2" fontId="77" fillId="21" borderId="1" xfId="9" applyNumberFormat="1" applyFont="1" applyFill="1" applyBorder="1" applyAlignment="1" applyProtection="1">
      <alignment horizontal="right" vertical="center" wrapText="1"/>
    </xf>
    <xf numFmtId="0" fontId="72" fillId="0" borderId="1" xfId="8" applyFont="1" applyFill="1" applyBorder="1" applyAlignment="1" applyProtection="1">
      <alignment horizontal="left" vertical="center"/>
    </xf>
    <xf numFmtId="2" fontId="43" fillId="0" borderId="1" xfId="9" applyNumberFormat="1" applyFont="1" applyFill="1" applyBorder="1" applyAlignment="1" applyProtection="1">
      <alignment horizontal="right" vertical="center" wrapText="1"/>
    </xf>
    <xf numFmtId="2" fontId="43" fillId="2" borderId="1" xfId="9" applyNumberFormat="1" applyFont="1" applyFill="1" applyBorder="1" applyAlignment="1" applyProtection="1">
      <alignment horizontal="right" vertical="center" wrapText="1"/>
    </xf>
    <xf numFmtId="2" fontId="72" fillId="2" borderId="1" xfId="9" applyNumberFormat="1" applyFont="1" applyFill="1" applyBorder="1" applyAlignment="1" applyProtection="1">
      <alignment horizontal="right" vertical="center" wrapText="1"/>
    </xf>
    <xf numFmtId="0" fontId="91" fillId="0" borderId="0" xfId="0" applyFont="1" applyProtection="1"/>
    <xf numFmtId="0" fontId="43" fillId="0" borderId="1" xfId="8" applyFont="1" applyBorder="1" applyAlignment="1" applyProtection="1">
      <alignment horizontal="left" vertical="center"/>
    </xf>
    <xf numFmtId="2" fontId="43" fillId="0" borderId="1" xfId="8" applyNumberFormat="1" applyFont="1" applyBorder="1" applyAlignment="1" applyProtection="1">
      <alignment horizontal="right" vertical="center" wrapText="1"/>
    </xf>
    <xf numFmtId="2" fontId="77" fillId="0" borderId="1" xfId="4" applyNumberFormat="1" applyFont="1" applyFill="1" applyBorder="1" applyAlignment="1" applyProtection="1">
      <alignment horizontal="right" vertical="center" wrapText="1"/>
    </xf>
    <xf numFmtId="0" fontId="43" fillId="0" borderId="0" xfId="8" applyFont="1" applyAlignment="1" applyProtection="1">
      <alignment horizontal="left" vertical="center"/>
    </xf>
    <xf numFmtId="0" fontId="43" fillId="0" borderId="0" xfId="8" applyFont="1" applyAlignment="1" applyProtection="1">
      <alignment horizontal="left" vertical="center" wrapText="1"/>
    </xf>
    <xf numFmtId="0" fontId="43" fillId="0" borderId="0" xfId="8" applyFont="1" applyAlignment="1" applyProtection="1">
      <alignment horizontal="right" vertical="center"/>
    </xf>
    <xf numFmtId="0" fontId="70" fillId="16" borderId="1" xfId="8" applyFont="1" applyFill="1" applyBorder="1" applyAlignment="1" applyProtection="1">
      <alignment horizontal="center" vertical="center" wrapText="1"/>
    </xf>
    <xf numFmtId="0" fontId="43" fillId="0" borderId="0" xfId="8" applyFont="1" applyAlignment="1" applyProtection="1">
      <alignment horizontal="center" vertical="center" wrapText="1"/>
    </xf>
    <xf numFmtId="0" fontId="76" fillId="24" borderId="1" xfId="3" applyFont="1" applyFill="1" applyBorder="1" applyAlignment="1" applyProtection="1">
      <alignment horizontal="center" vertical="center" wrapText="1"/>
    </xf>
    <xf numFmtId="0" fontId="43" fillId="0" borderId="0" xfId="8" applyFont="1" applyFill="1" applyAlignment="1" applyProtection="1">
      <alignment horizontal="center" vertical="center" wrapText="1"/>
    </xf>
    <xf numFmtId="0" fontId="76" fillId="39" borderId="1" xfId="3" applyFont="1" applyFill="1" applyBorder="1" applyAlignment="1" applyProtection="1">
      <alignment horizontal="center" vertical="center"/>
    </xf>
    <xf numFmtId="2" fontId="72" fillId="0" borderId="1" xfId="3" applyNumberFormat="1" applyFont="1" applyFill="1" applyBorder="1" applyAlignment="1" applyProtection="1">
      <alignment horizontal="center" vertical="center"/>
    </xf>
    <xf numFmtId="1" fontId="72" fillId="2" borderId="1" xfId="8" applyNumberFormat="1" applyFont="1" applyFill="1" applyBorder="1" applyAlignment="1" applyProtection="1">
      <alignment horizontal="center" vertical="center" wrapText="1"/>
    </xf>
    <xf numFmtId="0" fontId="72" fillId="2" borderId="1" xfId="8" applyFont="1" applyFill="1" applyBorder="1" applyAlignment="1" applyProtection="1">
      <alignment horizontal="center" vertical="center" wrapText="1"/>
    </xf>
    <xf numFmtId="0" fontId="43" fillId="0" borderId="1" xfId="9" applyFont="1" applyBorder="1" applyAlignment="1" applyProtection="1">
      <alignment horizontal="center" vertical="center" wrapText="1"/>
    </xf>
    <xf numFmtId="0" fontId="72" fillId="27" borderId="1" xfId="8" applyFont="1" applyFill="1" applyBorder="1" applyAlignment="1" applyProtection="1">
      <alignment horizontal="left" vertical="center" wrapText="1"/>
    </xf>
    <xf numFmtId="0" fontId="72" fillId="27" borderId="1" xfId="8" applyFont="1" applyFill="1" applyBorder="1" applyAlignment="1" applyProtection="1">
      <alignment horizontal="center" vertical="center" wrapText="1"/>
    </xf>
    <xf numFmtId="0" fontId="43" fillId="27" borderId="1" xfId="8" applyFont="1" applyFill="1" applyBorder="1" applyAlignment="1" applyProtection="1">
      <alignment horizontal="left" vertical="center" wrapText="1"/>
    </xf>
    <xf numFmtId="0" fontId="77" fillId="27" borderId="1" xfId="4" applyFont="1" applyFill="1" applyBorder="1" applyAlignment="1" applyProtection="1">
      <alignment horizontal="left" vertical="center" wrapText="1"/>
    </xf>
    <xf numFmtId="0" fontId="75" fillId="27" borderId="1" xfId="8" applyFont="1" applyFill="1" applyBorder="1" applyAlignment="1" applyProtection="1">
      <alignment horizontal="center" vertical="center" wrapText="1"/>
    </xf>
    <xf numFmtId="0" fontId="72" fillId="3" borderId="1" xfId="4" applyFont="1" applyFill="1" applyBorder="1" applyAlignment="1" applyProtection="1">
      <alignment horizontal="left" vertical="center" wrapText="1"/>
    </xf>
    <xf numFmtId="0" fontId="72" fillId="3" borderId="1" xfId="4" applyFont="1" applyFill="1" applyBorder="1" applyAlignment="1" applyProtection="1">
      <alignment horizontal="center" vertical="center" wrapText="1"/>
    </xf>
    <xf numFmtId="0" fontId="72" fillId="3" borderId="1" xfId="8" applyFont="1" applyFill="1" applyBorder="1" applyAlignment="1" applyProtection="1">
      <alignment horizontal="left" vertical="center" wrapText="1"/>
    </xf>
    <xf numFmtId="0" fontId="43" fillId="3" borderId="1" xfId="8" applyFont="1" applyFill="1" applyBorder="1" applyAlignment="1" applyProtection="1">
      <alignment horizontal="left" vertical="center" wrapText="1"/>
    </xf>
    <xf numFmtId="0" fontId="72" fillId="3" borderId="1" xfId="8" applyFont="1" applyFill="1" applyBorder="1" applyAlignment="1" applyProtection="1">
      <alignment horizontal="center" vertical="center" wrapText="1"/>
    </xf>
    <xf numFmtId="43" fontId="72" fillId="3" borderId="1" xfId="1" applyFont="1" applyFill="1" applyBorder="1" applyAlignment="1" applyProtection="1">
      <alignment horizontal="center" vertical="center" wrapText="1"/>
    </xf>
    <xf numFmtId="43" fontId="77" fillId="3" borderId="1" xfId="1" applyFont="1" applyFill="1" applyBorder="1" applyAlignment="1" applyProtection="1">
      <alignment horizontal="center" vertical="center" wrapText="1"/>
    </xf>
    <xf numFmtId="0" fontId="43" fillId="0" borderId="1" xfId="40" applyFont="1" applyBorder="1" applyAlignment="1" applyProtection="1">
      <alignment horizontal="left" vertical="center" wrapText="1"/>
    </xf>
    <xf numFmtId="0" fontId="43" fillId="32" borderId="1" xfId="8" applyFont="1" applyFill="1" applyBorder="1" applyAlignment="1" applyProtection="1">
      <alignment horizontal="center" vertical="center" wrapText="1"/>
    </xf>
    <xf numFmtId="0" fontId="41" fillId="0" borderId="1" xfId="8" applyFont="1" applyBorder="1" applyAlignment="1" applyProtection="1">
      <alignment horizontal="center" vertical="center" wrapText="1"/>
    </xf>
    <xf numFmtId="0" fontId="77" fillId="3" borderId="1" xfId="8" applyFont="1" applyFill="1" applyBorder="1" applyAlignment="1" applyProtection="1">
      <alignment horizontal="left" vertical="center" wrapText="1"/>
    </xf>
    <xf numFmtId="0" fontId="77" fillId="3" borderId="1" xfId="8" applyFont="1" applyFill="1" applyBorder="1" applyAlignment="1" applyProtection="1">
      <alignment horizontal="center" vertical="center" wrapText="1"/>
    </xf>
    <xf numFmtId="0" fontId="72" fillId="29" borderId="1" xfId="8" applyFont="1" applyFill="1" applyBorder="1" applyAlignment="1" applyProtection="1">
      <alignment horizontal="center" vertical="center" wrapText="1"/>
    </xf>
    <xf numFmtId="0" fontId="41" fillId="0" borderId="1" xfId="8" applyFont="1" applyBorder="1" applyAlignment="1" applyProtection="1">
      <alignment horizontal="left" vertical="center" wrapText="1"/>
    </xf>
    <xf numFmtId="0" fontId="43" fillId="0" borderId="0" xfId="8" applyFont="1" applyFill="1" applyAlignment="1" applyProtection="1">
      <alignment vertical="center" wrapText="1"/>
    </xf>
    <xf numFmtId="0" fontId="40" fillId="0" borderId="1" xfId="8" applyFont="1" applyBorder="1" applyAlignment="1" applyProtection="1">
      <alignment horizontal="left" vertical="center" wrapText="1"/>
    </xf>
    <xf numFmtId="0" fontId="43" fillId="0" borderId="0" xfId="8" applyFont="1" applyFill="1" applyAlignment="1" applyProtection="1">
      <alignment horizontal="left" vertical="center" wrapText="1"/>
    </xf>
    <xf numFmtId="43" fontId="43" fillId="0" borderId="0" xfId="1" applyFont="1" applyAlignment="1" applyProtection="1">
      <alignment horizontal="center" vertical="center" wrapText="1"/>
    </xf>
    <xf numFmtId="1" fontId="72" fillId="27" borderId="1" xfId="9" applyNumberFormat="1" applyFont="1" applyFill="1" applyBorder="1" applyAlignment="1" applyProtection="1">
      <alignment horizontal="center" vertical="center" wrapText="1"/>
      <protection locked="0"/>
    </xf>
    <xf numFmtId="1" fontId="72" fillId="27" borderId="1" xfId="8" applyNumberFormat="1" applyFont="1" applyFill="1" applyBorder="1" applyAlignment="1" applyProtection="1">
      <alignment horizontal="center" vertical="center" wrapText="1"/>
      <protection locked="0"/>
    </xf>
    <xf numFmtId="1" fontId="72" fillId="4" borderId="1" xfId="9" applyNumberFormat="1" applyFont="1" applyFill="1" applyBorder="1" applyAlignment="1" applyProtection="1">
      <alignment horizontal="center" vertical="center" wrapText="1"/>
      <protection locked="0"/>
    </xf>
    <xf numFmtId="43" fontId="72" fillId="4" borderId="1" xfId="1" applyFont="1" applyFill="1" applyBorder="1" applyAlignment="1" applyProtection="1">
      <alignment horizontal="center" vertical="center" wrapText="1"/>
      <protection locked="0"/>
    </xf>
    <xf numFmtId="43" fontId="72" fillId="3" borderId="1" xfId="1" applyFont="1" applyFill="1" applyBorder="1" applyAlignment="1" applyProtection="1">
      <alignment horizontal="center" vertical="center" wrapText="1"/>
      <protection locked="0"/>
    </xf>
    <xf numFmtId="43" fontId="72" fillId="0" borderId="1" xfId="1" applyFont="1" applyBorder="1" applyAlignment="1" applyProtection="1">
      <alignment horizontal="center" vertical="center" wrapText="1"/>
      <protection locked="0"/>
    </xf>
    <xf numFmtId="1" fontId="72" fillId="14" borderId="1" xfId="8" applyNumberFormat="1" applyFont="1" applyFill="1" applyBorder="1" applyAlignment="1" applyProtection="1">
      <alignment horizontal="center" vertical="center" wrapText="1"/>
      <protection locked="0"/>
    </xf>
    <xf numFmtId="1" fontId="72" fillId="14" borderId="1" xfId="9" applyNumberFormat="1" applyFont="1" applyFill="1" applyBorder="1" applyAlignment="1" applyProtection="1">
      <alignment horizontal="center" vertical="center" wrapText="1"/>
      <protection locked="0"/>
    </xf>
    <xf numFmtId="43" fontId="72" fillId="0" borderId="1" xfId="1" applyFont="1" applyFill="1" applyBorder="1" applyAlignment="1" applyProtection="1">
      <alignment horizontal="center" vertical="center" wrapText="1"/>
      <protection locked="0"/>
    </xf>
    <xf numFmtId="0" fontId="43" fillId="32" borderId="1" xfId="8" applyFont="1" applyFill="1" applyBorder="1" applyAlignment="1" applyProtection="1">
      <alignment horizontal="left" vertical="center" wrapText="1"/>
      <protection locked="0"/>
    </xf>
    <xf numFmtId="43" fontId="75" fillId="0" borderId="1" xfId="1" applyFont="1" applyBorder="1" applyAlignment="1" applyProtection="1">
      <alignment horizontal="left" vertical="center" wrapText="1"/>
      <protection locked="0"/>
    </xf>
    <xf numFmtId="2" fontId="72" fillId="0" borderId="1" xfId="3" applyNumberFormat="1" applyFont="1" applyFill="1" applyBorder="1" applyAlignment="1" applyProtection="1">
      <alignment wrapText="1"/>
    </xf>
    <xf numFmtId="0" fontId="72" fillId="0" borderId="0" xfId="8" applyFont="1" applyAlignment="1" applyProtection="1">
      <alignment horizontal="center" vertical="center"/>
    </xf>
    <xf numFmtId="43" fontId="43" fillId="2" borderId="1" xfId="1" applyFont="1" applyFill="1" applyBorder="1" applyAlignment="1" applyProtection="1">
      <alignment vertical="center" wrapText="1"/>
    </xf>
    <xf numFmtId="0" fontId="43" fillId="2" borderId="1" xfId="8" applyFont="1" applyFill="1" applyBorder="1" applyAlignment="1" applyProtection="1">
      <alignment vertical="center" wrapText="1"/>
    </xf>
    <xf numFmtId="43" fontId="72" fillId="2" borderId="1" xfId="1" applyFont="1" applyFill="1" applyBorder="1" applyAlignment="1" applyProtection="1">
      <alignment vertical="center" wrapText="1"/>
    </xf>
    <xf numFmtId="0" fontId="72" fillId="29" borderId="1" xfId="8" applyFont="1" applyFill="1" applyBorder="1" applyAlignment="1" applyProtection="1">
      <alignment horizontal="center" vertical="center"/>
    </xf>
    <xf numFmtId="0" fontId="72" fillId="0" borderId="1" xfId="9" applyFont="1" applyFill="1" applyBorder="1" applyAlignment="1" applyProtection="1">
      <alignment vertical="center" wrapText="1"/>
    </xf>
    <xf numFmtId="43" fontId="43" fillId="0" borderId="1" xfId="1" applyFont="1" applyFill="1" applyBorder="1" applyAlignment="1" applyProtection="1">
      <alignment vertical="center" wrapText="1"/>
    </xf>
    <xf numFmtId="0" fontId="72" fillId="0" borderId="0" xfId="8" applyFont="1" applyFill="1" applyAlignment="1" applyProtection="1">
      <alignment vertical="center"/>
    </xf>
    <xf numFmtId="0" fontId="43" fillId="0" borderId="1" xfId="9" applyFont="1" applyBorder="1" applyAlignment="1" applyProtection="1">
      <alignment vertical="center" wrapText="1"/>
    </xf>
    <xf numFmtId="43" fontId="43" fillId="0" borderId="1" xfId="1" applyFont="1" applyBorder="1" applyAlignment="1" applyProtection="1">
      <alignment vertical="center" wrapText="1"/>
    </xf>
    <xf numFmtId="0" fontId="72" fillId="0" borderId="1" xfId="8" applyFont="1" applyBorder="1" applyAlignment="1" applyProtection="1">
      <alignment horizontal="center" vertical="center" wrapText="1"/>
    </xf>
    <xf numFmtId="0" fontId="72" fillId="0" borderId="1" xfId="9" applyFont="1" applyBorder="1" applyAlignment="1" applyProtection="1">
      <alignment vertical="center" wrapText="1"/>
    </xf>
    <xf numFmtId="43" fontId="72" fillId="0" borderId="1" xfId="1" applyFont="1" applyBorder="1" applyAlignment="1" applyProtection="1">
      <alignment vertical="center" wrapText="1"/>
    </xf>
    <xf numFmtId="0" fontId="72" fillId="0" borderId="1" xfId="8" applyFont="1" applyBorder="1" applyAlignment="1" applyProtection="1">
      <alignment horizontal="left" vertical="center" wrapText="1"/>
    </xf>
    <xf numFmtId="0" fontId="42" fillId="0" borderId="1" xfId="8" applyFont="1" applyBorder="1" applyAlignment="1" applyProtection="1">
      <alignment horizontal="center" vertical="center"/>
    </xf>
    <xf numFmtId="0" fontId="72" fillId="2" borderId="1" xfId="8" applyFont="1" applyFill="1" applyBorder="1" applyAlignment="1" applyProtection="1">
      <alignment horizontal="left" vertical="center"/>
    </xf>
    <xf numFmtId="0" fontId="72" fillId="2" borderId="1" xfId="8" applyFont="1" applyFill="1" applyBorder="1" applyAlignment="1" applyProtection="1">
      <alignment horizontal="center" vertical="center"/>
    </xf>
    <xf numFmtId="0" fontId="77" fillId="2" borderId="1" xfId="0" applyFont="1" applyFill="1" applyBorder="1" applyAlignment="1" applyProtection="1">
      <alignment horizontal="right" vertical="center"/>
    </xf>
    <xf numFmtId="0" fontId="72" fillId="2" borderId="1" xfId="8" applyFont="1" applyFill="1" applyBorder="1" applyAlignment="1" applyProtection="1">
      <alignment horizontal="left" vertical="center" wrapText="1"/>
    </xf>
    <xf numFmtId="0" fontId="75" fillId="36" borderId="1" xfId="4" applyFont="1" applyFill="1" applyBorder="1" applyAlignment="1" applyProtection="1">
      <alignment horizontal="left" vertical="center" wrapText="1"/>
    </xf>
    <xf numFmtId="0" fontId="91" fillId="0" borderId="0" xfId="0" applyFont="1" applyFill="1" applyAlignment="1" applyProtection="1">
      <alignment vertical="center" wrapText="1"/>
    </xf>
    <xf numFmtId="0" fontId="43" fillId="0" borderId="1" xfId="9" applyFont="1" applyFill="1" applyBorder="1" applyAlignment="1" applyProtection="1">
      <alignment vertical="center" wrapText="1"/>
    </xf>
    <xf numFmtId="2" fontId="43" fillId="0" borderId="1" xfId="9" applyNumberFormat="1" applyFont="1" applyFill="1" applyBorder="1" applyAlignment="1" applyProtection="1">
      <alignment vertical="center" wrapText="1"/>
    </xf>
    <xf numFmtId="0" fontId="72" fillId="36" borderId="1" xfId="4" applyFont="1" applyFill="1" applyBorder="1" applyAlignment="1" applyProtection="1">
      <alignment horizontal="left" vertical="center" wrapText="1"/>
    </xf>
    <xf numFmtId="0" fontId="72" fillId="36" borderId="1" xfId="8" applyFont="1" applyFill="1" applyBorder="1" applyAlignment="1" applyProtection="1">
      <alignment horizontal="left" vertical="center"/>
    </xf>
    <xf numFmtId="0" fontId="72" fillId="36" borderId="1" xfId="8" applyFont="1" applyFill="1" applyBorder="1" applyAlignment="1" applyProtection="1">
      <alignment horizontal="center" vertical="center"/>
    </xf>
    <xf numFmtId="0" fontId="72" fillId="36" borderId="1" xfId="8" applyFont="1" applyFill="1" applyBorder="1" applyAlignment="1" applyProtection="1">
      <alignment horizontal="center" vertical="center" wrapText="1"/>
    </xf>
    <xf numFmtId="0" fontId="79" fillId="36" borderId="1" xfId="9" applyFont="1" applyFill="1" applyBorder="1" applyAlignment="1" applyProtection="1">
      <alignment vertical="center" wrapText="1"/>
    </xf>
    <xf numFmtId="0" fontId="79" fillId="36" borderId="1" xfId="9" applyFont="1" applyFill="1" applyBorder="1" applyAlignment="1" applyProtection="1">
      <alignment horizontal="center" vertical="center" wrapText="1"/>
    </xf>
    <xf numFmtId="0" fontId="72" fillId="36" borderId="1" xfId="8" applyFont="1" applyFill="1" applyBorder="1" applyAlignment="1" applyProtection="1">
      <alignment horizontal="left" vertical="center" wrapText="1"/>
    </xf>
    <xf numFmtId="0" fontId="43" fillId="0" borderId="1" xfId="8" applyFont="1" applyFill="1" applyBorder="1" applyAlignment="1" applyProtection="1">
      <alignment vertical="center" wrapText="1"/>
    </xf>
    <xf numFmtId="0" fontId="75" fillId="0" borderId="1" xfId="9" applyFont="1" applyFill="1" applyBorder="1" applyAlignment="1" applyProtection="1">
      <alignment horizontal="left" vertical="center" wrapText="1"/>
    </xf>
    <xf numFmtId="49" fontId="43" fillId="0" borderId="1" xfId="4" applyNumberFormat="1" applyFont="1" applyFill="1" applyBorder="1" applyAlignment="1" applyProtection="1">
      <alignment horizontal="left" vertical="center" wrapText="1"/>
    </xf>
    <xf numFmtId="0" fontId="79" fillId="0" borderId="1" xfId="9" applyFont="1" applyFill="1" applyBorder="1" applyAlignment="1" applyProtection="1">
      <alignment vertical="center" wrapText="1"/>
    </xf>
    <xf numFmtId="1" fontId="71" fillId="0" borderId="1" xfId="4" applyNumberFormat="1" applyFont="1" applyFill="1" applyBorder="1" applyAlignment="1" applyProtection="1">
      <alignment horizontal="center" vertical="center" wrapText="1"/>
    </xf>
    <xf numFmtId="0" fontId="79" fillId="36" borderId="1" xfId="38" applyFont="1" applyFill="1" applyBorder="1" applyAlignment="1" applyProtection="1">
      <alignment horizontal="center" vertical="center" wrapText="1"/>
    </xf>
    <xf numFmtId="43" fontId="72" fillId="36" borderId="1" xfId="1" applyFont="1" applyFill="1" applyBorder="1" applyAlignment="1" applyProtection="1">
      <alignment vertical="center" wrapText="1"/>
    </xf>
    <xf numFmtId="0" fontId="72" fillId="10" borderId="1" xfId="8" applyFont="1" applyFill="1" applyBorder="1" applyAlignment="1" applyProtection="1">
      <alignment horizontal="center" vertical="center"/>
    </xf>
    <xf numFmtId="0" fontId="77" fillId="0" borderId="1" xfId="8" applyFont="1" applyFill="1" applyBorder="1" applyAlignment="1" applyProtection="1">
      <alignment vertical="center" wrapText="1"/>
    </xf>
    <xf numFmtId="49" fontId="43" fillId="0" borderId="1" xfId="4" applyNumberFormat="1" applyFont="1" applyBorder="1" applyAlignment="1" applyProtection="1">
      <alignment horizontal="left" vertical="center" wrapText="1"/>
    </xf>
    <xf numFmtId="0" fontId="72" fillId="0" borderId="1" xfId="9" applyFont="1" applyFill="1" applyBorder="1" applyAlignment="1" applyProtection="1">
      <alignment horizontal="center" vertical="center" wrapText="1"/>
    </xf>
    <xf numFmtId="0" fontId="43" fillId="0" borderId="0" xfId="8" applyFont="1" applyFill="1" applyAlignment="1" applyProtection="1">
      <alignment horizontal="left" vertical="center"/>
    </xf>
    <xf numFmtId="43" fontId="43" fillId="0" borderId="0" xfId="1" applyFont="1" applyAlignment="1" applyProtection="1">
      <alignment vertical="center"/>
    </xf>
    <xf numFmtId="43" fontId="43" fillId="0" borderId="1" xfId="1" applyFont="1" applyFill="1" applyBorder="1" applyAlignment="1" applyProtection="1">
      <alignment vertical="center" wrapText="1"/>
      <protection locked="0"/>
    </xf>
    <xf numFmtId="43" fontId="43" fillId="0" borderId="1" xfId="1" applyFont="1" applyBorder="1" applyAlignment="1" applyProtection="1">
      <alignment horizontal="right" vertical="center" wrapText="1"/>
      <protection locked="0"/>
    </xf>
    <xf numFmtId="43" fontId="43" fillId="0" borderId="1" xfId="1" applyFont="1" applyBorder="1" applyAlignment="1" applyProtection="1">
      <alignment vertical="center" wrapText="1"/>
      <protection locked="0"/>
    </xf>
    <xf numFmtId="43" fontId="72" fillId="0" borderId="1" xfId="1" applyFont="1" applyBorder="1" applyAlignment="1" applyProtection="1">
      <alignment horizontal="right" vertical="center" wrapText="1"/>
      <protection locked="0"/>
    </xf>
    <xf numFmtId="43" fontId="72" fillId="0" borderId="1" xfId="1" applyFont="1" applyBorder="1" applyAlignment="1" applyProtection="1">
      <alignment vertical="center" wrapText="1"/>
      <protection locked="0"/>
    </xf>
    <xf numFmtId="43" fontId="72" fillId="2" borderId="1" xfId="1" applyFont="1" applyFill="1" applyBorder="1" applyAlignment="1" applyProtection="1">
      <alignment vertical="center" wrapText="1"/>
      <protection locked="0"/>
    </xf>
    <xf numFmtId="43" fontId="72" fillId="36" borderId="1" xfId="1" applyFont="1" applyFill="1" applyBorder="1" applyAlignment="1" applyProtection="1">
      <alignment horizontal="right" vertical="center" wrapText="1"/>
      <protection locked="0"/>
    </xf>
    <xf numFmtId="43" fontId="72" fillId="36" borderId="1" xfId="1" applyFont="1" applyFill="1" applyBorder="1" applyAlignment="1" applyProtection="1">
      <alignment vertical="center" wrapText="1"/>
      <protection locked="0"/>
    </xf>
    <xf numFmtId="43" fontId="72" fillId="0" borderId="1" xfId="1" applyFont="1" applyFill="1" applyBorder="1" applyAlignment="1" applyProtection="1">
      <alignment vertical="center" wrapText="1"/>
      <protection locked="0"/>
    </xf>
    <xf numFmtId="43" fontId="77" fillId="0" borderId="0" xfId="1" applyFont="1" applyFill="1" applyBorder="1" applyAlignment="1" applyProtection="1">
      <alignment vertical="center" wrapText="1"/>
    </xf>
    <xf numFmtId="0" fontId="72" fillId="28" borderId="0" xfId="8" applyFont="1" applyFill="1" applyAlignment="1" applyProtection="1">
      <alignment vertical="center"/>
    </xf>
    <xf numFmtId="2" fontId="72" fillId="2" borderId="1" xfId="8" applyNumberFormat="1" applyFont="1" applyFill="1" applyBorder="1" applyAlignment="1" applyProtection="1">
      <alignment vertical="center" wrapText="1"/>
    </xf>
    <xf numFmtId="0" fontId="94" fillId="33" borderId="1" xfId="0" applyFont="1" applyFill="1" applyBorder="1" applyAlignment="1" applyProtection="1">
      <alignment vertical="center" wrapText="1"/>
    </xf>
    <xf numFmtId="43" fontId="100" fillId="33" borderId="1" xfId="1" applyFont="1" applyFill="1" applyBorder="1" applyAlignment="1" applyProtection="1">
      <alignment vertical="center" wrapText="1"/>
    </xf>
    <xf numFmtId="0" fontId="43" fillId="28" borderId="1" xfId="8" applyFont="1" applyFill="1" applyBorder="1" applyAlignment="1" applyProtection="1">
      <alignment vertical="center" wrapText="1"/>
    </xf>
    <xf numFmtId="2" fontId="72" fillId="28" borderId="1" xfId="8" applyNumberFormat="1" applyFont="1" applyFill="1" applyBorder="1" applyAlignment="1" applyProtection="1">
      <alignment vertical="center" wrapText="1"/>
    </xf>
    <xf numFmtId="43" fontId="100" fillId="49" borderId="1" xfId="1" applyFont="1" applyFill="1" applyBorder="1" applyAlignment="1" applyProtection="1">
      <alignment vertical="center" wrapText="1"/>
    </xf>
    <xf numFmtId="2" fontId="43" fillId="0" borderId="1" xfId="9" applyNumberFormat="1" applyFont="1" applyBorder="1" applyAlignment="1" applyProtection="1">
      <alignment vertical="center" wrapText="1"/>
    </xf>
    <xf numFmtId="43" fontId="94" fillId="0" borderId="1" xfId="1" applyFont="1" applyBorder="1" applyAlignment="1" applyProtection="1">
      <alignment vertical="center" wrapText="1"/>
    </xf>
    <xf numFmtId="0" fontId="42" fillId="0" borderId="1" xfId="8" applyFont="1" applyBorder="1" applyAlignment="1" applyProtection="1">
      <alignment horizontal="center" vertical="center" wrapText="1"/>
    </xf>
    <xf numFmtId="0" fontId="72" fillId="6" borderId="1" xfId="8" applyFont="1" applyFill="1" applyBorder="1" applyAlignment="1" applyProtection="1">
      <alignment horizontal="center" vertical="center"/>
    </xf>
    <xf numFmtId="2" fontId="72" fillId="6" borderId="1" xfId="9" applyNumberFormat="1" applyFont="1" applyFill="1" applyBorder="1" applyAlignment="1" applyProtection="1">
      <alignment vertical="center" wrapText="1"/>
    </xf>
    <xf numFmtId="43" fontId="100" fillId="42" borderId="1" xfId="1" applyFont="1" applyFill="1" applyBorder="1" applyAlignment="1" applyProtection="1">
      <alignment vertical="center" wrapText="1"/>
    </xf>
    <xf numFmtId="0" fontId="100" fillId="0" borderId="1" xfId="0" applyFont="1" applyBorder="1" applyAlignment="1" applyProtection="1">
      <alignment vertical="center" wrapText="1"/>
    </xf>
    <xf numFmtId="43" fontId="100" fillId="0" borderId="1" xfId="1" applyFont="1" applyBorder="1" applyAlignment="1" applyProtection="1">
      <alignment horizontal="right" vertical="center" wrapText="1"/>
    </xf>
    <xf numFmtId="2" fontId="43" fillId="2" borderId="1" xfId="8" applyNumberFormat="1" applyFont="1" applyFill="1" applyBorder="1" applyAlignment="1" applyProtection="1">
      <alignment vertical="center" wrapText="1"/>
    </xf>
    <xf numFmtId="2" fontId="43" fillId="0" borderId="1" xfId="8" applyNumberFormat="1" applyFont="1" applyBorder="1" applyAlignment="1" applyProtection="1">
      <alignment vertical="center" wrapText="1"/>
    </xf>
    <xf numFmtId="2" fontId="72" fillId="28" borderId="1" xfId="8" applyNumberFormat="1" applyFont="1" applyFill="1" applyBorder="1" applyAlignment="1" applyProtection="1">
      <alignment horizontal="right" vertical="center" wrapText="1"/>
    </xf>
    <xf numFmtId="43" fontId="100" fillId="49" borderId="1" xfId="1" applyFont="1" applyFill="1" applyBorder="1" applyAlignment="1" applyProtection="1">
      <alignment horizontal="right" vertical="center" wrapText="1"/>
    </xf>
    <xf numFmtId="2" fontId="43" fillId="4" borderId="1" xfId="8" applyNumberFormat="1" applyFont="1" applyFill="1" applyBorder="1" applyAlignment="1" applyProtection="1">
      <alignment vertical="center" wrapText="1"/>
    </xf>
    <xf numFmtId="2" fontId="72" fillId="4" borderId="1" xfId="8" applyNumberFormat="1" applyFont="1" applyFill="1" applyBorder="1" applyAlignment="1" applyProtection="1">
      <alignment vertical="center" wrapText="1"/>
    </xf>
    <xf numFmtId="43" fontId="100" fillId="46" borderId="1" xfId="1" applyFont="1" applyFill="1" applyBorder="1" applyAlignment="1" applyProtection="1">
      <alignment vertical="center" wrapText="1"/>
    </xf>
    <xf numFmtId="0" fontId="91" fillId="0" borderId="0" xfId="0" applyFont="1" applyAlignment="1" applyProtection="1">
      <alignment vertical="center" wrapText="1"/>
    </xf>
    <xf numFmtId="0" fontId="43" fillId="28" borderId="0" xfId="8" applyFont="1" applyFill="1" applyAlignment="1" applyProtection="1">
      <alignment vertical="center"/>
    </xf>
    <xf numFmtId="0" fontId="72" fillId="29" borderId="2" xfId="8" applyFont="1" applyFill="1" applyBorder="1" applyAlignment="1" applyProtection="1">
      <alignment horizontal="center" vertical="center"/>
    </xf>
    <xf numFmtId="0" fontId="43" fillId="0" borderId="3" xfId="4" applyFont="1" applyBorder="1" applyAlignment="1" applyProtection="1">
      <alignment vertical="center" wrapText="1"/>
    </xf>
    <xf numFmtId="0" fontId="43" fillId="0" borderId="1" xfId="9" applyFont="1" applyBorder="1" applyAlignment="1" applyProtection="1">
      <alignment horizontal="left" vertical="center"/>
    </xf>
    <xf numFmtId="2" fontId="43" fillId="0" borderId="1" xfId="4" applyNumberFormat="1" applyFont="1" applyBorder="1" applyAlignment="1" applyProtection="1">
      <alignment horizontal="left" vertical="center" wrapText="1"/>
    </xf>
    <xf numFmtId="0" fontId="72" fillId="6" borderId="1" xfId="4" applyFont="1" applyFill="1" applyBorder="1" applyAlignment="1" applyProtection="1">
      <alignment horizontal="center" vertical="center" wrapText="1"/>
    </xf>
    <xf numFmtId="2" fontId="72" fillId="6" borderId="1" xfId="4" applyNumberFormat="1" applyFont="1" applyFill="1" applyBorder="1" applyAlignment="1" applyProtection="1">
      <alignment horizontal="right" vertical="center" wrapText="1"/>
    </xf>
    <xf numFmtId="43" fontId="100" fillId="42" borderId="1" xfId="1" applyFont="1" applyFill="1" applyBorder="1" applyAlignment="1" applyProtection="1">
      <alignment horizontal="right" vertical="center" wrapText="1"/>
    </xf>
    <xf numFmtId="0" fontId="43" fillId="0" borderId="0" xfId="0" applyFont="1" applyAlignment="1" applyProtection="1">
      <alignment wrapText="1"/>
    </xf>
    <xf numFmtId="0" fontId="75" fillId="0" borderId="1" xfId="0" applyFont="1" applyBorder="1" applyAlignment="1" applyProtection="1">
      <alignment wrapText="1"/>
    </xf>
    <xf numFmtId="0" fontId="72" fillId="29" borderId="1" xfId="9" applyFont="1" applyFill="1" applyBorder="1" applyAlignment="1" applyProtection="1">
      <alignment horizontal="center" vertical="center"/>
    </xf>
    <xf numFmtId="0" fontId="43" fillId="0" borderId="1" xfId="9" applyFont="1" applyBorder="1" applyAlignment="1" applyProtection="1">
      <alignment horizontal="center" vertical="center"/>
    </xf>
    <xf numFmtId="0" fontId="43" fillId="0" borderId="3" xfId="8" applyFont="1" applyBorder="1" applyAlignment="1" applyProtection="1">
      <alignment horizontal="left" vertical="center" wrapText="1"/>
    </xf>
    <xf numFmtId="0" fontId="72" fillId="29" borderId="3" xfId="8" applyFont="1" applyFill="1" applyBorder="1" applyAlignment="1" applyProtection="1">
      <alignment horizontal="center" vertical="center"/>
    </xf>
    <xf numFmtId="0" fontId="43" fillId="0" borderId="3" xfId="8" applyFont="1" applyBorder="1" applyAlignment="1" applyProtection="1">
      <alignment horizontal="center" vertical="center"/>
    </xf>
    <xf numFmtId="0" fontId="72" fillId="4" borderId="1" xfId="4" applyFont="1" applyFill="1" applyBorder="1" applyAlignment="1" applyProtection="1">
      <alignment horizontal="left" vertical="center" wrapText="1"/>
    </xf>
    <xf numFmtId="2" fontId="72" fillId="4" borderId="1" xfId="4" applyNumberFormat="1" applyFont="1" applyFill="1" applyBorder="1" applyAlignment="1" applyProtection="1">
      <alignment horizontal="left" vertical="center" wrapText="1"/>
    </xf>
    <xf numFmtId="2" fontId="72" fillId="4" borderId="1" xfId="4" applyNumberFormat="1" applyFont="1" applyFill="1" applyBorder="1" applyAlignment="1" applyProtection="1">
      <alignment horizontal="right" vertical="center" wrapText="1"/>
    </xf>
    <xf numFmtId="0" fontId="43" fillId="11" borderId="1" xfId="4" applyFont="1" applyFill="1" applyBorder="1" applyAlignment="1" applyProtection="1">
      <alignment horizontal="left" vertical="center" wrapText="1"/>
    </xf>
    <xf numFmtId="0" fontId="43" fillId="11" borderId="1" xfId="9" applyFont="1" applyFill="1" applyBorder="1" applyAlignment="1" applyProtection="1">
      <alignment horizontal="center" vertical="center"/>
    </xf>
    <xf numFmtId="0" fontId="43" fillId="11" borderId="1" xfId="9" applyFont="1" applyFill="1" applyBorder="1" applyAlignment="1" applyProtection="1">
      <alignment horizontal="left" vertical="center" wrapText="1"/>
    </xf>
    <xf numFmtId="0" fontId="43" fillId="0" borderId="1" xfId="8" applyFont="1" applyBorder="1" applyAlignment="1" applyProtection="1">
      <alignment vertical="center"/>
    </xf>
    <xf numFmtId="2" fontId="43" fillId="4" borderId="1" xfId="4" applyNumberFormat="1" applyFont="1" applyFill="1" applyBorder="1" applyAlignment="1" applyProtection="1">
      <alignment vertical="center" wrapText="1"/>
    </xf>
    <xf numFmtId="2" fontId="72" fillId="4" borderId="1" xfId="4" applyNumberFormat="1" applyFont="1" applyFill="1" applyBorder="1" applyAlignment="1" applyProtection="1">
      <alignment vertical="center" wrapText="1"/>
    </xf>
    <xf numFmtId="43" fontId="94" fillId="0" borderId="1" xfId="1" applyFont="1" applyBorder="1" applyAlignment="1" applyProtection="1">
      <alignment horizontal="right" vertical="center" wrapText="1"/>
    </xf>
    <xf numFmtId="2" fontId="72" fillId="3" borderId="1" xfId="4" applyNumberFormat="1" applyFont="1" applyFill="1" applyBorder="1" applyAlignment="1" applyProtection="1">
      <alignment horizontal="left" vertical="center" wrapText="1"/>
    </xf>
    <xf numFmtId="2" fontId="72" fillId="3" borderId="1" xfId="4" applyNumberFormat="1" applyFont="1" applyFill="1" applyBorder="1" applyAlignment="1" applyProtection="1">
      <alignment horizontal="right" vertical="center" wrapText="1"/>
    </xf>
    <xf numFmtId="0" fontId="72" fillId="4" borderId="1" xfId="8" applyFont="1" applyFill="1" applyBorder="1" applyAlignment="1" applyProtection="1">
      <alignment horizontal="left" vertical="center"/>
    </xf>
    <xf numFmtId="0" fontId="43" fillId="4" borderId="1" xfId="8" applyFont="1" applyFill="1" applyBorder="1" applyAlignment="1" applyProtection="1">
      <alignment horizontal="left" vertical="center"/>
    </xf>
    <xf numFmtId="0" fontId="72" fillId="4" borderId="1" xfId="8" applyFont="1" applyFill="1" applyBorder="1" applyAlignment="1" applyProtection="1">
      <alignment horizontal="left" vertical="center" wrapText="1"/>
    </xf>
    <xf numFmtId="0" fontId="41" fillId="0" borderId="1" xfId="8" applyFont="1" applyBorder="1" applyAlignment="1" applyProtection="1">
      <alignment horizontal="center" vertical="center"/>
    </xf>
    <xf numFmtId="0" fontId="43" fillId="40" borderId="1" xfId="4" applyFont="1" applyFill="1" applyBorder="1" applyAlignment="1" applyProtection="1">
      <alignment horizontal="left" vertical="center" wrapText="1"/>
    </xf>
    <xf numFmtId="0" fontId="72" fillId="4" borderId="1" xfId="9" applyFont="1" applyFill="1" applyBorder="1" applyAlignment="1" applyProtection="1">
      <alignment horizontal="center" vertical="center"/>
    </xf>
    <xf numFmtId="0" fontId="41" fillId="0" borderId="1" xfId="9" applyFont="1" applyFill="1" applyBorder="1" applyAlignment="1" applyProtection="1">
      <alignment horizontal="center" vertical="center"/>
    </xf>
    <xf numFmtId="2" fontId="43" fillId="0" borderId="1" xfId="11" applyNumberFormat="1" applyFont="1" applyBorder="1" applyAlignment="1" applyProtection="1">
      <alignment horizontal="right" vertical="center" wrapText="1"/>
    </xf>
    <xf numFmtId="0" fontId="43" fillId="0" borderId="1" xfId="9" applyFont="1" applyFill="1" applyBorder="1" applyAlignment="1" applyProtection="1">
      <alignment horizontal="center" vertical="center"/>
    </xf>
    <xf numFmtId="0" fontId="77" fillId="28" borderId="1" xfId="0" applyFont="1" applyFill="1" applyBorder="1" applyAlignment="1" applyProtection="1">
      <alignment horizontal="center" vertical="center"/>
    </xf>
    <xf numFmtId="0" fontId="75" fillId="28" borderId="1" xfId="0" applyFont="1" applyFill="1" applyBorder="1" applyAlignment="1" applyProtection="1">
      <alignment horizontal="center" vertical="center"/>
    </xf>
    <xf numFmtId="43" fontId="77" fillId="29" borderId="1" xfId="1" applyFont="1" applyFill="1" applyBorder="1" applyAlignment="1" applyProtection="1">
      <alignment horizontal="center" vertical="center" wrapText="1"/>
    </xf>
    <xf numFmtId="0" fontId="43" fillId="2" borderId="1" xfId="4" applyFont="1" applyFill="1" applyBorder="1" applyAlignment="1" applyProtection="1">
      <alignment vertical="center" wrapText="1"/>
    </xf>
    <xf numFmtId="0" fontId="72" fillId="2" borderId="1" xfId="4" applyFont="1" applyFill="1" applyBorder="1" applyAlignment="1" applyProtection="1">
      <alignment horizontal="center" vertical="center" wrapText="1"/>
    </xf>
    <xf numFmtId="2" fontId="75" fillId="0" borderId="0" xfId="4" applyNumberFormat="1" applyFont="1" applyAlignment="1" applyProtection="1">
      <alignment horizontal="left" vertical="center" wrapText="1"/>
    </xf>
    <xf numFmtId="2" fontId="43" fillId="0" borderId="1" xfId="4" applyNumberFormat="1" applyFont="1" applyFill="1" applyBorder="1" applyAlignment="1" applyProtection="1">
      <alignment horizontal="left" vertical="center" wrapText="1"/>
    </xf>
    <xf numFmtId="2" fontId="72" fillId="29" borderId="1" xfId="4" applyNumberFormat="1" applyFont="1" applyFill="1" applyBorder="1" applyAlignment="1" applyProtection="1">
      <alignment horizontal="center" vertical="center" wrapText="1"/>
    </xf>
    <xf numFmtId="2" fontId="43" fillId="0" borderId="1" xfId="4" applyNumberFormat="1" applyFont="1" applyBorder="1" applyAlignment="1" applyProtection="1">
      <alignment horizontal="center" vertical="center" wrapText="1"/>
    </xf>
    <xf numFmtId="1" fontId="43" fillId="0" borderId="1" xfId="4" applyNumberFormat="1" applyFont="1" applyBorder="1" applyAlignment="1" applyProtection="1">
      <alignment horizontal="center" vertical="center" wrapText="1"/>
    </xf>
    <xf numFmtId="167" fontId="43" fillId="0" borderId="1" xfId="9" applyNumberFormat="1" applyFont="1" applyBorder="1" applyAlignment="1" applyProtection="1">
      <alignment vertical="center" wrapText="1"/>
    </xf>
    <xf numFmtId="0" fontId="75" fillId="0" borderId="1" xfId="38" applyFont="1" applyBorder="1" applyAlignment="1" applyProtection="1">
      <alignment horizontal="left" vertical="center" wrapText="1"/>
    </xf>
    <xf numFmtId="2" fontId="75" fillId="0" borderId="1" xfId="4" applyNumberFormat="1" applyFont="1" applyBorder="1" applyAlignment="1" applyProtection="1">
      <alignment horizontal="left" vertical="center" wrapText="1"/>
    </xf>
    <xf numFmtId="0" fontId="43" fillId="11" borderId="1" xfId="4" applyFont="1" applyFill="1" applyBorder="1" applyAlignment="1" applyProtection="1">
      <alignment vertical="center" wrapText="1"/>
    </xf>
    <xf numFmtId="0" fontId="43" fillId="4" borderId="1" xfId="8" applyFont="1" applyFill="1" applyBorder="1" applyAlignment="1" applyProtection="1">
      <alignment horizontal="left" vertical="center" wrapText="1"/>
    </xf>
    <xf numFmtId="0" fontId="43" fillId="4" borderId="1" xfId="8" applyFont="1" applyFill="1" applyBorder="1" applyAlignment="1" applyProtection="1">
      <alignment horizontal="center" vertical="center" wrapText="1"/>
    </xf>
    <xf numFmtId="2" fontId="43" fillId="4" borderId="1" xfId="4" applyNumberFormat="1" applyFont="1" applyFill="1" applyBorder="1" applyAlignment="1" applyProtection="1">
      <alignment horizontal="center" vertical="center" wrapText="1"/>
    </xf>
    <xf numFmtId="43" fontId="43" fillId="4" borderId="1" xfId="1" applyFont="1" applyFill="1" applyBorder="1" applyAlignment="1" applyProtection="1">
      <alignment vertical="center" wrapText="1"/>
    </xf>
    <xf numFmtId="43" fontId="72" fillId="4" borderId="1" xfId="1" applyFont="1" applyFill="1" applyBorder="1" applyAlignment="1" applyProtection="1">
      <alignment vertical="center" wrapText="1"/>
    </xf>
    <xf numFmtId="0" fontId="72" fillId="0" borderId="1" xfId="8" applyFont="1" applyFill="1" applyBorder="1" applyAlignment="1" applyProtection="1">
      <alignment vertical="center" wrapText="1"/>
    </xf>
    <xf numFmtId="0" fontId="72" fillId="0" borderId="1" xfId="8" applyFont="1" applyBorder="1" applyAlignment="1" applyProtection="1">
      <alignment vertical="center" wrapText="1"/>
    </xf>
    <xf numFmtId="0" fontId="43" fillId="2" borderId="1" xfId="8" applyFont="1" applyFill="1" applyBorder="1" applyAlignment="1" applyProtection="1">
      <alignment horizontal="center" vertical="center" wrapText="1"/>
    </xf>
    <xf numFmtId="0" fontId="43" fillId="0" borderId="0" xfId="62" applyFont="1" applyAlignment="1" applyProtection="1">
      <alignment horizontal="right" vertical="center" wrapText="1"/>
    </xf>
    <xf numFmtId="0" fontId="43" fillId="0" borderId="0" xfId="62" applyFont="1" applyFill="1" applyAlignment="1" applyProtection="1">
      <alignment horizontal="right" vertical="center" wrapText="1"/>
    </xf>
    <xf numFmtId="0" fontId="76" fillId="39" borderId="1" xfId="3" applyFont="1" applyFill="1" applyBorder="1" applyAlignment="1" applyProtection="1">
      <alignment horizontal="left" wrapText="1"/>
    </xf>
    <xf numFmtId="0" fontId="43" fillId="0" borderId="0" xfId="62" applyFont="1" applyFill="1" applyAlignment="1" applyProtection="1">
      <alignment horizontal="center" vertical="center" wrapText="1"/>
    </xf>
    <xf numFmtId="0" fontId="70" fillId="7" borderId="1" xfId="11" applyFont="1" applyFill="1" applyBorder="1" applyAlignment="1" applyProtection="1">
      <alignment horizontal="center" vertical="center" wrapText="1"/>
    </xf>
    <xf numFmtId="0" fontId="70" fillId="7" borderId="1" xfId="11" applyFont="1" applyFill="1" applyBorder="1" applyAlignment="1" applyProtection="1">
      <alignment horizontal="right" vertical="center" wrapText="1"/>
    </xf>
    <xf numFmtId="0" fontId="43" fillId="0" borderId="0" xfId="11" applyFont="1" applyAlignment="1" applyProtection="1">
      <alignment horizontal="right" vertical="center" wrapText="1"/>
    </xf>
    <xf numFmtId="0" fontId="72" fillId="36" borderId="1" xfId="62" applyFont="1" applyFill="1" applyBorder="1" applyAlignment="1" applyProtection="1">
      <alignment horizontal="left" vertical="center" wrapText="1"/>
    </xf>
    <xf numFmtId="0" fontId="72" fillId="36" borderId="1" xfId="62" applyFont="1" applyFill="1" applyBorder="1" applyAlignment="1" applyProtection="1">
      <alignment horizontal="center" vertical="center" wrapText="1"/>
    </xf>
    <xf numFmtId="0" fontId="72" fillId="36" borderId="1" xfId="62" applyFont="1" applyFill="1" applyBorder="1" applyAlignment="1" applyProtection="1">
      <alignment horizontal="right" vertical="center" wrapText="1"/>
    </xf>
    <xf numFmtId="0" fontId="77" fillId="36" borderId="1" xfId="62" applyFont="1" applyFill="1" applyBorder="1" applyAlignment="1" applyProtection="1">
      <alignment horizontal="right" vertical="center" wrapText="1"/>
    </xf>
    <xf numFmtId="0" fontId="72" fillId="0" borderId="0" xfId="62" applyFont="1" applyAlignment="1" applyProtection="1">
      <alignment horizontal="right" vertical="center" wrapText="1"/>
    </xf>
    <xf numFmtId="0" fontId="43" fillId="0" borderId="1" xfId="62" applyFont="1" applyFill="1" applyBorder="1" applyAlignment="1" applyProtection="1">
      <alignment horizontal="left" vertical="center" wrapText="1"/>
    </xf>
    <xf numFmtId="0" fontId="43" fillId="0" borderId="1" xfId="62" applyFont="1" applyBorder="1" applyAlignment="1" applyProtection="1">
      <alignment horizontal="left" vertical="center" wrapText="1"/>
    </xf>
    <xf numFmtId="0" fontId="77" fillId="29" borderId="1" xfId="4" applyFont="1" applyFill="1" applyBorder="1" applyAlignment="1" applyProtection="1">
      <alignment horizontal="center" vertical="center" wrapText="1"/>
    </xf>
    <xf numFmtId="0" fontId="43" fillId="0" borderId="1" xfId="62" applyFont="1" applyBorder="1" applyAlignment="1" applyProtection="1">
      <alignment horizontal="center" vertical="center" wrapText="1"/>
    </xf>
    <xf numFmtId="0" fontId="43" fillId="0" borderId="0" xfId="62" applyFont="1" applyAlignment="1" applyProtection="1">
      <alignment horizontal="left" vertical="center" wrapText="1"/>
    </xf>
    <xf numFmtId="0" fontId="43" fillId="0" borderId="0" xfId="62" applyFont="1" applyAlignment="1" applyProtection="1">
      <alignment horizontal="center" vertical="center" wrapText="1"/>
    </xf>
    <xf numFmtId="0" fontId="75" fillId="0" borderId="0" xfId="62" applyFont="1" applyAlignment="1" applyProtection="1">
      <alignment horizontal="right" vertical="center" wrapText="1"/>
    </xf>
    <xf numFmtId="43" fontId="43" fillId="0" borderId="0" xfId="1" applyFont="1" applyAlignment="1" applyProtection="1">
      <alignment horizontal="right" vertical="center" wrapText="1"/>
    </xf>
    <xf numFmtId="0" fontId="43" fillId="0" borderId="1" xfId="62" applyFont="1" applyBorder="1" applyAlignment="1" applyProtection="1">
      <alignment horizontal="right" vertical="center" wrapText="1"/>
      <protection locked="0"/>
    </xf>
    <xf numFmtId="0" fontId="72" fillId="36" borderId="1" xfId="62" applyFont="1" applyFill="1" applyBorder="1" applyAlignment="1" applyProtection="1">
      <alignment horizontal="right" vertical="center" wrapText="1"/>
      <protection locked="0"/>
    </xf>
    <xf numFmtId="0" fontId="77" fillId="36" borderId="1" xfId="62" applyFont="1" applyFill="1" applyBorder="1" applyAlignment="1" applyProtection="1">
      <alignment horizontal="right" vertical="center" wrapText="1"/>
      <protection locked="0"/>
    </xf>
    <xf numFmtId="0" fontId="43" fillId="0" borderId="1" xfId="62" applyFont="1" applyBorder="1" applyAlignment="1" applyProtection="1">
      <alignment horizontal="left" vertical="center" wrapText="1"/>
      <protection locked="0"/>
    </xf>
    <xf numFmtId="0" fontId="72" fillId="36" borderId="1" xfId="62" applyFont="1" applyFill="1" applyBorder="1" applyAlignment="1" applyProtection="1">
      <alignment horizontal="left" vertical="center" wrapText="1"/>
      <protection locked="0"/>
    </xf>
    <xf numFmtId="0" fontId="75" fillId="0" borderId="0" xfId="8" applyFont="1" applyBorder="1" applyAlignment="1" applyProtection="1">
      <alignment vertical="center" wrapText="1"/>
    </xf>
    <xf numFmtId="0" fontId="76" fillId="8" borderId="1" xfId="3" applyFont="1" applyFill="1" applyBorder="1" applyAlignment="1" applyProtection="1">
      <alignment horizontal="center" vertical="center"/>
    </xf>
    <xf numFmtId="0" fontId="43" fillId="0" borderId="0" xfId="62" applyFont="1" applyFill="1" applyAlignment="1" applyProtection="1">
      <alignment horizontal="center" vertical="center"/>
    </xf>
    <xf numFmtId="0" fontId="77" fillId="5" borderId="13" xfId="38" applyFont="1" applyFill="1" applyBorder="1" applyAlignment="1" applyProtection="1">
      <alignment horizontal="center" vertical="center" wrapText="1"/>
    </xf>
    <xf numFmtId="2" fontId="77" fillId="5" borderId="13" xfId="38" applyNumberFormat="1" applyFont="1" applyFill="1" applyBorder="1" applyAlignment="1" applyProtection="1">
      <alignment horizontal="center" vertical="center" wrapText="1"/>
    </xf>
    <xf numFmtId="0" fontId="43" fillId="28" borderId="1" xfId="11" applyFont="1" applyFill="1" applyBorder="1" applyAlignment="1" applyProtection="1">
      <alignment horizontal="center" vertical="center" wrapText="1"/>
    </xf>
    <xf numFmtId="0" fontId="72" fillId="28" borderId="1" xfId="11" applyFont="1" applyFill="1" applyBorder="1" applyAlignment="1" applyProtection="1">
      <alignment horizontal="left" vertical="center" wrapText="1"/>
    </xf>
    <xf numFmtId="43" fontId="72" fillId="28" borderId="1" xfId="1" applyFont="1" applyFill="1" applyBorder="1" applyAlignment="1" applyProtection="1">
      <alignment horizontal="left" vertical="center" wrapText="1"/>
    </xf>
    <xf numFmtId="43" fontId="72" fillId="28" borderId="1" xfId="1" applyFont="1" applyFill="1" applyBorder="1" applyAlignment="1" applyProtection="1">
      <alignment horizontal="right" vertical="center" wrapText="1"/>
    </xf>
    <xf numFmtId="0" fontId="72" fillId="28" borderId="5" xfId="11" applyFont="1" applyFill="1" applyBorder="1" applyAlignment="1" applyProtection="1">
      <alignment horizontal="left" vertical="center" wrapText="1"/>
    </xf>
    <xf numFmtId="0" fontId="43" fillId="0" borderId="0" xfId="11" applyFont="1" applyFill="1" applyAlignment="1" applyProtection="1">
      <alignment horizontal="center" vertical="center" wrapText="1"/>
    </xf>
    <xf numFmtId="0" fontId="72" fillId="28" borderId="0" xfId="62" applyFont="1" applyFill="1" applyAlignment="1" applyProtection="1">
      <alignment horizontal="center" vertical="center"/>
    </xf>
    <xf numFmtId="0" fontId="100" fillId="33" borderId="1" xfId="0" applyFont="1" applyFill="1" applyBorder="1" applyAlignment="1" applyProtection="1">
      <alignment horizontal="left" vertical="center" wrapText="1"/>
    </xf>
    <xf numFmtId="0" fontId="43" fillId="0" borderId="0" xfId="62" applyFont="1" applyAlignment="1" applyProtection="1">
      <alignment horizontal="right" vertical="center"/>
    </xf>
    <xf numFmtId="0" fontId="75" fillId="0" borderId="1" xfId="62" applyFont="1" applyBorder="1" applyAlignment="1" applyProtection="1">
      <alignment horizontal="left" vertical="center"/>
    </xf>
    <xf numFmtId="2" fontId="75" fillId="0" borderId="1" xfId="11" applyNumberFormat="1" applyFont="1" applyBorder="1" applyAlignment="1" applyProtection="1">
      <alignment horizontal="right" vertical="center" wrapText="1"/>
    </xf>
    <xf numFmtId="43" fontId="84" fillId="0" borderId="1" xfId="0" applyNumberFormat="1" applyFont="1" applyBorder="1" applyAlignment="1" applyProtection="1">
      <alignment vertical="center"/>
    </xf>
    <xf numFmtId="0" fontId="75" fillId="0" borderId="1" xfId="62" applyFont="1" applyBorder="1" applyAlignment="1" applyProtection="1">
      <alignment horizontal="left" vertical="center" wrapText="1"/>
    </xf>
    <xf numFmtId="49" fontId="75" fillId="0" borderId="1" xfId="4" applyNumberFormat="1" applyFont="1" applyFill="1" applyBorder="1" applyAlignment="1" applyProtection="1">
      <alignment horizontal="left" vertical="center" wrapText="1"/>
    </xf>
    <xf numFmtId="0" fontId="75" fillId="0" borderId="1" xfId="62" applyFont="1" applyBorder="1" applyAlignment="1" applyProtection="1">
      <alignment horizontal="center" vertical="center"/>
    </xf>
    <xf numFmtId="0" fontId="100" fillId="49" borderId="1" xfId="0" applyFont="1" applyFill="1" applyBorder="1" applyAlignment="1" applyProtection="1">
      <alignment horizontal="left" vertical="center" wrapText="1"/>
    </xf>
    <xf numFmtId="0" fontId="72" fillId="28" borderId="0" xfId="11" applyFont="1" applyFill="1" applyAlignment="1" applyProtection="1">
      <alignment horizontal="center" vertical="center" wrapText="1"/>
    </xf>
    <xf numFmtId="0" fontId="77" fillId="2" borderId="1" xfId="4" quotePrefix="1" applyFont="1" applyFill="1" applyBorder="1" applyAlignment="1" applyProtection="1">
      <alignment horizontal="left" vertical="center" wrapText="1"/>
    </xf>
    <xf numFmtId="43" fontId="84" fillId="0" borderId="1" xfId="0" applyNumberFormat="1" applyFont="1" applyBorder="1" applyAlignment="1" applyProtection="1">
      <alignment horizontal="right" vertical="center"/>
    </xf>
    <xf numFmtId="0" fontId="75" fillId="0" borderId="1" xfId="62" applyFont="1" applyFill="1" applyBorder="1" applyAlignment="1" applyProtection="1">
      <alignment horizontal="left" vertical="center"/>
    </xf>
    <xf numFmtId="43" fontId="84" fillId="0" borderId="1" xfId="0" applyNumberFormat="1" applyFont="1" applyBorder="1" applyAlignment="1" applyProtection="1">
      <alignment horizontal="right" vertical="center" wrapText="1"/>
    </xf>
    <xf numFmtId="2" fontId="75" fillId="0" borderId="1" xfId="11" applyNumberFormat="1" applyFont="1" applyFill="1" applyBorder="1" applyAlignment="1" applyProtection="1">
      <alignment horizontal="right" vertical="center" wrapText="1"/>
    </xf>
    <xf numFmtId="0" fontId="43" fillId="0" borderId="0" xfId="62" applyFont="1" applyFill="1" applyAlignment="1" applyProtection="1">
      <alignment horizontal="right" vertical="center"/>
    </xf>
    <xf numFmtId="0" fontId="75" fillId="0" borderId="0" xfId="62" applyFont="1" applyAlignment="1" applyProtection="1">
      <alignment horizontal="center" vertical="center"/>
    </xf>
    <xf numFmtId="0" fontId="75" fillId="0" borderId="0" xfId="62" applyFont="1" applyAlignment="1" applyProtection="1">
      <alignment horizontal="right" vertical="center"/>
    </xf>
    <xf numFmtId="0" fontId="77" fillId="4" borderId="13" xfId="4" applyFont="1" applyFill="1" applyBorder="1" applyAlignment="1" applyProtection="1">
      <alignment horizontal="left" vertical="center" wrapText="1"/>
    </xf>
    <xf numFmtId="0" fontId="75" fillId="4" borderId="13" xfId="4" applyFont="1" applyFill="1" applyBorder="1" applyAlignment="1" applyProtection="1">
      <alignment horizontal="left" vertical="center" wrapText="1"/>
    </xf>
    <xf numFmtId="0" fontId="100" fillId="46" borderId="1" xfId="0" applyFont="1" applyFill="1" applyBorder="1" applyAlignment="1" applyProtection="1">
      <alignment horizontal="left" vertical="center" wrapText="1"/>
    </xf>
    <xf numFmtId="0" fontId="43" fillId="0" borderId="1" xfId="62" applyFont="1" applyBorder="1" applyAlignment="1" applyProtection="1">
      <alignment horizontal="center" vertical="center"/>
    </xf>
    <xf numFmtId="0" fontId="77" fillId="28" borderId="1" xfId="62" applyFont="1" applyFill="1" applyBorder="1" applyAlignment="1" applyProtection="1">
      <alignment horizontal="center" vertical="center"/>
    </xf>
    <xf numFmtId="0" fontId="75" fillId="0" borderId="1" xfId="62" applyFont="1" applyBorder="1" applyAlignment="1" applyProtection="1">
      <alignment horizontal="center" vertical="center" wrapText="1"/>
    </xf>
    <xf numFmtId="0" fontId="72" fillId="28" borderId="1" xfId="62" applyFont="1" applyFill="1" applyBorder="1" applyAlignment="1" applyProtection="1">
      <alignment horizontal="center" vertical="center"/>
    </xf>
    <xf numFmtId="0" fontId="75" fillId="0" borderId="1" xfId="62" applyFont="1" applyFill="1" applyBorder="1" applyAlignment="1" applyProtection="1">
      <alignment horizontal="center" vertical="center"/>
    </xf>
    <xf numFmtId="0" fontId="75" fillId="0" borderId="1" xfId="62" applyFont="1" applyFill="1" applyBorder="1" applyAlignment="1" applyProtection="1">
      <alignment horizontal="left" vertical="center" wrapText="1"/>
    </xf>
    <xf numFmtId="0" fontId="75" fillId="0" borderId="1" xfId="62" quotePrefix="1" applyFont="1" applyFill="1" applyBorder="1" applyAlignment="1" applyProtection="1">
      <alignment horizontal="left" vertical="center" wrapText="1"/>
    </xf>
    <xf numFmtId="0" fontId="75" fillId="0" borderId="0" xfId="62" applyFont="1" applyFill="1" applyAlignment="1" applyProtection="1">
      <alignment horizontal="right" vertical="center"/>
    </xf>
    <xf numFmtId="43" fontId="84" fillId="0" borderId="1" xfId="1" applyFont="1" applyBorder="1" applyAlignment="1" applyProtection="1">
      <alignment horizontal="left" vertical="center"/>
    </xf>
    <xf numFmtId="0" fontId="41" fillId="0" borderId="1" xfId="4" applyFont="1" applyFill="1" applyBorder="1" applyAlignment="1" applyProtection="1">
      <alignment horizontal="left" vertical="center" wrapText="1"/>
    </xf>
    <xf numFmtId="0" fontId="43" fillId="0" borderId="0" xfId="62" applyFont="1" applyAlignment="1" applyProtection="1">
      <alignment horizontal="left" vertical="center"/>
    </xf>
    <xf numFmtId="0" fontId="43" fillId="0" borderId="0" xfId="62" applyFont="1" applyFill="1" applyAlignment="1" applyProtection="1">
      <alignment horizontal="left" vertical="center"/>
    </xf>
    <xf numFmtId="0" fontId="43" fillId="0" borderId="0" xfId="62" applyFont="1" applyAlignment="1" applyProtection="1">
      <alignment vertical="center" wrapText="1"/>
    </xf>
    <xf numFmtId="0" fontId="43" fillId="0" borderId="0" xfId="62" applyFont="1" applyFill="1" applyAlignment="1" applyProtection="1">
      <alignment vertical="center" wrapText="1"/>
    </xf>
    <xf numFmtId="0" fontId="76" fillId="39" borderId="1" xfId="3" applyFont="1" applyFill="1" applyBorder="1" applyAlignment="1" applyProtection="1">
      <alignment wrapText="1"/>
    </xf>
    <xf numFmtId="0" fontId="43" fillId="0" borderId="1" xfId="62" applyFont="1" applyFill="1" applyBorder="1" applyAlignment="1" applyProtection="1">
      <alignment vertical="center" wrapText="1"/>
    </xf>
    <xf numFmtId="2" fontId="70" fillId="7" borderId="1" xfId="11" applyNumberFormat="1" applyFont="1" applyFill="1" applyBorder="1" applyAlignment="1" applyProtection="1">
      <alignment horizontal="left" vertical="center" wrapText="1"/>
    </xf>
    <xf numFmtId="0" fontId="72" fillId="36" borderId="1" xfId="82" applyFont="1" applyFill="1" applyBorder="1" applyAlignment="1" applyProtection="1">
      <alignment horizontal="center" vertical="center" wrapText="1"/>
    </xf>
    <xf numFmtId="0" fontId="43" fillId="36" borderId="1" xfId="82" applyFont="1" applyFill="1" applyBorder="1" applyAlignment="1" applyProtection="1">
      <alignment horizontal="center" vertical="center" wrapText="1"/>
    </xf>
    <xf numFmtId="0" fontId="72" fillId="36" borderId="1" xfId="82" applyFont="1" applyFill="1" applyBorder="1" applyAlignment="1" applyProtection="1">
      <alignment vertical="center" wrapText="1"/>
    </xf>
    <xf numFmtId="0" fontId="43" fillId="36" borderId="1" xfId="82" applyFont="1" applyFill="1" applyBorder="1" applyAlignment="1" applyProtection="1">
      <alignment vertical="center" wrapText="1"/>
    </xf>
    <xf numFmtId="0" fontId="75" fillId="36" borderId="1" xfId="82" applyFont="1" applyFill="1" applyBorder="1" applyAlignment="1" applyProtection="1">
      <alignment vertical="center" wrapText="1"/>
    </xf>
    <xf numFmtId="2" fontId="43" fillId="36" borderId="1" xfId="82" applyNumberFormat="1" applyFont="1" applyFill="1" applyBorder="1" applyAlignment="1" applyProtection="1">
      <alignment vertical="center" wrapText="1"/>
    </xf>
    <xf numFmtId="2" fontId="72" fillId="36" borderId="1" xfId="82" applyNumberFormat="1" applyFont="1" applyFill="1" applyBorder="1" applyAlignment="1" applyProtection="1">
      <alignment vertical="center" wrapText="1"/>
    </xf>
    <xf numFmtId="0" fontId="43" fillId="36" borderId="1" xfId="82" applyFont="1" applyFill="1" applyBorder="1" applyAlignment="1" applyProtection="1">
      <alignment horizontal="left" vertical="center" wrapText="1"/>
    </xf>
    <xf numFmtId="0" fontId="43" fillId="0" borderId="0" xfId="82" applyFont="1" applyAlignment="1" applyProtection="1">
      <alignment vertical="center" wrapText="1"/>
    </xf>
    <xf numFmtId="0" fontId="43" fillId="0" borderId="1" xfId="82" applyFont="1" applyFill="1" applyBorder="1" applyAlignment="1" applyProtection="1">
      <alignment horizontal="center" vertical="center" wrapText="1"/>
    </xf>
    <xf numFmtId="0" fontId="43" fillId="0" borderId="1" xfId="82" applyFont="1" applyBorder="1" applyAlignment="1" applyProtection="1">
      <alignment horizontal="center" vertical="center" wrapText="1"/>
    </xf>
    <xf numFmtId="0" fontId="43" fillId="0" borderId="1" xfId="82" applyFont="1" applyBorder="1" applyAlignment="1" applyProtection="1">
      <alignment vertical="center" wrapText="1"/>
    </xf>
    <xf numFmtId="0" fontId="72" fillId="29" borderId="1" xfId="4" applyFont="1" applyFill="1" applyBorder="1" applyAlignment="1" applyProtection="1">
      <alignment horizontal="center" vertical="center" wrapText="1"/>
    </xf>
    <xf numFmtId="0" fontId="43" fillId="0" borderId="1" xfId="82" applyFont="1" applyBorder="1" applyAlignment="1" applyProtection="1">
      <alignment horizontal="center" vertical="center"/>
    </xf>
    <xf numFmtId="2" fontId="43" fillId="0" borderId="1" xfId="82" applyNumberFormat="1" applyFont="1" applyBorder="1" applyAlignment="1" applyProtection="1">
      <alignment vertical="center" wrapText="1"/>
    </xf>
    <xf numFmtId="0" fontId="43" fillId="0" borderId="1" xfId="82" applyFont="1" applyBorder="1" applyAlignment="1" applyProtection="1">
      <alignment horizontal="left" vertical="center" wrapText="1"/>
    </xf>
    <xf numFmtId="0" fontId="72" fillId="10" borderId="1" xfId="82" applyFont="1" applyFill="1" applyBorder="1" applyAlignment="1" applyProtection="1">
      <alignment horizontal="center" vertical="center" wrapText="1"/>
    </xf>
    <xf numFmtId="0" fontId="72" fillId="28" borderId="1" xfId="82" applyFont="1" applyFill="1" applyBorder="1" applyAlignment="1" applyProtection="1">
      <alignment horizontal="center" vertical="center" wrapText="1"/>
    </xf>
    <xf numFmtId="0" fontId="43" fillId="0" borderId="0" xfId="82" applyFont="1" applyAlignment="1" applyProtection="1">
      <alignment horizontal="center" vertical="center" wrapText="1"/>
    </xf>
    <xf numFmtId="0" fontId="72" fillId="0" borderId="0" xfId="82" applyFont="1" applyAlignment="1" applyProtection="1">
      <alignment vertical="center" wrapText="1"/>
    </xf>
    <xf numFmtId="0" fontId="75" fillId="0" borderId="0" xfId="82" applyFont="1" applyAlignment="1" applyProtection="1">
      <alignment vertical="center" wrapText="1"/>
    </xf>
    <xf numFmtId="2" fontId="43" fillId="0" borderId="0" xfId="82" applyNumberFormat="1" applyFont="1" applyAlignment="1" applyProtection="1">
      <alignment vertical="center" wrapText="1"/>
    </xf>
    <xf numFmtId="0" fontId="43" fillId="0" borderId="0" xfId="82" applyFont="1" applyAlignment="1" applyProtection="1">
      <alignment horizontal="left" vertical="center" wrapText="1"/>
    </xf>
    <xf numFmtId="0" fontId="75" fillId="0" borderId="1" xfId="82" applyFont="1" applyBorder="1" applyAlignment="1" applyProtection="1">
      <alignment vertical="center" wrapText="1"/>
      <protection locked="0"/>
    </xf>
    <xf numFmtId="2" fontId="43" fillId="0" borderId="1" xfId="82" applyNumberFormat="1" applyFont="1" applyBorder="1" applyAlignment="1" applyProtection="1">
      <alignment vertical="center" wrapText="1"/>
      <protection locked="0"/>
    </xf>
    <xf numFmtId="0" fontId="43" fillId="36" borderId="1" xfId="82" applyFont="1" applyFill="1" applyBorder="1" applyAlignment="1" applyProtection="1">
      <alignment vertical="center" wrapText="1"/>
      <protection locked="0"/>
    </xf>
    <xf numFmtId="0" fontId="75" fillId="36" borderId="1" xfId="82" applyFont="1" applyFill="1" applyBorder="1" applyAlignment="1" applyProtection="1">
      <alignment vertical="center" wrapText="1"/>
      <protection locked="0"/>
    </xf>
    <xf numFmtId="2" fontId="43" fillId="36" borderId="1" xfId="82" applyNumberFormat="1" applyFont="1" applyFill="1" applyBorder="1" applyAlignment="1" applyProtection="1">
      <alignment vertical="center" wrapText="1"/>
      <protection locked="0"/>
    </xf>
    <xf numFmtId="0" fontId="43" fillId="0" borderId="1" xfId="82" applyFont="1" applyBorder="1" applyAlignment="1" applyProtection="1">
      <alignment horizontal="left" vertical="center" wrapText="1"/>
      <protection locked="0"/>
    </xf>
    <xf numFmtId="0" fontId="43" fillId="36" borderId="1" xfId="82" applyFont="1" applyFill="1" applyBorder="1" applyAlignment="1" applyProtection="1">
      <alignment horizontal="left" vertical="center" wrapText="1"/>
      <protection locked="0"/>
    </xf>
    <xf numFmtId="43" fontId="77" fillId="5" borderId="13" xfId="1" applyFont="1" applyFill="1" applyBorder="1" applyAlignment="1" applyProtection="1">
      <alignment horizontal="center" vertical="center" wrapText="1"/>
    </xf>
    <xf numFmtId="0" fontId="72" fillId="28" borderId="1" xfId="62" applyFont="1" applyFill="1" applyBorder="1" applyAlignment="1" applyProtection="1">
      <alignment vertical="center"/>
    </xf>
    <xf numFmtId="0" fontId="43" fillId="2" borderId="1" xfId="4" applyFont="1" applyFill="1" applyBorder="1" applyAlignment="1" applyProtection="1">
      <alignment horizontal="center" vertical="center" wrapText="1"/>
    </xf>
    <xf numFmtId="0" fontId="72" fillId="2" borderId="5" xfId="4" applyFont="1" applyFill="1" applyBorder="1" applyAlignment="1" applyProtection="1">
      <alignment horizontal="left" vertical="center" wrapText="1"/>
    </xf>
    <xf numFmtId="0" fontId="43" fillId="0" borderId="1" xfId="82" applyFont="1" applyBorder="1" applyAlignment="1" applyProtection="1">
      <alignment vertical="center"/>
    </xf>
    <xf numFmtId="0" fontId="43" fillId="0" borderId="1" xfId="4" applyFont="1" applyBorder="1" applyAlignment="1" applyProtection="1">
      <alignment horizontal="center" vertical="center" wrapText="1"/>
    </xf>
    <xf numFmtId="43" fontId="94" fillId="0" borderId="1" xfId="1" applyFont="1" applyBorder="1" applyAlignment="1" applyProtection="1">
      <alignment vertical="center"/>
    </xf>
    <xf numFmtId="0" fontId="43" fillId="0" borderId="0" xfId="82" applyFont="1" applyAlignment="1" applyProtection="1">
      <alignment vertical="center"/>
    </xf>
    <xf numFmtId="0" fontId="72" fillId="28" borderId="1" xfId="82" applyFont="1" applyFill="1" applyBorder="1" applyAlignment="1" applyProtection="1">
      <alignment vertical="center"/>
    </xf>
    <xf numFmtId="0" fontId="43" fillId="0" borderId="1" xfId="82" applyFont="1" applyFill="1" applyBorder="1" applyAlignment="1" applyProtection="1">
      <alignment vertical="center"/>
    </xf>
    <xf numFmtId="0" fontId="91" fillId="0" borderId="1" xfId="0" applyFont="1" applyBorder="1" applyAlignment="1" applyProtection="1">
      <alignment wrapText="1"/>
    </xf>
    <xf numFmtId="0" fontId="72" fillId="0" borderId="1" xfId="4" applyFont="1" applyBorder="1" applyAlignment="1" applyProtection="1">
      <alignment vertical="center" wrapText="1"/>
    </xf>
    <xf numFmtId="2" fontId="43" fillId="0" borderId="1" xfId="4" applyNumberFormat="1" applyFont="1" applyBorder="1" applyAlignment="1" applyProtection="1">
      <alignment vertical="center" wrapText="1"/>
    </xf>
    <xf numFmtId="2" fontId="72" fillId="2" borderId="1" xfId="4" applyNumberFormat="1" applyFont="1" applyFill="1" applyBorder="1" applyAlignment="1" applyProtection="1">
      <alignment horizontal="left" vertical="center" wrapText="1"/>
    </xf>
    <xf numFmtId="0" fontId="43" fillId="0" borderId="1" xfId="0" applyFont="1" applyBorder="1" applyAlignment="1" applyProtection="1">
      <alignment horizontal="left"/>
    </xf>
    <xf numFmtId="0" fontId="41" fillId="0" borderId="1" xfId="82" applyFont="1" applyBorder="1" applyAlignment="1" applyProtection="1">
      <alignment horizontal="center" vertical="center"/>
    </xf>
    <xf numFmtId="0" fontId="43" fillId="0" borderId="1" xfId="0" applyFont="1" applyBorder="1" applyAlignment="1" applyProtection="1">
      <alignment vertical="center"/>
    </xf>
    <xf numFmtId="0" fontId="43" fillId="0" borderId="1" xfId="0" applyFont="1" applyBorder="1" applyAlignment="1" applyProtection="1">
      <alignment horizontal="left" wrapText="1"/>
    </xf>
    <xf numFmtId="0" fontId="43" fillId="0" borderId="1" xfId="82" applyFont="1" applyFill="1" applyBorder="1" applyAlignment="1" applyProtection="1">
      <alignment horizontal="left" vertical="center" wrapText="1"/>
    </xf>
    <xf numFmtId="0" fontId="43" fillId="0" borderId="0" xfId="82" applyFont="1" applyFill="1" applyAlignment="1" applyProtection="1">
      <alignment vertical="center"/>
    </xf>
    <xf numFmtId="0" fontId="43" fillId="0" borderId="1" xfId="82" applyFont="1" applyBorder="1" applyAlignment="1" applyProtection="1">
      <alignment horizontal="left" vertical="center"/>
    </xf>
    <xf numFmtId="0" fontId="43" fillId="0" borderId="1" xfId="82" applyFont="1" applyFill="1" applyBorder="1" applyAlignment="1" applyProtection="1">
      <alignment vertical="center" wrapText="1"/>
    </xf>
    <xf numFmtId="0" fontId="43" fillId="0" borderId="1" xfId="82" applyFont="1" applyFill="1" applyBorder="1" applyAlignment="1" applyProtection="1">
      <alignment horizontal="center" vertical="center"/>
    </xf>
    <xf numFmtId="43" fontId="94" fillId="0" borderId="1" xfId="1" applyFont="1" applyBorder="1" applyAlignment="1" applyProtection="1">
      <alignment horizontal="left" vertical="center"/>
    </xf>
    <xf numFmtId="0" fontId="72" fillId="0" borderId="1" xfId="11" applyFont="1" applyFill="1" applyBorder="1" applyAlignment="1" applyProtection="1">
      <alignment horizontal="left" vertical="center" wrapText="1"/>
    </xf>
    <xf numFmtId="0" fontId="43" fillId="0" borderId="1" xfId="11" applyFont="1" applyFill="1" applyBorder="1" applyAlignment="1" applyProtection="1">
      <alignment horizontal="center" vertical="center" wrapText="1"/>
    </xf>
    <xf numFmtId="43" fontId="94" fillId="0" borderId="1" xfId="1" applyFont="1" applyBorder="1" applyAlignment="1" applyProtection="1">
      <alignment horizontal="left" vertical="center" wrapText="1"/>
    </xf>
    <xf numFmtId="0" fontId="43" fillId="0" borderId="0" xfId="11" applyFont="1" applyFill="1" applyAlignment="1" applyProtection="1">
      <alignment vertical="center" wrapText="1"/>
    </xf>
    <xf numFmtId="0" fontId="41" fillId="0" borderId="1" xfId="11" applyFont="1" applyFill="1" applyBorder="1" applyAlignment="1" applyProtection="1">
      <alignment horizontal="center" vertical="center" wrapText="1"/>
    </xf>
    <xf numFmtId="0" fontId="43" fillId="0" borderId="1" xfId="82" applyFont="1" applyFill="1" applyBorder="1" applyAlignment="1" applyProtection="1">
      <alignment horizontal="left" vertical="center"/>
    </xf>
    <xf numFmtId="0" fontId="43" fillId="0" borderId="1" xfId="62" applyFont="1" applyBorder="1" applyAlignment="1" applyProtection="1">
      <alignment vertical="center" wrapText="1"/>
    </xf>
    <xf numFmtId="43" fontId="100" fillId="0" borderId="1" xfId="1" applyFont="1" applyBorder="1" applyAlignment="1" applyProtection="1">
      <alignment horizontal="left" vertical="center" wrapText="1"/>
    </xf>
    <xf numFmtId="0" fontId="72" fillId="0" borderId="0" xfId="82" applyFont="1" applyAlignment="1" applyProtection="1">
      <alignment vertical="center"/>
    </xf>
    <xf numFmtId="0" fontId="43" fillId="0" borderId="0" xfId="82" applyFont="1" applyAlignment="1" applyProtection="1">
      <alignment horizontal="center" vertical="center"/>
    </xf>
    <xf numFmtId="0" fontId="75" fillId="0" borderId="0" xfId="82" applyFont="1" applyAlignment="1" applyProtection="1">
      <alignment vertical="center"/>
    </xf>
    <xf numFmtId="0" fontId="43" fillId="0" borderId="0" xfId="82" applyFont="1" applyAlignment="1" applyProtection="1">
      <alignment horizontal="left" vertical="center"/>
    </xf>
    <xf numFmtId="43" fontId="94" fillId="47" borderId="1" xfId="1" applyFont="1" applyFill="1" applyBorder="1" applyAlignment="1" applyProtection="1">
      <alignment vertical="center"/>
      <protection locked="0"/>
    </xf>
    <xf numFmtId="0" fontId="43" fillId="16" borderId="1" xfId="8" applyFont="1" applyFill="1" applyBorder="1" applyAlignment="1" applyProtection="1">
      <alignment horizontal="center" vertical="center"/>
    </xf>
    <xf numFmtId="43" fontId="76" fillId="39" borderId="1" xfId="1" applyFont="1" applyFill="1" applyBorder="1" applyAlignment="1" applyProtection="1">
      <alignment horizontal="left"/>
    </xf>
    <xf numFmtId="43" fontId="43" fillId="0" borderId="0" xfId="1" applyFont="1" applyFill="1" applyAlignment="1" applyProtection="1">
      <alignment vertical="center"/>
    </xf>
    <xf numFmtId="43" fontId="72" fillId="0" borderId="1" xfId="1" applyFont="1" applyFill="1" applyBorder="1" applyProtection="1"/>
    <xf numFmtId="0" fontId="43" fillId="0" borderId="0" xfId="8" applyFont="1" applyFill="1" applyAlignment="1" applyProtection="1">
      <alignment horizontal="center" vertical="center"/>
    </xf>
    <xf numFmtId="0" fontId="72" fillId="6" borderId="1" xfId="8" applyFont="1" applyFill="1" applyBorder="1" applyAlignment="1" applyProtection="1">
      <alignment vertical="center"/>
    </xf>
    <xf numFmtId="0" fontId="72" fillId="6" borderId="1" xfId="8" applyFont="1" applyFill="1" applyBorder="1" applyAlignment="1" applyProtection="1">
      <alignment vertical="center" wrapText="1"/>
    </xf>
    <xf numFmtId="0" fontId="72" fillId="0" borderId="1" xfId="8" applyFont="1" applyBorder="1" applyAlignment="1" applyProtection="1">
      <alignment horizontal="left" vertical="center"/>
    </xf>
    <xf numFmtId="2" fontId="72" fillId="6" borderId="1" xfId="4" applyNumberFormat="1" applyFont="1" applyFill="1" applyBorder="1" applyAlignment="1" applyProtection="1">
      <alignment horizontal="left" vertical="center" wrapText="1"/>
    </xf>
    <xf numFmtId="0" fontId="72" fillId="6" borderId="1" xfId="8" applyFont="1" applyFill="1" applyBorder="1" applyAlignment="1" applyProtection="1">
      <alignment horizontal="left" vertical="center" wrapText="1"/>
    </xf>
    <xf numFmtId="0" fontId="43" fillId="29" borderId="1" xfId="8" applyFont="1" applyFill="1" applyBorder="1" applyAlignment="1" applyProtection="1">
      <alignment horizontal="center" vertical="center"/>
    </xf>
    <xf numFmtId="0" fontId="43" fillId="0" borderId="1" xfId="8" applyFont="1" applyFill="1" applyBorder="1" applyAlignment="1" applyProtection="1">
      <alignment vertical="center"/>
    </xf>
    <xf numFmtId="0" fontId="70" fillId="16" borderId="1" xfId="8" applyFont="1" applyFill="1" applyBorder="1" applyAlignment="1" applyProtection="1">
      <alignment vertical="center"/>
    </xf>
    <xf numFmtId="0" fontId="72" fillId="0" borderId="1" xfId="8" applyFont="1" applyFill="1" applyBorder="1" applyAlignment="1" applyProtection="1">
      <alignment horizontal="center" vertical="center"/>
    </xf>
    <xf numFmtId="43" fontId="43" fillId="11" borderId="1" xfId="1" applyFont="1" applyFill="1" applyBorder="1" applyAlignment="1" applyProtection="1">
      <alignment horizontal="right" vertical="center" wrapText="1"/>
    </xf>
    <xf numFmtId="1" fontId="72" fillId="0" borderId="1" xfId="8" applyNumberFormat="1" applyFont="1" applyFill="1" applyBorder="1" applyAlignment="1" applyProtection="1">
      <alignment horizontal="left" vertical="center" wrapText="1"/>
    </xf>
    <xf numFmtId="1" fontId="43" fillId="2" borderId="1" xfId="8" applyNumberFormat="1" applyFont="1" applyFill="1" applyBorder="1" applyAlignment="1" applyProtection="1">
      <alignment horizontal="left" vertical="center" wrapText="1"/>
    </xf>
    <xf numFmtId="1" fontId="43" fillId="0" borderId="1" xfId="4" applyNumberFormat="1" applyFont="1" applyBorder="1" applyAlignment="1" applyProtection="1">
      <alignment horizontal="left" vertical="center" wrapText="1"/>
    </xf>
    <xf numFmtId="1" fontId="43" fillId="0" borderId="1" xfId="4" applyNumberFormat="1" applyFont="1" applyFill="1" applyBorder="1" applyAlignment="1" applyProtection="1">
      <alignment horizontal="left" vertical="center" wrapText="1"/>
    </xf>
    <xf numFmtId="0" fontId="73" fillId="20" borderId="1" xfId="4" applyFont="1" applyFill="1" applyBorder="1" applyAlignment="1" applyProtection="1">
      <alignment vertical="center" wrapText="1"/>
      <protection locked="0"/>
    </xf>
    <xf numFmtId="0" fontId="73" fillId="20" borderId="1" xfId="8" applyFont="1" applyFill="1" applyBorder="1" applyAlignment="1" applyProtection="1">
      <alignment vertical="center" wrapText="1"/>
      <protection locked="0"/>
    </xf>
    <xf numFmtId="0" fontId="43" fillId="0" borderId="0" xfId="8" applyFont="1" applyAlignment="1" applyProtection="1">
      <alignment vertical="center"/>
      <protection locked="0"/>
    </xf>
    <xf numFmtId="0" fontId="70" fillId="16" borderId="1" xfId="11" applyFont="1" applyFill="1" applyBorder="1" applyAlignment="1" applyProtection="1">
      <alignment vertical="center"/>
    </xf>
    <xf numFmtId="0" fontId="43" fillId="0" borderId="0" xfId="11" applyFont="1" applyAlignment="1" applyProtection="1">
      <alignment vertical="center"/>
    </xf>
    <xf numFmtId="0" fontId="43" fillId="0" borderId="0" xfId="11" applyFont="1" applyFill="1" applyAlignment="1" applyProtection="1">
      <alignment vertical="center"/>
    </xf>
    <xf numFmtId="43" fontId="76" fillId="39" borderId="1" xfId="1" applyFont="1" applyFill="1" applyBorder="1" applyAlignment="1" applyProtection="1">
      <alignment horizontal="left" vertical="center"/>
    </xf>
    <xf numFmtId="43" fontId="43" fillId="0" borderId="1" xfId="1" applyFont="1" applyFill="1" applyBorder="1" applyAlignment="1" applyProtection="1">
      <alignment vertical="center"/>
    </xf>
    <xf numFmtId="0" fontId="43" fillId="0" borderId="0" xfId="11" applyFont="1" applyFill="1" applyAlignment="1" applyProtection="1">
      <alignment horizontal="center" vertical="center"/>
    </xf>
    <xf numFmtId="0" fontId="43" fillId="0" borderId="0" xfId="11" applyFont="1" applyAlignment="1" applyProtection="1">
      <alignment horizontal="center" vertical="center"/>
    </xf>
    <xf numFmtId="0" fontId="72" fillId="2" borderId="1" xfId="11" applyFont="1" applyFill="1" applyBorder="1" applyAlignment="1" applyProtection="1">
      <alignment horizontal="left" vertical="center"/>
    </xf>
    <xf numFmtId="0" fontId="43" fillId="2" borderId="1" xfId="11" applyFont="1" applyFill="1" applyBorder="1" applyAlignment="1" applyProtection="1">
      <alignment horizontal="left" vertical="center" wrapText="1"/>
    </xf>
    <xf numFmtId="0" fontId="72" fillId="2" borderId="1" xfId="11" applyFont="1" applyFill="1" applyBorder="1" applyAlignment="1" applyProtection="1">
      <alignment horizontal="left" vertical="center" wrapText="1"/>
    </xf>
    <xf numFmtId="0" fontId="72" fillId="2" borderId="1" xfId="11" applyFont="1" applyFill="1" applyBorder="1" applyAlignment="1" applyProtection="1">
      <alignment horizontal="center" vertical="center" wrapText="1"/>
    </xf>
    <xf numFmtId="0" fontId="43" fillId="2" borderId="1" xfId="11" applyFont="1" applyFill="1" applyBorder="1" applyAlignment="1" applyProtection="1">
      <alignment horizontal="center" vertical="center" wrapText="1"/>
    </xf>
    <xf numFmtId="0" fontId="43" fillId="0" borderId="1" xfId="11" applyFont="1" applyFill="1" applyBorder="1" applyAlignment="1" applyProtection="1">
      <alignment horizontal="left" vertical="center"/>
    </xf>
    <xf numFmtId="0" fontId="43" fillId="0" borderId="1" xfId="11" applyFont="1" applyBorder="1" applyAlignment="1" applyProtection="1">
      <alignment horizontal="left" vertical="center"/>
    </xf>
    <xf numFmtId="0" fontId="43" fillId="0" borderId="1" xfId="11" applyFont="1" applyBorder="1" applyAlignment="1" applyProtection="1">
      <alignment horizontal="left" vertical="center" wrapText="1"/>
    </xf>
    <xf numFmtId="0" fontId="72" fillId="36" borderId="1" xfId="11" applyFont="1" applyFill="1" applyBorder="1" applyAlignment="1" applyProtection="1">
      <alignment horizontal="left" vertical="center"/>
    </xf>
    <xf numFmtId="0" fontId="43" fillId="36" borderId="1" xfId="4" applyFont="1" applyFill="1" applyBorder="1" applyAlignment="1" applyProtection="1">
      <alignment horizontal="left" vertical="center" wrapText="1"/>
    </xf>
    <xf numFmtId="0" fontId="43" fillId="36" borderId="1" xfId="4" applyFont="1" applyFill="1" applyBorder="1" applyAlignment="1" applyProtection="1">
      <alignment horizontal="center" vertical="center" wrapText="1"/>
    </xf>
    <xf numFmtId="2" fontId="43" fillId="36" borderId="1" xfId="4" applyNumberFormat="1" applyFont="1" applyFill="1" applyBorder="1" applyAlignment="1" applyProtection="1">
      <alignment horizontal="center" vertical="center" wrapText="1"/>
    </xf>
    <xf numFmtId="43" fontId="43" fillId="36" borderId="1" xfId="1" applyFont="1" applyFill="1" applyBorder="1" applyAlignment="1" applyProtection="1">
      <alignment horizontal="right" vertical="center"/>
    </xf>
    <xf numFmtId="43" fontId="72" fillId="36" borderId="1" xfId="1" applyFont="1" applyFill="1" applyBorder="1" applyAlignment="1" applyProtection="1">
      <alignment horizontal="right" vertical="center"/>
    </xf>
    <xf numFmtId="0" fontId="43" fillId="36" borderId="1" xfId="11" applyFont="1" applyFill="1" applyBorder="1" applyAlignment="1" applyProtection="1">
      <alignment horizontal="left" vertical="center"/>
    </xf>
    <xf numFmtId="0" fontId="41" fillId="0" borderId="1" xfId="11" applyFont="1" applyFill="1" applyBorder="1" applyAlignment="1" applyProtection="1">
      <alignment horizontal="left" vertical="center"/>
    </xf>
    <xf numFmtId="0" fontId="41" fillId="0" borderId="1" xfId="11" applyFont="1" applyFill="1" applyBorder="1" applyAlignment="1" applyProtection="1">
      <alignment horizontal="left" vertical="center" wrapText="1"/>
    </xf>
    <xf numFmtId="0" fontId="43" fillId="0" borderId="1" xfId="11" applyFont="1" applyFill="1" applyBorder="1" applyAlignment="1" applyProtection="1">
      <alignment vertical="center"/>
    </xf>
    <xf numFmtId="43" fontId="43" fillId="0" borderId="1" xfId="1" applyFont="1" applyFill="1" applyBorder="1" applyAlignment="1" applyProtection="1">
      <alignment horizontal="right" vertical="center"/>
    </xf>
    <xf numFmtId="0" fontId="43" fillId="0" borderId="1" xfId="11" applyFont="1" applyFill="1" applyBorder="1" applyAlignment="1" applyProtection="1">
      <alignment vertical="center" wrapText="1"/>
    </xf>
    <xf numFmtId="0" fontId="75" fillId="0" borderId="1" xfId="0" applyFont="1" applyFill="1" applyBorder="1" applyAlignment="1" applyProtection="1">
      <alignment vertical="center"/>
    </xf>
    <xf numFmtId="0" fontId="43" fillId="0" borderId="1" xfId="0" applyFont="1" applyFill="1" applyBorder="1" applyAlignment="1" applyProtection="1">
      <alignment vertical="center"/>
    </xf>
    <xf numFmtId="2" fontId="43" fillId="0" borderId="1" xfId="4" applyNumberFormat="1" applyFont="1" applyFill="1" applyBorder="1" applyAlignment="1" applyProtection="1">
      <alignment horizontal="center" vertical="center" wrapText="1"/>
    </xf>
    <xf numFmtId="0" fontId="72" fillId="0" borderId="1" xfId="11" applyFont="1" applyFill="1" applyBorder="1" applyAlignment="1" applyProtection="1">
      <alignment horizontal="left" vertical="center"/>
    </xf>
    <xf numFmtId="0" fontId="72" fillId="0" borderId="1" xfId="11" applyFont="1" applyFill="1" applyBorder="1" applyAlignment="1" applyProtection="1">
      <alignment vertical="center" wrapText="1"/>
    </xf>
    <xf numFmtId="0" fontId="72" fillId="0" borderId="1" xfId="4" applyFont="1" applyFill="1" applyBorder="1" applyAlignment="1" applyProtection="1">
      <alignment horizontal="center" vertical="center" wrapText="1"/>
    </xf>
    <xf numFmtId="2" fontId="72" fillId="0" borderId="1" xfId="4" applyNumberFormat="1" applyFont="1" applyFill="1" applyBorder="1" applyAlignment="1" applyProtection="1">
      <alignment horizontal="center" vertical="center" wrapText="1"/>
    </xf>
    <xf numFmtId="0" fontId="43" fillId="22" borderId="1" xfId="11" applyFont="1" applyFill="1" applyBorder="1" applyAlignment="1" applyProtection="1">
      <alignment horizontal="left" vertical="center" wrapText="1"/>
    </xf>
    <xf numFmtId="0" fontId="72" fillId="41" borderId="1" xfId="0" applyFont="1" applyFill="1" applyBorder="1" applyAlignment="1" applyProtection="1">
      <alignment horizontal="center" vertical="center"/>
    </xf>
    <xf numFmtId="2" fontId="43" fillId="41" borderId="1" xfId="4" applyNumberFormat="1" applyFont="1" applyFill="1" applyBorder="1" applyAlignment="1" applyProtection="1">
      <alignment horizontal="center" vertical="center" wrapText="1"/>
    </xf>
    <xf numFmtId="43" fontId="72" fillId="0" borderId="1" xfId="1" applyFont="1" applyFill="1" applyBorder="1" applyAlignment="1" applyProtection="1">
      <alignment horizontal="right" vertical="center"/>
    </xf>
    <xf numFmtId="0" fontId="39" fillId="0" borderId="1" xfId="11" applyFont="1" applyFill="1" applyBorder="1" applyAlignment="1" applyProtection="1">
      <alignment horizontal="left" vertical="center"/>
    </xf>
    <xf numFmtId="0" fontId="43" fillId="0" borderId="0" xfId="11" applyFont="1" applyAlignment="1" applyProtection="1">
      <alignment horizontal="left" vertical="center"/>
    </xf>
    <xf numFmtId="0" fontId="43" fillId="41" borderId="1" xfId="11" applyFont="1" applyFill="1" applyBorder="1" applyAlignment="1" applyProtection="1">
      <alignment vertical="center" wrapText="1"/>
      <protection locked="0"/>
    </xf>
    <xf numFmtId="0" fontId="43" fillId="41" borderId="1" xfId="11" applyFont="1" applyFill="1" applyBorder="1" applyAlignment="1" applyProtection="1">
      <alignment vertical="center"/>
      <protection locked="0"/>
    </xf>
    <xf numFmtId="0" fontId="75" fillId="10" borderId="1" xfId="11" applyFont="1" applyFill="1" applyBorder="1" applyAlignment="1" applyProtection="1">
      <alignment horizontal="left" vertical="center"/>
      <protection locked="0"/>
    </xf>
    <xf numFmtId="43" fontId="75" fillId="10" borderId="1" xfId="1" applyFont="1" applyFill="1" applyBorder="1" applyAlignment="1" applyProtection="1">
      <alignment horizontal="right" vertical="center"/>
      <protection locked="0"/>
    </xf>
    <xf numFmtId="0" fontId="70" fillId="16" borderId="1" xfId="48" applyFont="1" applyFill="1" applyBorder="1" applyAlignment="1" applyProtection="1">
      <alignment vertical="center"/>
    </xf>
    <xf numFmtId="0" fontId="72" fillId="2" borderId="1" xfId="48" applyFont="1" applyFill="1" applyBorder="1" applyAlignment="1" applyProtection="1">
      <alignment vertical="center"/>
    </xf>
    <xf numFmtId="2" fontId="72" fillId="2" borderId="1" xfId="48" applyNumberFormat="1" applyFont="1" applyFill="1" applyBorder="1" applyAlignment="1" applyProtection="1">
      <alignment horizontal="left" vertical="center"/>
    </xf>
    <xf numFmtId="2" fontId="72" fillId="10" borderId="1" xfId="48" applyNumberFormat="1" applyFont="1" applyFill="1" applyBorder="1" applyAlignment="1" applyProtection="1">
      <alignment horizontal="left" vertical="center" wrapText="1"/>
    </xf>
    <xf numFmtId="2" fontId="72" fillId="10" borderId="1" xfId="48" applyNumberFormat="1" applyFont="1" applyFill="1" applyBorder="1" applyAlignment="1" applyProtection="1">
      <alignment horizontal="right" vertical="center" wrapText="1"/>
    </xf>
    <xf numFmtId="0" fontId="72" fillId="0" borderId="0" xfId="48" applyFont="1" applyAlignment="1" applyProtection="1">
      <alignment horizontal="center" vertical="center"/>
    </xf>
    <xf numFmtId="43" fontId="72" fillId="29" borderId="1" xfId="1" applyFont="1" applyFill="1" applyBorder="1" applyAlignment="1" applyProtection="1">
      <alignment horizontal="center" vertical="center" wrapText="1"/>
    </xf>
    <xf numFmtId="43" fontId="72" fillId="10" borderId="1" xfId="1" applyFont="1" applyFill="1" applyBorder="1" applyAlignment="1" applyProtection="1">
      <alignment horizontal="center" vertical="center" wrapText="1"/>
    </xf>
    <xf numFmtId="0" fontId="76" fillId="8" borderId="1" xfId="3" applyFont="1" applyFill="1" applyBorder="1" applyAlignment="1" applyProtection="1">
      <alignment horizontal="left" vertical="center"/>
    </xf>
    <xf numFmtId="0" fontId="43" fillId="0" borderId="0" xfId="97" applyFont="1" applyFill="1" applyAlignment="1" applyProtection="1">
      <alignment horizontal="center" vertical="center"/>
    </xf>
    <xf numFmtId="0" fontId="98" fillId="45" borderId="16" xfId="0" applyFont="1" applyFill="1" applyBorder="1" applyAlignment="1" applyProtection="1">
      <alignment horizontal="center" vertical="center" wrapText="1"/>
    </xf>
    <xf numFmtId="0" fontId="43" fillId="0" borderId="0" xfId="97" applyFont="1" applyAlignment="1" applyProtection="1">
      <alignment horizontal="center" vertical="center"/>
    </xf>
    <xf numFmtId="0" fontId="43" fillId="0" borderId="0" xfId="97" applyFont="1" applyAlignment="1" applyProtection="1">
      <alignment vertical="center"/>
    </xf>
    <xf numFmtId="43" fontId="100" fillId="0" borderId="1" xfId="1" applyFont="1" applyBorder="1" applyAlignment="1" applyProtection="1">
      <alignment horizontal="center" vertical="center" wrapText="1"/>
    </xf>
    <xf numFmtId="43" fontId="100" fillId="0" borderId="1" xfId="1" applyFont="1" applyBorder="1" applyAlignment="1" applyProtection="1">
      <alignment vertical="center" wrapText="1"/>
    </xf>
    <xf numFmtId="0" fontId="43" fillId="0" borderId="0" xfId="97" applyFont="1" applyFill="1" applyAlignment="1" applyProtection="1">
      <alignment vertical="center"/>
    </xf>
    <xf numFmtId="0" fontId="94" fillId="43" borderId="1" xfId="0" applyFont="1" applyFill="1" applyBorder="1" applyAlignment="1" applyProtection="1">
      <alignment vertical="center" wrapText="1"/>
    </xf>
    <xf numFmtId="0" fontId="94" fillId="0" borderId="1" xfId="0" applyFont="1" applyBorder="1" applyAlignment="1" applyProtection="1">
      <alignment vertical="center"/>
    </xf>
    <xf numFmtId="0" fontId="43" fillId="0" borderId="0" xfId="97" applyFont="1" applyAlignment="1" applyProtection="1">
      <alignment horizontal="left" vertical="center"/>
    </xf>
    <xf numFmtId="0" fontId="43" fillId="0" borderId="0" xfId="97" applyFont="1" applyFill="1" applyAlignment="1" applyProtection="1">
      <alignment horizontal="left" vertical="center"/>
    </xf>
    <xf numFmtId="0" fontId="43" fillId="0" borderId="0" xfId="97" applyFont="1" applyAlignment="1" applyProtection="1">
      <alignment horizontal="left" vertical="center" wrapText="1"/>
    </xf>
    <xf numFmtId="0" fontId="43" fillId="0" borderId="0" xfId="97" applyFont="1" applyAlignment="1" applyProtection="1">
      <alignment horizontal="center" vertical="center" wrapText="1"/>
    </xf>
    <xf numFmtId="43" fontId="43" fillId="0" borderId="0" xfId="1" applyFont="1" applyAlignment="1" applyProtection="1">
      <alignment horizontal="center" vertical="center"/>
    </xf>
    <xf numFmtId="1" fontId="43" fillId="0" borderId="0" xfId="97" applyNumberFormat="1" applyFont="1" applyAlignment="1" applyProtection="1">
      <alignment horizontal="center" vertical="center"/>
    </xf>
    <xf numFmtId="2" fontId="43" fillId="0" borderId="0" xfId="97" applyNumberFormat="1" applyFont="1" applyAlignment="1" applyProtection="1">
      <alignment horizontal="left" vertical="center"/>
    </xf>
    <xf numFmtId="0" fontId="43" fillId="0" borderId="0" xfId="97" applyFont="1" applyAlignment="1" applyProtection="1">
      <alignment horizontal="right" vertical="center"/>
    </xf>
    <xf numFmtId="0" fontId="75" fillId="0" borderId="0" xfId="0" applyFont="1" applyFill="1" applyProtection="1"/>
    <xf numFmtId="43" fontId="77" fillId="0" borderId="1" xfId="1" applyFont="1" applyFill="1" applyBorder="1" applyProtection="1"/>
    <xf numFmtId="0" fontId="75" fillId="0" borderId="0" xfId="0" applyFont="1" applyFill="1" applyAlignment="1" applyProtection="1">
      <alignment horizontal="center"/>
    </xf>
    <xf numFmtId="0" fontId="43" fillId="0" borderId="0" xfId="38" applyFont="1" applyAlignment="1" applyProtection="1">
      <alignment horizontal="center" vertical="center" wrapText="1"/>
    </xf>
    <xf numFmtId="0" fontId="72" fillId="0" borderId="1" xfId="0" applyFont="1" applyBorder="1" applyAlignment="1" applyProtection="1">
      <alignment horizontal="left" vertical="center" wrapText="1"/>
    </xf>
    <xf numFmtId="0" fontId="41" fillId="0" borderId="1" xfId="0" applyFont="1" applyBorder="1" applyAlignment="1" applyProtection="1">
      <alignment horizontal="center" vertical="center" wrapText="1"/>
    </xf>
    <xf numFmtId="2" fontId="77" fillId="0" borderId="1" xfId="0" applyNumberFormat="1" applyFont="1" applyFill="1" applyBorder="1" applyAlignment="1" applyProtection="1">
      <alignment horizontal="right" vertical="center" wrapText="1"/>
    </xf>
    <xf numFmtId="0" fontId="75" fillId="0" borderId="0" xfId="0" applyFont="1" applyAlignment="1" applyProtection="1">
      <alignment horizontal="center"/>
    </xf>
    <xf numFmtId="2" fontId="75" fillId="0" borderId="0" xfId="0" applyNumberFormat="1" applyFont="1" applyAlignment="1" applyProtection="1">
      <alignment horizontal="right"/>
    </xf>
    <xf numFmtId="43" fontId="75" fillId="0" borderId="0" xfId="1" applyFont="1" applyAlignment="1" applyProtection="1">
      <alignment horizontal="right"/>
    </xf>
    <xf numFmtId="0" fontId="75" fillId="0" borderId="0" xfId="0" applyFont="1" applyAlignment="1" applyProtection="1">
      <alignment horizontal="left" vertical="center"/>
    </xf>
    <xf numFmtId="43" fontId="43" fillId="51" borderId="1" xfId="1" applyFont="1" applyFill="1" applyBorder="1" applyAlignment="1" applyProtection="1">
      <alignment horizontal="right" vertical="center" wrapText="1"/>
      <protection locked="0"/>
    </xf>
    <xf numFmtId="43" fontId="75" fillId="0" borderId="1" xfId="1" applyFont="1" applyBorder="1" applyAlignment="1" applyProtection="1">
      <alignment horizontal="left" vertical="center"/>
      <protection locked="0"/>
    </xf>
    <xf numFmtId="0" fontId="70" fillId="0" borderId="1" xfId="8" applyFont="1" applyFill="1" applyBorder="1" applyAlignment="1" applyProtection="1">
      <alignment horizontal="left" vertical="center" wrapText="1"/>
    </xf>
    <xf numFmtId="2" fontId="72" fillId="0" borderId="5" xfId="8" applyNumberFormat="1" applyFont="1" applyFill="1" applyBorder="1" applyAlignment="1" applyProtection="1">
      <alignment horizontal="left" vertical="center" wrapText="1"/>
    </xf>
    <xf numFmtId="2" fontId="72" fillId="0" borderId="6" xfId="8" applyNumberFormat="1" applyFont="1" applyFill="1" applyBorder="1" applyAlignment="1" applyProtection="1">
      <alignment horizontal="left" vertical="center" wrapText="1"/>
    </xf>
    <xf numFmtId="2" fontId="72" fillId="0" borderId="6" xfId="8" applyNumberFormat="1" applyFont="1" applyFill="1" applyBorder="1" applyAlignment="1" applyProtection="1">
      <alignment horizontal="right" vertical="center" wrapText="1"/>
    </xf>
    <xf numFmtId="0" fontId="72" fillId="0" borderId="2" xfId="8" applyFont="1" applyFill="1" applyBorder="1" applyAlignment="1" applyProtection="1">
      <alignment horizontal="left" vertical="center" wrapText="1"/>
    </xf>
    <xf numFmtId="0" fontId="72" fillId="0" borderId="5" xfId="8" applyFont="1" applyFill="1" applyBorder="1" applyAlignment="1" applyProtection="1">
      <alignment horizontal="left" vertical="center" wrapText="1"/>
    </xf>
    <xf numFmtId="0" fontId="43" fillId="0" borderId="0" xfId="0" applyFont="1" applyFill="1" applyAlignment="1" applyProtection="1">
      <alignment vertical="center" wrapText="1"/>
    </xf>
    <xf numFmtId="2" fontId="70" fillId="7" borderId="1" xfId="38" applyNumberFormat="1" applyFont="1" applyFill="1" applyBorder="1" applyAlignment="1" applyProtection="1">
      <alignment horizontal="right" vertical="center" wrapText="1"/>
    </xf>
    <xf numFmtId="2" fontId="72" fillId="2" borderId="1" xfId="38" applyNumberFormat="1" applyFont="1" applyFill="1" applyBorder="1" applyAlignment="1" applyProtection="1">
      <alignment horizontal="right" vertical="center" wrapText="1"/>
    </xf>
    <xf numFmtId="2" fontId="75" fillId="0" borderId="1" xfId="8" applyNumberFormat="1" applyFont="1" applyBorder="1" applyAlignment="1" applyProtection="1">
      <alignment horizontal="right" vertical="center" wrapText="1"/>
    </xf>
    <xf numFmtId="2" fontId="77" fillId="0" borderId="1" xfId="8" applyNumberFormat="1" applyFont="1" applyFill="1" applyBorder="1" applyAlignment="1" applyProtection="1">
      <alignment horizontal="right" vertical="center" wrapText="1"/>
    </xf>
    <xf numFmtId="2" fontId="77" fillId="27" borderId="1" xfId="8" applyNumberFormat="1" applyFont="1" applyFill="1" applyBorder="1" applyAlignment="1" applyProtection="1">
      <alignment horizontal="right" vertical="center" wrapText="1"/>
    </xf>
    <xf numFmtId="2" fontId="77" fillId="0" borderId="1" xfId="8" applyNumberFormat="1" applyFont="1" applyBorder="1" applyAlignment="1" applyProtection="1">
      <alignment horizontal="right" vertical="center" wrapText="1"/>
    </xf>
    <xf numFmtId="2" fontId="77" fillId="3" borderId="1" xfId="8" applyNumberFormat="1" applyFont="1" applyFill="1" applyBorder="1" applyAlignment="1" applyProtection="1">
      <alignment horizontal="right" vertical="center" wrapText="1"/>
    </xf>
    <xf numFmtId="0" fontId="77" fillId="2" borderId="1" xfId="8" applyFont="1" applyFill="1" applyBorder="1" applyAlignment="1" applyProtection="1">
      <alignment horizontal="center" vertical="center" wrapText="1"/>
    </xf>
    <xf numFmtId="0" fontId="79" fillId="2" borderId="1" xfId="0" applyFont="1" applyFill="1" applyBorder="1" applyAlignment="1" applyProtection="1">
      <alignment horizontal="center" vertical="center" wrapText="1"/>
      <protection locked="0"/>
    </xf>
    <xf numFmtId="0" fontId="77" fillId="2" borderId="1" xfId="8" applyFont="1" applyFill="1" applyBorder="1" applyAlignment="1" applyProtection="1">
      <alignment vertical="center" wrapText="1"/>
      <protection locked="0"/>
    </xf>
    <xf numFmtId="0" fontId="73" fillId="0" borderId="1" xfId="0" applyFont="1" applyFill="1" applyBorder="1" applyAlignment="1" applyProtection="1">
      <alignment horizontal="left" vertical="center" wrapText="1"/>
      <protection locked="0"/>
    </xf>
    <xf numFmtId="2" fontId="77" fillId="0" borderId="1" xfId="8" applyNumberFormat="1" applyFont="1" applyFill="1" applyBorder="1" applyAlignment="1" applyProtection="1">
      <alignment horizontal="right" vertical="center" wrapText="1"/>
      <protection locked="0"/>
    </xf>
    <xf numFmtId="0" fontId="73" fillId="14" borderId="1" xfId="0" applyFont="1" applyFill="1" applyBorder="1" applyAlignment="1" applyProtection="1">
      <alignment horizontal="left" vertical="center" wrapText="1"/>
      <protection locked="0"/>
    </xf>
    <xf numFmtId="2" fontId="75" fillId="14" borderId="1" xfId="8" applyNumberFormat="1" applyFont="1" applyFill="1" applyBorder="1" applyAlignment="1" applyProtection="1">
      <alignment horizontal="right" vertical="center" wrapText="1"/>
      <protection locked="0"/>
    </xf>
    <xf numFmtId="2" fontId="77" fillId="19" borderId="1" xfId="8" applyNumberFormat="1" applyFont="1" applyFill="1" applyBorder="1" applyAlignment="1" applyProtection="1">
      <alignment horizontal="right" vertical="center" wrapText="1"/>
      <protection locked="0"/>
    </xf>
    <xf numFmtId="43" fontId="70" fillId="0" borderId="1" xfId="1" applyFont="1" applyFill="1" applyBorder="1" applyAlignment="1" applyProtection="1">
      <alignment horizontal="left" vertical="center" wrapText="1"/>
    </xf>
    <xf numFmtId="0" fontId="70" fillId="0" borderId="2" xfId="8" applyFont="1" applyFill="1" applyBorder="1" applyAlignment="1" applyProtection="1">
      <alignment horizontal="left" vertical="center" wrapText="1"/>
    </xf>
    <xf numFmtId="0" fontId="70" fillId="0" borderId="5" xfId="8" applyFont="1" applyFill="1" applyBorder="1" applyAlignment="1" applyProtection="1">
      <alignment horizontal="left" vertical="center" wrapText="1"/>
    </xf>
    <xf numFmtId="43" fontId="70" fillId="0" borderId="2" xfId="1" applyFont="1" applyFill="1" applyBorder="1" applyAlignment="1" applyProtection="1">
      <alignment horizontal="left" vertical="center" wrapText="1"/>
    </xf>
    <xf numFmtId="0" fontId="70" fillId="0" borderId="1" xfId="0" applyFont="1" applyFill="1" applyBorder="1" applyAlignment="1" applyProtection="1">
      <alignment horizontal="center" vertical="center" wrapText="1"/>
    </xf>
    <xf numFmtId="0" fontId="77" fillId="0" borderId="0" xfId="38" applyFont="1" applyFill="1" applyBorder="1" applyAlignment="1" applyProtection="1">
      <alignment horizontal="center" vertical="center" wrapText="1"/>
    </xf>
    <xf numFmtId="0" fontId="78" fillId="0" borderId="0" xfId="0" applyFont="1" applyFill="1" applyBorder="1" applyAlignment="1" applyProtection="1">
      <alignment horizontal="center" vertical="center" wrapText="1"/>
    </xf>
    <xf numFmtId="0" fontId="70" fillId="0" borderId="0" xfId="0" applyFont="1" applyFill="1" applyBorder="1" applyAlignment="1" applyProtection="1">
      <alignment horizontal="center" vertical="center" wrapText="1"/>
    </xf>
    <xf numFmtId="43" fontId="70" fillId="0" borderId="0" xfId="1" applyFont="1" applyFill="1" applyBorder="1" applyAlignment="1" applyProtection="1">
      <alignment horizontal="center" vertical="center" wrapText="1"/>
    </xf>
    <xf numFmtId="0" fontId="76" fillId="8" borderId="1" xfId="3" applyFont="1" applyFill="1" applyBorder="1" applyAlignment="1" applyProtection="1">
      <alignment horizontal="left" vertical="center" wrapText="1"/>
    </xf>
    <xf numFmtId="0" fontId="76" fillId="39" borderId="1" xfId="3" applyFont="1" applyFill="1" applyBorder="1" applyAlignment="1" applyProtection="1">
      <alignment vertical="center"/>
    </xf>
    <xf numFmtId="0" fontId="72" fillId="0" borderId="5" xfId="8" applyFont="1" applyFill="1" applyBorder="1" applyAlignment="1" applyProtection="1">
      <alignment horizontal="center" vertical="center"/>
    </xf>
    <xf numFmtId="43" fontId="77" fillId="0" borderId="0" xfId="1" applyFont="1" applyFill="1" applyBorder="1" applyAlignment="1" applyProtection="1">
      <alignment horizontal="center" vertical="center" wrapText="1"/>
    </xf>
    <xf numFmtId="0" fontId="76" fillId="0" borderId="13" xfId="3" applyFont="1" applyFill="1" applyBorder="1" applyAlignment="1" applyProtection="1">
      <alignment horizontal="left" vertical="center" wrapText="1"/>
    </xf>
    <xf numFmtId="0" fontId="75" fillId="0" borderId="13" xfId="0" applyFont="1" applyFill="1" applyBorder="1" applyAlignment="1" applyProtection="1">
      <alignment horizontal="left" vertical="center" wrapText="1"/>
    </xf>
    <xf numFmtId="0" fontId="76" fillId="39" borderId="13" xfId="3" applyFont="1" applyFill="1" applyBorder="1" applyAlignment="1" applyProtection="1">
      <alignment vertical="center"/>
    </xf>
    <xf numFmtId="0" fontId="70" fillId="0" borderId="13" xfId="8" applyFont="1" applyFill="1" applyBorder="1" applyAlignment="1" applyProtection="1">
      <alignment horizontal="center" vertical="center" wrapText="1"/>
    </xf>
    <xf numFmtId="0" fontId="72" fillId="0" borderId="10" xfId="8" applyFont="1" applyFill="1" applyBorder="1" applyAlignment="1" applyProtection="1">
      <alignment horizontal="center" vertical="center"/>
    </xf>
    <xf numFmtId="0" fontId="75" fillId="0" borderId="0" xfId="0" applyFont="1" applyBorder="1" applyAlignment="1" applyProtection="1">
      <alignment horizontal="center" vertical="center" wrapText="1"/>
    </xf>
    <xf numFmtId="0" fontId="77" fillId="23" borderId="1" xfId="38" applyFont="1" applyFill="1" applyBorder="1" applyAlignment="1" applyProtection="1">
      <alignment horizontal="left" vertical="center" wrapText="1"/>
    </xf>
    <xf numFmtId="0" fontId="77" fillId="23" borderId="1" xfId="38" applyFont="1" applyFill="1" applyBorder="1" applyAlignment="1" applyProtection="1">
      <alignment vertical="center" wrapText="1"/>
    </xf>
    <xf numFmtId="0" fontId="77" fillId="23" borderId="1" xfId="38" applyFont="1" applyFill="1" applyBorder="1" applyAlignment="1" applyProtection="1">
      <alignment horizontal="center" vertical="center" wrapText="1"/>
    </xf>
    <xf numFmtId="43" fontId="77" fillId="23" borderId="1" xfId="1" applyFont="1" applyFill="1" applyBorder="1" applyAlignment="1" applyProtection="1">
      <alignment horizontal="center" vertical="center" wrapText="1"/>
    </xf>
    <xf numFmtId="0" fontId="77" fillId="23" borderId="1" xfId="0" applyFont="1" applyFill="1" applyBorder="1" applyAlignment="1" applyProtection="1">
      <alignment horizontal="center" vertical="center" wrapText="1"/>
    </xf>
    <xf numFmtId="0" fontId="77" fillId="23" borderId="1" xfId="0" applyFont="1" applyFill="1" applyBorder="1" applyAlignment="1" applyProtection="1">
      <alignment horizontal="left" vertical="center" wrapText="1"/>
    </xf>
    <xf numFmtId="0" fontId="77" fillId="2" borderId="1" xfId="38" applyFont="1" applyFill="1" applyBorder="1" applyAlignment="1" applyProtection="1">
      <alignment horizontal="left" vertical="center" wrapText="1"/>
    </xf>
    <xf numFmtId="0" fontId="77" fillId="2" borderId="1" xfId="38" applyFont="1" applyFill="1" applyBorder="1" applyAlignment="1" applyProtection="1">
      <alignment vertical="center" wrapText="1"/>
    </xf>
    <xf numFmtId="0" fontId="77" fillId="2" borderId="1" xfId="38" applyFont="1" applyFill="1" applyBorder="1" applyAlignment="1" applyProtection="1">
      <alignment horizontal="center" vertical="center" wrapText="1"/>
    </xf>
    <xf numFmtId="0" fontId="75" fillId="0" borderId="1" xfId="38" applyFont="1" applyFill="1" applyBorder="1" applyAlignment="1" applyProtection="1">
      <alignment horizontal="left" vertical="center" wrapText="1"/>
    </xf>
    <xf numFmtId="0" fontId="75" fillId="0" borderId="1" xfId="38" applyFont="1" applyFill="1" applyBorder="1" applyAlignment="1" applyProtection="1">
      <alignment vertical="center" wrapText="1"/>
    </xf>
    <xf numFmtId="0" fontId="75" fillId="0" borderId="1" xfId="38" applyFont="1" applyFill="1" applyBorder="1" applyAlignment="1" applyProtection="1">
      <alignment horizontal="center" vertical="center" wrapText="1"/>
    </xf>
    <xf numFmtId="0" fontId="77" fillId="0" borderId="1" xfId="38" applyFont="1" applyFill="1" applyBorder="1" applyAlignment="1" applyProtection="1">
      <alignment horizontal="left" vertical="center" wrapText="1"/>
    </xf>
    <xf numFmtId="0" fontId="77" fillId="0" borderId="1" xfId="38" applyFont="1" applyFill="1" applyBorder="1" applyAlignment="1" applyProtection="1">
      <alignment vertical="center" wrapText="1"/>
    </xf>
    <xf numFmtId="0" fontId="77" fillId="2" borderId="1" xfId="0" applyFont="1" applyFill="1" applyBorder="1" applyAlignment="1" applyProtection="1">
      <alignment horizontal="left" vertical="center" wrapText="1"/>
    </xf>
    <xf numFmtId="0" fontId="75" fillId="0" borderId="1" xfId="38" applyFont="1" applyFill="1" applyBorder="1" applyAlignment="1" applyProtection="1">
      <alignment horizontal="left" vertical="center" wrapText="1"/>
    </xf>
    <xf numFmtId="0" fontId="75" fillId="2" borderId="1" xfId="38" applyFont="1" applyFill="1" applyBorder="1" applyAlignment="1" applyProtection="1">
      <alignment horizontal="left" vertical="center" wrapText="1"/>
    </xf>
    <xf numFmtId="0" fontId="75" fillId="2" borderId="1" xfId="0" applyFont="1" applyFill="1" applyBorder="1" applyAlignment="1" applyProtection="1">
      <alignment horizontal="center" vertical="center" wrapText="1"/>
    </xf>
    <xf numFmtId="43" fontId="75" fillId="2" borderId="1" xfId="1" applyFont="1" applyFill="1" applyBorder="1" applyAlignment="1" applyProtection="1">
      <alignment horizontal="center" vertical="center" wrapText="1"/>
    </xf>
    <xf numFmtId="0" fontId="75" fillId="2" borderId="1" xfId="0" applyFont="1" applyFill="1" applyBorder="1" applyAlignment="1" applyProtection="1">
      <alignment horizontal="left" vertical="center" wrapText="1"/>
    </xf>
    <xf numFmtId="49" fontId="75" fillId="0" borderId="1" xfId="38" applyNumberFormat="1" applyFont="1" applyFill="1" applyBorder="1" applyAlignment="1" applyProtection="1">
      <alignment horizontal="left" vertical="center" wrapText="1"/>
    </xf>
    <xf numFmtId="49" fontId="75" fillId="0" borderId="1" xfId="38" applyNumberFormat="1" applyFont="1" applyFill="1" applyBorder="1" applyAlignment="1" applyProtection="1">
      <alignment vertical="center" wrapText="1"/>
    </xf>
    <xf numFmtId="49" fontId="75" fillId="0" borderId="1" xfId="38" applyNumberFormat="1" applyFont="1" applyFill="1" applyBorder="1" applyAlignment="1" applyProtection="1">
      <alignment horizontal="center" vertical="center" wrapText="1"/>
    </xf>
    <xf numFmtId="2" fontId="75" fillId="0" borderId="1" xfId="38" applyNumberFormat="1" applyFont="1" applyFill="1" applyBorder="1" applyAlignment="1" applyProtection="1">
      <alignment horizontal="left" vertical="center" wrapText="1"/>
    </xf>
    <xf numFmtId="2" fontId="75" fillId="0" borderId="1" xfId="38" applyNumberFormat="1" applyFont="1" applyFill="1" applyBorder="1" applyAlignment="1" applyProtection="1">
      <alignment vertical="center" wrapText="1"/>
    </xf>
    <xf numFmtId="2" fontId="75" fillId="0" borderId="1" xfId="38" applyNumberFormat="1" applyFont="1" applyFill="1" applyBorder="1" applyAlignment="1" applyProtection="1">
      <alignment horizontal="center" vertical="center" wrapText="1"/>
    </xf>
    <xf numFmtId="0" fontId="75" fillId="23" borderId="1" xfId="0" applyFont="1" applyFill="1" applyBorder="1" applyAlignment="1" applyProtection="1">
      <alignment horizontal="center" vertical="center" wrapText="1"/>
    </xf>
    <xf numFmtId="43" fontId="75" fillId="23" borderId="1" xfId="1" applyFont="1" applyFill="1" applyBorder="1" applyAlignment="1" applyProtection="1">
      <alignment horizontal="center" vertical="center" wrapText="1"/>
    </xf>
    <xf numFmtId="0" fontId="75" fillId="23" borderId="1" xfId="0" applyFont="1" applyFill="1" applyBorder="1" applyAlignment="1" applyProtection="1">
      <alignment horizontal="left" vertical="center" wrapText="1"/>
    </xf>
    <xf numFmtId="0" fontId="77" fillId="2" borderId="1" xfId="11" applyFont="1" applyFill="1" applyBorder="1" applyAlignment="1" applyProtection="1">
      <alignment horizontal="left" vertical="center" wrapText="1"/>
    </xf>
    <xf numFmtId="0" fontId="77" fillId="2" borderId="1" xfId="11" applyFont="1" applyFill="1" applyBorder="1" applyAlignment="1" applyProtection="1">
      <alignment vertical="center" wrapText="1"/>
    </xf>
    <xf numFmtId="0" fontId="77" fillId="2" borderId="1" xfId="11" applyFont="1" applyFill="1" applyBorder="1" applyAlignment="1" applyProtection="1">
      <alignment horizontal="center" vertical="center" wrapText="1"/>
    </xf>
    <xf numFmtId="0" fontId="77" fillId="2" borderId="1" xfId="0" applyFont="1" applyFill="1" applyBorder="1" applyAlignment="1" applyProtection="1">
      <alignment horizontal="center" vertical="center" wrapText="1"/>
    </xf>
    <xf numFmtId="0" fontId="77" fillId="23" borderId="1" xfId="11" applyFont="1" applyFill="1" applyBorder="1" applyAlignment="1" applyProtection="1">
      <alignment horizontal="left" vertical="center" wrapText="1"/>
    </xf>
    <xf numFmtId="0" fontId="77" fillId="23" borderId="1" xfId="11" applyFont="1" applyFill="1" applyBorder="1" applyAlignment="1" applyProtection="1">
      <alignment vertical="center" wrapText="1"/>
    </xf>
    <xf numFmtId="0" fontId="77" fillId="23" borderId="1" xfId="11" applyFont="1" applyFill="1" applyBorder="1" applyAlignment="1" applyProtection="1">
      <alignment horizontal="center" vertical="center" wrapText="1"/>
    </xf>
    <xf numFmtId="0" fontId="77" fillId="2" borderId="1" xfId="0" applyFont="1" applyFill="1" applyBorder="1" applyAlignment="1" applyProtection="1">
      <alignment vertical="center" wrapText="1"/>
    </xf>
    <xf numFmtId="43" fontId="75" fillId="0" borderId="1" xfId="1" applyFont="1" applyFill="1" applyBorder="1" applyAlignment="1" applyProtection="1">
      <alignment horizontal="center" vertical="center" wrapText="1"/>
      <protection locked="0"/>
    </xf>
    <xf numFmtId="43" fontId="77" fillId="0" borderId="1" xfId="1" applyFont="1" applyFill="1" applyBorder="1" applyAlignment="1" applyProtection="1">
      <alignment horizontal="center" vertical="center" wrapText="1"/>
      <protection locked="0"/>
    </xf>
    <xf numFmtId="0" fontId="75" fillId="2" borderId="1" xfId="0" applyFont="1" applyFill="1" applyBorder="1" applyAlignment="1" applyProtection="1">
      <alignment horizontal="left" vertical="center" wrapText="1"/>
      <protection locked="0"/>
    </xf>
    <xf numFmtId="43" fontId="75" fillId="2" borderId="1" xfId="1" applyFont="1" applyFill="1" applyBorder="1" applyAlignment="1" applyProtection="1">
      <alignment horizontal="center" vertical="center" wrapText="1"/>
      <protection locked="0"/>
    </xf>
    <xf numFmtId="0" fontId="75" fillId="23" borderId="1" xfId="0" applyFont="1" applyFill="1" applyBorder="1" applyAlignment="1" applyProtection="1">
      <alignment horizontal="left" vertical="center" wrapText="1"/>
      <protection locked="0"/>
    </xf>
    <xf numFmtId="43" fontId="75" fillId="23" borderId="1" xfId="1" applyFont="1" applyFill="1" applyBorder="1" applyAlignment="1" applyProtection="1">
      <alignment horizontal="center" vertical="center" wrapText="1"/>
      <protection locked="0"/>
    </xf>
    <xf numFmtId="0" fontId="75" fillId="0" borderId="1" xfId="38" applyFont="1" applyFill="1" applyBorder="1" applyAlignment="1" applyProtection="1">
      <alignment horizontal="left" vertical="center" wrapText="1"/>
      <protection locked="0"/>
    </xf>
    <xf numFmtId="0" fontId="70" fillId="0" borderId="1" xfId="0" applyFont="1" applyFill="1" applyBorder="1" applyAlignment="1" applyProtection="1">
      <alignment horizontal="center" vertical="center"/>
      <protection locked="0"/>
    </xf>
    <xf numFmtId="0" fontId="75" fillId="0" borderId="0" xfId="0" applyFont="1" applyAlignment="1" applyProtection="1">
      <alignment horizontal="center" vertical="center" wrapText="1"/>
      <protection locked="0"/>
    </xf>
    <xf numFmtId="0" fontId="77" fillId="12" borderId="1" xfId="38" applyFont="1" applyFill="1" applyBorder="1" applyAlignment="1" applyProtection="1">
      <alignment horizontal="center" vertical="center" wrapText="1"/>
      <protection locked="0"/>
    </xf>
    <xf numFmtId="0" fontId="74" fillId="0" borderId="1" xfId="0" applyFont="1" applyFill="1" applyBorder="1" applyAlignment="1" applyProtection="1">
      <alignment horizontal="center" vertical="center" wrapText="1"/>
      <protection locked="0"/>
    </xf>
    <xf numFmtId="0" fontId="78" fillId="0" borderId="1" xfId="0" applyFont="1" applyFill="1" applyBorder="1" applyAlignment="1" applyProtection="1">
      <alignment horizontal="center" vertical="center" wrapText="1"/>
      <protection locked="0"/>
    </xf>
    <xf numFmtId="43" fontId="70" fillId="0" borderId="1" xfId="1" applyFont="1" applyFill="1" applyBorder="1" applyAlignment="1" applyProtection="1">
      <alignment horizontal="center" vertical="center"/>
      <protection locked="0"/>
    </xf>
    <xf numFmtId="0" fontId="70" fillId="0" borderId="1" xfId="0" applyFont="1" applyFill="1" applyBorder="1" applyAlignment="1" applyProtection="1">
      <alignment horizontal="left" vertical="center"/>
      <protection locked="0"/>
    </xf>
    <xf numFmtId="43" fontId="70" fillId="0" borderId="1" xfId="1" applyFont="1" applyFill="1" applyBorder="1" applyAlignment="1" applyProtection="1">
      <alignment vertical="center"/>
      <protection locked="0"/>
    </xf>
    <xf numFmtId="0" fontId="75" fillId="0" borderId="0" xfId="0" applyFont="1" applyFill="1" applyAlignment="1" applyProtection="1">
      <alignment wrapText="1"/>
      <protection locked="0"/>
    </xf>
    <xf numFmtId="0" fontId="70" fillId="0" borderId="0" xfId="0" applyFont="1" applyFill="1" applyBorder="1" applyAlignment="1" applyProtection="1">
      <alignment horizontal="center" vertical="center"/>
    </xf>
    <xf numFmtId="0" fontId="75" fillId="0" borderId="0" xfId="0" applyFont="1" applyFill="1" applyBorder="1" applyAlignment="1" applyProtection="1">
      <alignment horizontal="center" vertical="center"/>
    </xf>
    <xf numFmtId="0" fontId="72" fillId="12" borderId="5" xfId="38" applyFont="1" applyFill="1" applyBorder="1" applyAlignment="1" applyProtection="1">
      <alignment horizontal="center" vertical="center" wrapText="1"/>
    </xf>
    <xf numFmtId="0" fontId="74" fillId="0" borderId="0" xfId="8" applyFont="1" applyFill="1" applyBorder="1" applyAlignment="1" applyProtection="1">
      <alignment horizontal="center" vertical="center" wrapText="1"/>
    </xf>
    <xf numFmtId="43" fontId="70" fillId="0" borderId="0" xfId="1" applyFont="1" applyFill="1" applyBorder="1" applyAlignment="1" applyProtection="1">
      <alignment horizontal="center" vertical="center"/>
    </xf>
    <xf numFmtId="43" fontId="75" fillId="0" borderId="0" xfId="1" applyFont="1" applyFill="1" applyBorder="1" applyAlignment="1" applyProtection="1">
      <alignment horizontal="center" vertical="center"/>
    </xf>
    <xf numFmtId="0" fontId="75" fillId="0" borderId="0" xfId="0" applyFont="1" applyFill="1" applyBorder="1" applyAlignment="1" applyProtection="1">
      <alignment horizontal="left" vertical="center"/>
    </xf>
    <xf numFmtId="0" fontId="76" fillId="8" borderId="1" xfId="3" applyFont="1" applyFill="1" applyBorder="1" applyAlignment="1" applyProtection="1">
      <alignment horizontal="center" vertical="center" wrapText="1"/>
    </xf>
    <xf numFmtId="0" fontId="76" fillId="0" borderId="0" xfId="3" applyFont="1" applyFill="1" applyBorder="1" applyAlignment="1" applyProtection="1">
      <alignment horizontal="center" vertical="center"/>
    </xf>
    <xf numFmtId="43" fontId="72" fillId="0" borderId="5" xfId="1" applyFont="1" applyFill="1" applyBorder="1" applyAlignment="1" applyProtection="1">
      <alignment horizontal="center" vertical="center" wrapText="1"/>
    </xf>
    <xf numFmtId="43" fontId="72" fillId="0" borderId="0" xfId="8" applyNumberFormat="1" applyFont="1" applyFill="1" applyBorder="1" applyAlignment="1" applyProtection="1">
      <alignment horizontal="center" vertical="center"/>
    </xf>
    <xf numFmtId="43" fontId="77" fillId="0" borderId="0" xfId="0" applyNumberFormat="1" applyFont="1" applyFill="1" applyBorder="1" applyAlignment="1" applyProtection="1">
      <alignment horizontal="center" vertical="center"/>
    </xf>
    <xf numFmtId="43" fontId="72" fillId="0" borderId="0" xfId="1" applyFont="1" applyFill="1" applyBorder="1" applyAlignment="1" applyProtection="1">
      <alignment horizontal="center" vertical="center"/>
    </xf>
    <xf numFmtId="0" fontId="76" fillId="0" borderId="13" xfId="3" applyFont="1" applyFill="1" applyBorder="1" applyAlignment="1" applyProtection="1">
      <alignment horizontal="center" vertical="center" wrapText="1"/>
    </xf>
    <xf numFmtId="0" fontId="75" fillId="0" borderId="13" xfId="0" applyFont="1" applyFill="1" applyBorder="1" applyAlignment="1" applyProtection="1">
      <alignment horizontal="center" vertical="center" wrapText="1"/>
    </xf>
    <xf numFmtId="0" fontId="76" fillId="39" borderId="13" xfId="3" applyFont="1" applyFill="1" applyBorder="1" applyAlignment="1" applyProtection="1">
      <alignment horizontal="left"/>
    </xf>
    <xf numFmtId="0" fontId="76" fillId="0" borderId="14" xfId="3" applyFont="1" applyFill="1" applyBorder="1" applyAlignment="1" applyProtection="1">
      <alignment horizontal="center" vertical="center"/>
    </xf>
    <xf numFmtId="0" fontId="72" fillId="0" borderId="13" xfId="8" applyFont="1" applyBorder="1" applyAlignment="1" applyProtection="1">
      <alignment horizontal="center" vertical="center"/>
    </xf>
    <xf numFmtId="43" fontId="72" fillId="0" borderId="10" xfId="1" applyFont="1" applyFill="1" applyBorder="1" applyAlignment="1" applyProtection="1">
      <alignment horizontal="center" vertical="center" wrapText="1"/>
    </xf>
    <xf numFmtId="43" fontId="77" fillId="0" borderId="0" xfId="1" applyFont="1" applyFill="1" applyAlignment="1" applyProtection="1">
      <alignment horizontal="center" vertical="center"/>
    </xf>
    <xf numFmtId="0" fontId="75" fillId="0" borderId="0" xfId="0" applyFont="1" applyFill="1" applyAlignment="1" applyProtection="1">
      <alignment horizontal="center" vertical="center"/>
    </xf>
    <xf numFmtId="43" fontId="75" fillId="0" borderId="0" xfId="1" applyFont="1" applyFill="1" applyAlignment="1" applyProtection="1">
      <alignment horizontal="center" vertical="center"/>
    </xf>
    <xf numFmtId="0" fontId="75" fillId="0" borderId="0" xfId="0" applyFont="1" applyFill="1" applyAlignment="1" applyProtection="1">
      <alignment horizontal="left" vertical="center"/>
    </xf>
    <xf numFmtId="0" fontId="77" fillId="24" borderId="1" xfId="38" applyFont="1" applyFill="1" applyBorder="1" applyAlignment="1" applyProtection="1">
      <alignment horizontal="left" vertical="center" wrapText="1"/>
    </xf>
    <xf numFmtId="0" fontId="77" fillId="5" borderId="1" xfId="38" applyFont="1" applyFill="1" applyBorder="1" applyAlignment="1" applyProtection="1">
      <alignment horizontal="left" vertical="center" wrapText="1"/>
    </xf>
    <xf numFmtId="0" fontId="77" fillId="2" borderId="1" xfId="8" applyFont="1" applyFill="1" applyBorder="1" applyAlignment="1" applyProtection="1">
      <alignment horizontal="center" vertical="center"/>
    </xf>
    <xf numFmtId="0" fontId="77" fillId="2" borderId="1" xfId="8" applyFont="1" applyFill="1" applyBorder="1" applyAlignment="1" applyProtection="1">
      <alignment horizontal="left" vertical="center"/>
    </xf>
    <xf numFmtId="43" fontId="77" fillId="2" borderId="1" xfId="1" applyFont="1" applyFill="1" applyBorder="1" applyAlignment="1" applyProtection="1">
      <alignment horizontal="center" vertical="center"/>
    </xf>
    <xf numFmtId="0" fontId="75" fillId="2" borderId="1" xfId="0" applyFont="1" applyFill="1" applyBorder="1" applyAlignment="1" applyProtection="1">
      <alignment horizontal="center" vertical="center"/>
    </xf>
    <xf numFmtId="43" fontId="75" fillId="2" borderId="1" xfId="1" applyFont="1" applyFill="1" applyBorder="1" applyAlignment="1" applyProtection="1">
      <alignment horizontal="center" vertical="center"/>
    </xf>
    <xf numFmtId="0" fontId="75" fillId="2" borderId="1" xfId="0" applyFont="1" applyFill="1" applyBorder="1" applyAlignment="1" applyProtection="1">
      <alignment horizontal="left" vertical="center"/>
    </xf>
    <xf numFmtId="43" fontId="77" fillId="3" borderId="1" xfId="1" applyFont="1" applyFill="1" applyBorder="1" applyAlignment="1" applyProtection="1">
      <alignment horizontal="left" vertical="center" wrapText="1"/>
    </xf>
    <xf numFmtId="0" fontId="77" fillId="38" borderId="1" xfId="4" applyFont="1" applyFill="1" applyBorder="1" applyAlignment="1" applyProtection="1">
      <alignment horizontal="center" vertical="center" wrapText="1"/>
    </xf>
    <xf numFmtId="0" fontId="77" fillId="38" borderId="1" xfId="4" applyFont="1" applyFill="1" applyBorder="1" applyAlignment="1" applyProtection="1">
      <alignment horizontal="left" vertical="center" wrapText="1"/>
    </xf>
    <xf numFmtId="43" fontId="77" fillId="38" borderId="1" xfId="1" applyFont="1" applyFill="1" applyBorder="1" applyAlignment="1" applyProtection="1">
      <alignment horizontal="center" vertical="center" wrapText="1"/>
    </xf>
    <xf numFmtId="0" fontId="77" fillId="38" borderId="1" xfId="0" applyFont="1" applyFill="1" applyBorder="1" applyAlignment="1" applyProtection="1">
      <alignment horizontal="center" vertical="center" wrapText="1"/>
    </xf>
    <xf numFmtId="43" fontId="75" fillId="0" borderId="1" xfId="1" applyFont="1" applyBorder="1" applyAlignment="1" applyProtection="1">
      <alignment horizontal="center" vertical="center"/>
    </xf>
    <xf numFmtId="0" fontId="77" fillId="0" borderId="0" xfId="0" applyFont="1" applyAlignment="1" applyProtection="1">
      <alignment horizontal="center" vertical="center"/>
    </xf>
    <xf numFmtId="0" fontId="77" fillId="38" borderId="1" xfId="0" applyFont="1" applyFill="1" applyBorder="1" applyAlignment="1" applyProtection="1">
      <alignment horizontal="center" vertical="center"/>
    </xf>
    <xf numFmtId="0" fontId="75" fillId="2" borderId="1" xfId="11" applyFont="1" applyFill="1" applyBorder="1" applyAlignment="1" applyProtection="1">
      <alignment horizontal="center" vertical="center" wrapText="1"/>
    </xf>
    <xf numFmtId="43" fontId="75" fillId="0" borderId="0" xfId="1" applyFont="1" applyAlignment="1" applyProtection="1">
      <alignment horizontal="center" vertical="center"/>
    </xf>
    <xf numFmtId="0" fontId="75" fillId="0" borderId="0" xfId="0" applyFont="1" applyAlignment="1" applyProtection="1">
      <alignment vertical="center"/>
    </xf>
    <xf numFmtId="43" fontId="77" fillId="38" borderId="1" xfId="1" applyFont="1" applyFill="1" applyBorder="1" applyAlignment="1" applyProtection="1">
      <alignment horizontal="center" vertical="center"/>
      <protection locked="0"/>
    </xf>
    <xf numFmtId="43" fontId="77" fillId="38" borderId="1" xfId="1" applyFont="1" applyFill="1" applyBorder="1" applyAlignment="1" applyProtection="1">
      <alignment horizontal="left" vertical="center"/>
      <protection locked="0"/>
    </xf>
    <xf numFmtId="0" fontId="70" fillId="0" borderId="1" xfId="0" applyFont="1" applyFill="1" applyBorder="1" applyAlignment="1" applyProtection="1">
      <alignment horizontal="center" vertical="center"/>
    </xf>
    <xf numFmtId="43" fontId="75" fillId="0" borderId="0" xfId="1" applyFont="1" applyFill="1" applyAlignment="1" applyProtection="1">
      <alignment vertical="center"/>
    </xf>
    <xf numFmtId="0" fontId="76" fillId="39" borderId="1" xfId="3" applyFont="1" applyFill="1" applyBorder="1" applyAlignment="1" applyProtection="1">
      <alignment horizontal="left" vertical="center"/>
    </xf>
    <xf numFmtId="0" fontId="76" fillId="0" borderId="1" xfId="3" applyFont="1" applyFill="1" applyBorder="1" applyAlignment="1" applyProtection="1">
      <alignment horizontal="center" vertical="center"/>
    </xf>
    <xf numFmtId="0" fontId="70" fillId="0" borderId="0" xfId="8" applyFont="1" applyFill="1" applyBorder="1" applyAlignment="1" applyProtection="1">
      <alignment horizontal="center" vertical="center"/>
    </xf>
    <xf numFmtId="0" fontId="76" fillId="39" borderId="13" xfId="3" applyFont="1" applyFill="1" applyBorder="1" applyAlignment="1" applyProtection="1">
      <alignment horizontal="left" vertical="center"/>
    </xf>
    <xf numFmtId="0" fontId="76" fillId="0" borderId="13" xfId="3" applyFont="1" applyFill="1" applyBorder="1" applyAlignment="1" applyProtection="1">
      <alignment horizontal="center" vertical="center"/>
    </xf>
    <xf numFmtId="2" fontId="72" fillId="2" borderId="1" xfId="38" applyNumberFormat="1" applyFont="1" applyFill="1" applyBorder="1" applyAlignment="1" applyProtection="1">
      <alignment horizontal="center" vertical="center" wrapText="1"/>
    </xf>
    <xf numFmtId="0" fontId="41" fillId="2" borderId="1" xfId="0" applyFont="1" applyFill="1" applyBorder="1" applyAlignment="1" applyProtection="1">
      <alignment horizontal="center" vertical="center"/>
    </xf>
    <xf numFmtId="43" fontId="41" fillId="2" borderId="1" xfId="1" applyFont="1" applyFill="1" applyBorder="1" applyAlignment="1" applyProtection="1">
      <alignment horizontal="center" vertical="center"/>
    </xf>
    <xf numFmtId="0" fontId="41" fillId="2" borderId="1" xfId="0" applyFont="1" applyFill="1" applyBorder="1" applyAlignment="1" applyProtection="1">
      <alignment horizontal="left" vertical="center"/>
    </xf>
    <xf numFmtId="0" fontId="44" fillId="0" borderId="0" xfId="0" applyFont="1" applyFill="1" applyAlignment="1" applyProtection="1">
      <alignment horizontal="center" vertical="center"/>
    </xf>
    <xf numFmtId="0" fontId="41" fillId="0" borderId="1" xfId="38" applyFont="1" applyFill="1" applyBorder="1" applyAlignment="1" applyProtection="1">
      <alignment horizontal="left" vertical="center" wrapText="1"/>
    </xf>
    <xf numFmtId="43" fontId="41" fillId="0" borderId="1" xfId="1" applyFont="1" applyFill="1" applyBorder="1" applyAlignment="1" applyProtection="1">
      <alignment horizontal="center" vertical="center" wrapText="1"/>
    </xf>
    <xf numFmtId="0" fontId="41" fillId="2" borderId="1" xfId="8" applyFont="1" applyFill="1" applyBorder="1" applyAlignment="1" applyProtection="1">
      <alignment horizontal="left" vertical="center" wrapText="1"/>
    </xf>
    <xf numFmtId="43" fontId="41" fillId="2" borderId="1" xfId="1" applyFont="1" applyFill="1" applyBorder="1" applyAlignment="1" applyProtection="1">
      <alignment vertical="center"/>
    </xf>
    <xf numFmtId="0" fontId="75" fillId="0" borderId="1" xfId="0" applyFont="1" applyBorder="1" applyAlignment="1" applyProtection="1">
      <alignment horizontal="left" vertical="center"/>
    </xf>
    <xf numFmtId="2" fontId="72" fillId="2" borderId="1" xfId="40" applyNumberFormat="1" applyFont="1" applyFill="1" applyBorder="1" applyAlignment="1" applyProtection="1">
      <alignment horizontal="center" vertical="center" wrapText="1"/>
    </xf>
    <xf numFmtId="0" fontId="41" fillId="2" borderId="1" xfId="11" applyFont="1" applyFill="1" applyBorder="1" applyAlignment="1" applyProtection="1">
      <alignment horizontal="left" vertical="center" wrapText="1"/>
    </xf>
    <xf numFmtId="43" fontId="41" fillId="0" borderId="1" xfId="1" applyFont="1" applyFill="1" applyBorder="1" applyAlignment="1" applyProtection="1">
      <alignment horizontal="left" vertical="center" wrapText="1"/>
    </xf>
    <xf numFmtId="43" fontId="75" fillId="0" borderId="0" xfId="1" applyFont="1" applyAlignment="1" applyProtection="1">
      <alignment vertical="center"/>
    </xf>
    <xf numFmtId="0" fontId="44" fillId="0" borderId="1" xfId="0" applyFont="1" applyFill="1" applyBorder="1" applyAlignment="1" applyProtection="1">
      <alignment horizontal="left" vertical="center"/>
      <protection locked="0"/>
    </xf>
    <xf numFmtId="43" fontId="44" fillId="0" borderId="1" xfId="1" applyFont="1" applyFill="1" applyBorder="1" applyAlignment="1" applyProtection="1">
      <alignment horizontal="center" vertical="center"/>
      <protection locked="0"/>
    </xf>
    <xf numFmtId="0" fontId="41" fillId="2" borderId="1" xfId="0" applyFont="1" applyFill="1" applyBorder="1" applyAlignment="1" applyProtection="1">
      <alignment horizontal="left" vertical="center"/>
      <protection locked="0"/>
    </xf>
    <xf numFmtId="43" fontId="41" fillId="2" borderId="1" xfId="1" applyFont="1" applyFill="1" applyBorder="1" applyAlignment="1" applyProtection="1">
      <alignment vertical="center"/>
      <protection locked="0"/>
    </xf>
    <xf numFmtId="43" fontId="75" fillId="0" borderId="1" xfId="1" applyFont="1" applyBorder="1" applyAlignment="1" applyProtection="1">
      <alignment vertical="center"/>
      <protection locked="0"/>
    </xf>
    <xf numFmtId="0" fontId="41" fillId="0" borderId="1" xfId="0" applyFont="1" applyFill="1" applyBorder="1" applyAlignment="1" applyProtection="1">
      <alignment horizontal="left" vertical="center"/>
      <protection locked="0"/>
    </xf>
    <xf numFmtId="43" fontId="41" fillId="0" borderId="1" xfId="1" applyFont="1" applyFill="1" applyBorder="1" applyAlignment="1" applyProtection="1">
      <alignment vertical="center"/>
      <protection locked="0"/>
    </xf>
    <xf numFmtId="0" fontId="76" fillId="0" borderId="1" xfId="3" applyFont="1" applyFill="1" applyBorder="1" applyAlignment="1" applyProtection="1">
      <alignment horizontal="center" vertical="center" wrapText="1"/>
    </xf>
    <xf numFmtId="2" fontId="72" fillId="0" borderId="1" xfId="38" applyNumberFormat="1" applyFont="1" applyFill="1" applyBorder="1" applyAlignment="1" applyProtection="1">
      <alignment horizontal="center" vertical="center" wrapText="1"/>
    </xf>
    <xf numFmtId="0" fontId="77" fillId="2" borderId="1" xfId="40" applyFont="1" applyFill="1" applyBorder="1" applyAlignment="1" applyProtection="1">
      <alignment horizontal="center" vertical="center" wrapText="1"/>
    </xf>
    <xf numFmtId="0" fontId="77" fillId="2" borderId="1" xfId="40" applyFont="1" applyFill="1" applyBorder="1" applyAlignment="1" applyProtection="1">
      <alignment horizontal="left" vertical="center" wrapText="1"/>
    </xf>
    <xf numFmtId="0" fontId="75" fillId="0" borderId="1" xfId="40" applyFont="1" applyFill="1" applyBorder="1" applyAlignment="1" applyProtection="1">
      <alignment horizontal="left" vertical="center" wrapText="1"/>
    </xf>
    <xf numFmtId="43" fontId="72" fillId="2" borderId="1" xfId="1" applyFont="1" applyFill="1" applyBorder="1" applyAlignment="1" applyProtection="1">
      <alignment horizontal="center" vertical="center"/>
    </xf>
    <xf numFmtId="0" fontId="72" fillId="2" borderId="1" xfId="0" applyFont="1" applyFill="1" applyBorder="1" applyAlignment="1" applyProtection="1">
      <alignment horizontal="left" vertical="center"/>
    </xf>
    <xf numFmtId="0" fontId="75" fillId="0" borderId="1" xfId="0" applyFont="1" applyBorder="1" applyAlignment="1" applyProtection="1">
      <alignment horizontal="center" vertical="center"/>
    </xf>
    <xf numFmtId="0" fontId="75" fillId="0" borderId="1" xfId="0" applyFont="1" applyBorder="1" applyAlignment="1" applyProtection="1">
      <alignment horizontal="center" vertical="center" wrapText="1"/>
    </xf>
    <xf numFmtId="0" fontId="75" fillId="0" borderId="1" xfId="40" applyFont="1" applyFill="1" applyBorder="1" applyAlignment="1" applyProtection="1">
      <alignment horizontal="left" vertical="center" wrapText="1"/>
      <protection locked="0"/>
    </xf>
    <xf numFmtId="43" fontId="75" fillId="0" borderId="1" xfId="1" applyFont="1" applyFill="1" applyBorder="1" applyAlignment="1" applyProtection="1">
      <alignment horizontal="center" vertical="center"/>
      <protection locked="0"/>
    </xf>
    <xf numFmtId="0" fontId="72" fillId="2" borderId="1" xfId="0" applyFont="1" applyFill="1" applyBorder="1" applyAlignment="1" applyProtection="1">
      <alignment horizontal="left" vertical="center"/>
      <protection locked="0"/>
    </xf>
    <xf numFmtId="43" fontId="72" fillId="2" borderId="1" xfId="1" applyFont="1" applyFill="1" applyBorder="1" applyAlignment="1" applyProtection="1">
      <alignment horizontal="center" vertical="center"/>
      <protection locked="0"/>
    </xf>
    <xf numFmtId="0" fontId="70" fillId="0" borderId="0" xfId="0" applyFont="1" applyFill="1" applyBorder="1" applyAlignment="1" applyProtection="1">
      <alignment horizontal="left" vertical="center"/>
    </xf>
    <xf numFmtId="0" fontId="70" fillId="0" borderId="0" xfId="8" applyFont="1" applyFill="1" applyBorder="1" applyAlignment="1" applyProtection="1">
      <alignment horizontal="left" vertical="center" wrapText="1"/>
    </xf>
    <xf numFmtId="0" fontId="72" fillId="0" borderId="13" xfId="8" applyFont="1" applyBorder="1" applyAlignment="1" applyProtection="1">
      <alignment horizontal="left" vertical="center"/>
    </xf>
    <xf numFmtId="2" fontId="72" fillId="0" borderId="13" xfId="38" applyNumberFormat="1" applyFont="1" applyFill="1" applyBorder="1" applyAlignment="1" applyProtection="1">
      <alignment horizontal="center" vertical="center" wrapText="1"/>
    </xf>
    <xf numFmtId="0" fontId="75" fillId="2" borderId="1" xfId="0" applyFont="1" applyFill="1" applyBorder="1" applyAlignment="1" applyProtection="1">
      <alignment vertical="center"/>
    </xf>
    <xf numFmtId="43" fontId="75" fillId="2" borderId="1" xfId="1" applyFont="1" applyFill="1" applyBorder="1" applyAlignment="1" applyProtection="1">
      <alignment vertical="center"/>
    </xf>
    <xf numFmtId="2" fontId="75" fillId="0" borderId="1" xfId="0" applyNumberFormat="1" applyFont="1" applyBorder="1" applyAlignment="1" applyProtection="1">
      <alignment horizontal="left" vertical="center"/>
    </xf>
    <xf numFmtId="2" fontId="75" fillId="0" borderId="1" xfId="0" applyNumberFormat="1" applyFont="1" applyBorder="1" applyAlignment="1" applyProtection="1">
      <alignment horizontal="left" vertical="center" wrapText="1"/>
    </xf>
    <xf numFmtId="1" fontId="75" fillId="0" borderId="1" xfId="0" applyNumberFormat="1" applyFont="1" applyBorder="1" applyAlignment="1" applyProtection="1">
      <alignment horizontal="left" vertical="center" wrapText="1"/>
    </xf>
    <xf numFmtId="1" fontId="75" fillId="0" borderId="1" xfId="0" applyNumberFormat="1" applyFont="1" applyBorder="1" applyAlignment="1" applyProtection="1">
      <alignment horizontal="left" vertical="center"/>
    </xf>
    <xf numFmtId="43" fontId="75" fillId="2" borderId="1" xfId="1" applyFont="1" applyFill="1" applyBorder="1" applyAlignment="1" applyProtection="1">
      <alignment vertical="center"/>
      <protection locked="0"/>
    </xf>
    <xf numFmtId="0" fontId="70" fillId="0" borderId="0" xfId="8" applyFont="1" applyFill="1" applyBorder="1" applyAlignment="1" applyProtection="1">
      <alignment horizontal="left" vertical="center"/>
    </xf>
    <xf numFmtId="0" fontId="41" fillId="2" borderId="1" xfId="40" applyFont="1" applyFill="1" applyBorder="1" applyAlignment="1" applyProtection="1">
      <alignment horizontal="center" vertical="center" wrapText="1"/>
    </xf>
    <xf numFmtId="43" fontId="41" fillId="2" borderId="1" xfId="1" applyFont="1" applyFill="1" applyBorder="1" applyAlignment="1" applyProtection="1">
      <alignment horizontal="center" vertical="center" wrapText="1"/>
    </xf>
    <xf numFmtId="0" fontId="41" fillId="2" borderId="1" xfId="40" applyFont="1" applyFill="1" applyBorder="1" applyAlignment="1" applyProtection="1">
      <alignment horizontal="left" vertical="center" wrapText="1"/>
    </xf>
    <xf numFmtId="0" fontId="41" fillId="2" borderId="1" xfId="0" applyFont="1" applyFill="1" applyBorder="1" applyAlignment="1" applyProtection="1">
      <alignment vertical="center"/>
    </xf>
    <xf numFmtId="43" fontId="41" fillId="2" borderId="1" xfId="1" applyFont="1" applyFill="1" applyBorder="1" applyAlignment="1" applyProtection="1">
      <alignment horizontal="left" vertical="center"/>
    </xf>
    <xf numFmtId="43" fontId="41" fillId="2" borderId="1" xfId="1" applyFont="1" applyFill="1" applyBorder="1" applyAlignment="1" applyProtection="1">
      <alignment horizontal="left" vertical="center"/>
      <protection locked="0"/>
    </xf>
    <xf numFmtId="0" fontId="72" fillId="12" borderId="1" xfId="38" applyFont="1" applyFill="1" applyBorder="1" applyAlignment="1" applyProtection="1">
      <alignment horizontal="left" vertical="center" wrapText="1"/>
    </xf>
    <xf numFmtId="0" fontId="75" fillId="0" borderId="0" xfId="0" applyFont="1" applyFill="1" applyBorder="1" applyAlignment="1" applyProtection="1">
      <alignment vertical="center"/>
    </xf>
    <xf numFmtId="43" fontId="75" fillId="0" borderId="0" xfId="1" applyFont="1" applyFill="1" applyBorder="1" applyAlignment="1" applyProtection="1">
      <alignment vertical="center"/>
    </xf>
    <xf numFmtId="0" fontId="72" fillId="2" borderId="1" xfId="0" applyFont="1" applyFill="1" applyBorder="1" applyAlignment="1" applyProtection="1">
      <alignment horizontal="center" vertical="center"/>
    </xf>
    <xf numFmtId="0" fontId="72" fillId="2" borderId="1" xfId="0" applyFont="1" applyFill="1" applyBorder="1" applyAlignment="1" applyProtection="1">
      <alignment vertical="center"/>
    </xf>
    <xf numFmtId="43" fontId="72" fillId="2" borderId="1" xfId="1" applyFont="1" applyFill="1" applyBorder="1" applyAlignment="1" applyProtection="1">
      <alignment vertical="center"/>
    </xf>
    <xf numFmtId="0" fontId="77" fillId="0" borderId="0" xfId="0" applyFont="1" applyAlignment="1" applyProtection="1">
      <alignment vertical="center"/>
    </xf>
    <xf numFmtId="0" fontId="72" fillId="2" borderId="1" xfId="40" applyFont="1" applyFill="1" applyBorder="1" applyAlignment="1" applyProtection="1">
      <alignment horizontal="left" vertical="center" wrapText="1"/>
    </xf>
    <xf numFmtId="43" fontId="72" fillId="2" borderId="1" xfId="1" applyFont="1" applyFill="1" applyBorder="1" applyAlignment="1" applyProtection="1">
      <alignment vertical="center"/>
      <protection locked="0"/>
    </xf>
    <xf numFmtId="0" fontId="75" fillId="0" borderId="0" xfId="0" applyFont="1" applyAlignment="1" applyProtection="1">
      <alignment horizontal="left" vertical="center"/>
      <protection locked="0"/>
    </xf>
    <xf numFmtId="43" fontId="75" fillId="0" borderId="0" xfId="1" applyFont="1" applyAlignment="1" applyProtection="1">
      <alignment vertical="center"/>
      <protection locked="0"/>
    </xf>
    <xf numFmtId="0" fontId="72" fillId="0" borderId="0" xfId="0" applyFont="1" applyFill="1" applyBorder="1" applyAlignment="1" applyProtection="1">
      <alignment horizontal="center" vertical="center"/>
    </xf>
    <xf numFmtId="43" fontId="75" fillId="0" borderId="0" xfId="1" applyFont="1" applyFill="1" applyAlignment="1" applyProtection="1">
      <alignment horizontal="center" vertical="center" wrapText="1"/>
    </xf>
    <xf numFmtId="0" fontId="75" fillId="0" borderId="0" xfId="0" applyFont="1" applyFill="1" applyAlignment="1" applyProtection="1">
      <alignment horizontal="left" vertical="center" wrapText="1"/>
    </xf>
    <xf numFmtId="0" fontId="75" fillId="2" borderId="1" xfId="40" applyFont="1" applyFill="1" applyBorder="1" applyAlignment="1" applyProtection="1">
      <alignment horizontal="center" vertical="center" wrapText="1"/>
    </xf>
    <xf numFmtId="0" fontId="75" fillId="0" borderId="1" xfId="40" applyFont="1" applyBorder="1" applyAlignment="1" applyProtection="1">
      <alignment horizontal="left" vertical="center" wrapText="1"/>
    </xf>
    <xf numFmtId="2" fontId="75" fillId="0" borderId="1" xfId="0" applyNumberFormat="1" applyFont="1" applyBorder="1" applyAlignment="1" applyProtection="1">
      <alignment horizontal="center" vertical="center" wrapText="1"/>
    </xf>
    <xf numFmtId="0" fontId="75" fillId="0" borderId="0" xfId="0" applyFont="1" applyAlignment="1" applyProtection="1">
      <alignment horizontal="left" vertical="center" wrapText="1"/>
      <protection locked="0"/>
    </xf>
    <xf numFmtId="43" fontId="75" fillId="0" borderId="0" xfId="1" applyFont="1" applyAlignment="1" applyProtection="1">
      <alignment vertical="center" wrapText="1"/>
      <protection locked="0"/>
    </xf>
    <xf numFmtId="0" fontId="75" fillId="11" borderId="1" xfId="0" applyFont="1" applyFill="1" applyBorder="1" applyAlignment="1" applyProtection="1">
      <alignment horizontal="left" vertical="center" wrapText="1"/>
      <protection locked="0"/>
    </xf>
    <xf numFmtId="0" fontId="76" fillId="0" borderId="0" xfId="3" applyFont="1" applyFill="1" applyBorder="1" applyAlignment="1" applyProtection="1">
      <alignment horizontal="center" vertical="center" wrapText="1"/>
    </xf>
    <xf numFmtId="43" fontId="75" fillId="0" borderId="0" xfId="1" applyFont="1" applyAlignment="1" applyProtection="1">
      <alignment horizontal="center" vertical="center" wrapText="1"/>
      <protection locked="0"/>
    </xf>
    <xf numFmtId="0" fontId="70" fillId="0" borderId="0" xfId="0" applyFont="1" applyFill="1" applyBorder="1" applyAlignment="1" applyProtection="1">
      <alignment horizontal="left" vertical="center" wrapText="1"/>
    </xf>
    <xf numFmtId="0" fontId="81" fillId="0" borderId="0" xfId="3" applyFont="1" applyFill="1" applyBorder="1" applyAlignment="1" applyProtection="1">
      <alignment horizontal="center" vertical="center" wrapText="1"/>
    </xf>
    <xf numFmtId="0" fontId="72" fillId="0" borderId="0" xfId="8" applyFont="1" applyFill="1" applyBorder="1" applyAlignment="1" applyProtection="1">
      <alignment horizontal="left" vertical="center" wrapText="1"/>
    </xf>
    <xf numFmtId="0" fontId="48" fillId="0" borderId="0" xfId="0" applyFont="1" applyAlignment="1" applyProtection="1">
      <alignment horizontal="center" vertical="center" wrapText="1"/>
    </xf>
    <xf numFmtId="1" fontId="75" fillId="0" borderId="1" xfId="38" applyNumberFormat="1" applyFont="1" applyFill="1" applyBorder="1" applyAlignment="1" applyProtection="1">
      <alignment horizontal="center" vertical="center" wrapText="1"/>
    </xf>
    <xf numFmtId="0" fontId="75" fillId="0" borderId="1" xfId="38" applyFont="1" applyBorder="1" applyAlignment="1" applyProtection="1">
      <alignment horizontal="center" vertical="center" wrapText="1"/>
    </xf>
    <xf numFmtId="1" fontId="75" fillId="0" borderId="1" xfId="38" applyNumberFormat="1" applyFont="1" applyBorder="1" applyAlignment="1" applyProtection="1">
      <alignment horizontal="center" vertical="center" wrapText="1"/>
    </xf>
    <xf numFmtId="1" fontId="75" fillId="0" borderId="1" xfId="40" applyNumberFormat="1" applyFont="1" applyBorder="1" applyAlignment="1" applyProtection="1">
      <alignment horizontal="center" vertical="center" wrapText="1"/>
    </xf>
    <xf numFmtId="1" fontId="75" fillId="0" borderId="1" xfId="0" applyNumberFormat="1" applyFont="1" applyBorder="1" applyAlignment="1" applyProtection="1">
      <alignment horizontal="center" vertical="center" wrapText="1"/>
    </xf>
    <xf numFmtId="43" fontId="77" fillId="2" borderId="5" xfId="1" applyFont="1" applyFill="1" applyBorder="1" applyAlignment="1" applyProtection="1">
      <alignment horizontal="center" vertical="center" wrapText="1"/>
    </xf>
    <xf numFmtId="1" fontId="75" fillId="0" borderId="1" xfId="40" applyNumberFormat="1" applyFont="1" applyFill="1" applyBorder="1" applyAlignment="1" applyProtection="1">
      <alignment horizontal="center" vertical="center" wrapText="1"/>
    </xf>
    <xf numFmtId="1" fontId="75" fillId="0" borderId="5" xfId="40" applyNumberFormat="1" applyFont="1" applyFill="1" applyBorder="1" applyAlignment="1" applyProtection="1">
      <alignment horizontal="center" vertical="center" wrapText="1"/>
    </xf>
    <xf numFmtId="1" fontId="75" fillId="0" borderId="5" xfId="0" applyNumberFormat="1" applyFont="1" applyBorder="1" applyAlignment="1" applyProtection="1">
      <alignment horizontal="center" vertical="center" wrapText="1"/>
    </xf>
    <xf numFmtId="1" fontId="75" fillId="0" borderId="1" xfId="0" applyNumberFormat="1" applyFont="1" applyFill="1" applyBorder="1" applyAlignment="1" applyProtection="1">
      <alignment horizontal="center" vertical="center" wrapText="1"/>
    </xf>
    <xf numFmtId="1" fontId="75" fillId="0" borderId="5" xfId="0" applyNumberFormat="1" applyFont="1" applyFill="1" applyBorder="1" applyAlignment="1" applyProtection="1">
      <alignment horizontal="center" vertical="center" wrapText="1"/>
    </xf>
    <xf numFmtId="0" fontId="75" fillId="0" borderId="0" xfId="0" applyFont="1" applyBorder="1" applyAlignment="1" applyProtection="1">
      <alignment vertical="center"/>
    </xf>
    <xf numFmtId="43" fontId="75" fillId="0" borderId="0" xfId="1" applyFont="1" applyBorder="1" applyAlignment="1" applyProtection="1">
      <alignment vertical="center"/>
    </xf>
    <xf numFmtId="0" fontId="72" fillId="0" borderId="0" xfId="8" applyFont="1" applyFill="1" applyBorder="1" applyAlignment="1" applyProtection="1">
      <alignment horizontal="left" vertical="center"/>
    </xf>
    <xf numFmtId="0" fontId="72" fillId="0" borderId="13" xfId="8" applyFont="1" applyBorder="1" applyAlignment="1" applyProtection="1">
      <alignment horizontal="left" vertical="center" wrapText="1"/>
    </xf>
    <xf numFmtId="0" fontId="75" fillId="0" borderId="0" xfId="0" applyFont="1" applyBorder="1" applyAlignment="1" applyProtection="1">
      <alignment horizontal="left" vertical="center"/>
    </xf>
    <xf numFmtId="0" fontId="75" fillId="0" borderId="0" xfId="0" applyFont="1" applyBorder="1" applyAlignment="1" applyProtection="1">
      <alignment horizontal="center" vertical="center"/>
    </xf>
    <xf numFmtId="0" fontId="77" fillId="2" borderId="1" xfId="0" applyFont="1" applyFill="1" applyBorder="1" applyAlignment="1" applyProtection="1">
      <alignment horizontal="left" vertical="center"/>
    </xf>
    <xf numFmtId="0" fontId="77" fillId="2" borderId="1" xfId="0" applyFont="1" applyFill="1" applyBorder="1" applyAlignment="1" applyProtection="1">
      <alignment horizontal="center" vertical="center"/>
    </xf>
    <xf numFmtId="43" fontId="75" fillId="0" borderId="0" xfId="1" applyFont="1" applyBorder="1" applyAlignment="1" applyProtection="1">
      <alignment horizontal="center" vertical="center"/>
    </xf>
    <xf numFmtId="43" fontId="75" fillId="0" borderId="0" xfId="1" applyFont="1" applyBorder="1" applyAlignment="1" applyProtection="1">
      <alignment vertical="center"/>
      <protection locked="0"/>
    </xf>
    <xf numFmtId="0" fontId="80" fillId="0" borderId="0" xfId="0" applyFont="1" applyFill="1" applyBorder="1" applyAlignment="1" applyProtection="1">
      <alignment horizontal="center" vertical="center" wrapText="1"/>
    </xf>
    <xf numFmtId="0" fontId="80" fillId="0" borderId="0" xfId="0" applyFont="1" applyFill="1" applyBorder="1" applyAlignment="1" applyProtection="1">
      <alignment horizontal="left" vertical="center" wrapText="1"/>
    </xf>
    <xf numFmtId="43" fontId="80" fillId="0" borderId="0" xfId="1" applyFont="1" applyFill="1" applyBorder="1" applyAlignment="1" applyProtection="1">
      <alignment horizontal="center" vertical="center" wrapText="1"/>
    </xf>
    <xf numFmtId="0" fontId="75" fillId="0" borderId="0" xfId="0" applyFont="1" applyAlignment="1" applyProtection="1">
      <alignment wrapText="1"/>
    </xf>
    <xf numFmtId="0" fontId="76" fillId="0" borderId="0" xfId="3" applyFont="1" applyFill="1" applyBorder="1" applyAlignment="1" applyProtection="1">
      <alignment horizontal="center" wrapText="1"/>
    </xf>
    <xf numFmtId="0" fontId="75" fillId="0" borderId="0" xfId="0" applyFont="1" applyFill="1" applyBorder="1" applyAlignment="1" applyProtection="1">
      <alignment wrapText="1"/>
    </xf>
    <xf numFmtId="0" fontId="75" fillId="0" borderId="0" xfId="0" applyFont="1" applyAlignment="1" applyProtection="1">
      <alignment horizontal="center" wrapText="1"/>
    </xf>
    <xf numFmtId="0" fontId="77" fillId="18" borderId="13" xfId="38" applyFont="1" applyFill="1" applyBorder="1" applyAlignment="1" applyProtection="1">
      <alignment horizontal="center" vertical="center" wrapText="1"/>
    </xf>
    <xf numFmtId="0" fontId="77" fillId="24" borderId="13" xfId="38" applyFont="1" applyFill="1" applyBorder="1" applyAlignment="1" applyProtection="1">
      <alignment horizontal="center" vertical="center" wrapText="1"/>
    </xf>
    <xf numFmtId="43" fontId="77" fillId="24" borderId="13" xfId="1" applyFont="1" applyFill="1" applyBorder="1" applyAlignment="1" applyProtection="1">
      <alignment horizontal="center" vertical="center" wrapText="1"/>
    </xf>
    <xf numFmtId="0" fontId="41" fillId="2" borderId="1" xfId="0" applyFont="1" applyFill="1" applyBorder="1" applyAlignment="1" applyProtection="1">
      <alignment wrapText="1"/>
    </xf>
    <xf numFmtId="43" fontId="41" fillId="2" borderId="1" xfId="0" applyNumberFormat="1" applyFont="1" applyFill="1" applyBorder="1" applyAlignment="1" applyProtection="1">
      <alignment wrapText="1"/>
    </xf>
    <xf numFmtId="0" fontId="75" fillId="0" borderId="3" xfId="40" applyFont="1" applyFill="1" applyBorder="1" applyAlignment="1" applyProtection="1">
      <alignment horizontal="left" vertical="center" wrapText="1"/>
    </xf>
    <xf numFmtId="0" fontId="77" fillId="0" borderId="3" xfId="40" applyFont="1" applyFill="1" applyBorder="1" applyAlignment="1" applyProtection="1">
      <alignment horizontal="left" vertical="center" wrapText="1"/>
    </xf>
    <xf numFmtId="0" fontId="75" fillId="0" borderId="3" xfId="40" applyFont="1" applyFill="1" applyBorder="1" applyAlignment="1" applyProtection="1">
      <alignment horizontal="center" vertical="center" wrapText="1"/>
    </xf>
    <xf numFmtId="43" fontId="75" fillId="0" borderId="3" xfId="1" applyFont="1" applyFill="1" applyBorder="1" applyAlignment="1" applyProtection="1">
      <alignment horizontal="center" vertical="center" wrapText="1"/>
    </xf>
    <xf numFmtId="0" fontId="75" fillId="0" borderId="0" xfId="0" applyFont="1" applyFill="1" applyAlignment="1" applyProtection="1">
      <alignment wrapText="1"/>
    </xf>
    <xf numFmtId="0" fontId="48" fillId="0" borderId="13" xfId="38" applyFont="1" applyFill="1" applyBorder="1" applyAlignment="1" applyProtection="1">
      <alignment horizontal="left" vertical="center" wrapText="1"/>
    </xf>
    <xf numFmtId="0" fontId="48" fillId="0" borderId="13" xfId="38" applyFont="1" applyFill="1" applyBorder="1" applyAlignment="1" applyProtection="1">
      <alignment horizontal="center" vertical="center" wrapText="1"/>
    </xf>
    <xf numFmtId="43" fontId="48" fillId="0" borderId="13" xfId="1" applyFont="1" applyFill="1" applyBorder="1" applyAlignment="1" applyProtection="1">
      <alignment horizontal="center" vertical="center" wrapText="1"/>
    </xf>
    <xf numFmtId="0" fontId="48" fillId="0" borderId="1" xfId="38" applyFont="1" applyFill="1" applyBorder="1" applyAlignment="1" applyProtection="1">
      <alignment horizontal="left" vertical="center" wrapText="1"/>
    </xf>
    <xf numFmtId="43" fontId="41" fillId="2" borderId="1" xfId="1" applyFont="1" applyFill="1" applyBorder="1" applyAlignment="1" applyProtection="1">
      <alignment wrapText="1"/>
    </xf>
    <xf numFmtId="0" fontId="41" fillId="2" borderId="1" xfId="0" applyFont="1" applyFill="1" applyBorder="1" applyAlignment="1" applyProtection="1">
      <alignment horizontal="left" wrapText="1"/>
    </xf>
    <xf numFmtId="0" fontId="75" fillId="0" borderId="14" xfId="0" applyFont="1" applyBorder="1" applyAlignment="1" applyProtection="1">
      <alignment horizontal="left" vertical="center" wrapText="1"/>
    </xf>
    <xf numFmtId="0" fontId="75" fillId="0" borderId="14" xfId="0" applyFont="1" applyBorder="1" applyAlignment="1" applyProtection="1">
      <alignment horizontal="center" vertical="center" wrapText="1"/>
    </xf>
    <xf numFmtId="43" fontId="75" fillId="0" borderId="14" xfId="1" applyFont="1" applyBorder="1" applyAlignment="1" applyProtection="1">
      <alignment horizontal="center" vertical="center" wrapText="1"/>
    </xf>
    <xf numFmtId="0" fontId="41" fillId="2" borderId="1" xfId="0" applyFont="1" applyFill="1" applyBorder="1" applyAlignment="1" applyProtection="1">
      <alignment horizontal="center" vertical="center" wrapText="1"/>
    </xf>
    <xf numFmtId="0" fontId="75" fillId="0" borderId="3" xfId="0" applyFont="1" applyBorder="1" applyAlignment="1" applyProtection="1">
      <alignment horizontal="left" vertical="center" wrapText="1"/>
    </xf>
    <xf numFmtId="0" fontId="75" fillId="0" borderId="3" xfId="0" applyFont="1" applyBorder="1" applyAlignment="1" applyProtection="1">
      <alignment horizontal="center" vertical="center" wrapText="1"/>
    </xf>
    <xf numFmtId="43" fontId="75" fillId="0" borderId="3" xfId="1" applyFont="1" applyBorder="1" applyAlignment="1" applyProtection="1">
      <alignment horizontal="center" vertical="center" wrapText="1"/>
    </xf>
    <xf numFmtId="0" fontId="75" fillId="0" borderId="0" xfId="0" applyFont="1" applyAlignment="1" applyProtection="1">
      <alignment horizontal="left" wrapText="1"/>
    </xf>
    <xf numFmtId="43" fontId="75" fillId="0" borderId="0" xfId="1" applyFont="1" applyAlignment="1" applyProtection="1">
      <alignment horizontal="center" wrapText="1"/>
    </xf>
    <xf numFmtId="0" fontId="48" fillId="0" borderId="0" xfId="0" applyFont="1" applyAlignment="1" applyProtection="1">
      <alignment horizontal="left" wrapText="1"/>
    </xf>
    <xf numFmtId="43" fontId="48" fillId="0" borderId="0" xfId="1" applyFont="1" applyAlignment="1" applyProtection="1">
      <alignment horizontal="center" wrapText="1"/>
    </xf>
    <xf numFmtId="43" fontId="75" fillId="0" borderId="0" xfId="1" applyFont="1" applyAlignment="1" applyProtection="1">
      <alignment wrapText="1"/>
    </xf>
    <xf numFmtId="0" fontId="75" fillId="0" borderId="1" xfId="0" applyFont="1" applyFill="1" applyBorder="1" applyAlignment="1" applyProtection="1">
      <alignment horizontal="left" wrapText="1"/>
      <protection locked="0"/>
    </xf>
    <xf numFmtId="43" fontId="75" fillId="0" borderId="1" xfId="1" applyFont="1" applyFill="1" applyBorder="1" applyAlignment="1" applyProtection="1">
      <alignment wrapText="1"/>
      <protection locked="0"/>
    </xf>
    <xf numFmtId="0" fontId="75" fillId="0" borderId="1" xfId="0" applyFont="1" applyBorder="1" applyAlignment="1" applyProtection="1">
      <alignment horizontal="left" wrapText="1"/>
      <protection locked="0"/>
    </xf>
    <xf numFmtId="43" fontId="75" fillId="0" borderId="1" xfId="1" applyFont="1" applyBorder="1" applyAlignment="1" applyProtection="1">
      <alignment wrapText="1"/>
      <protection locked="0"/>
    </xf>
    <xf numFmtId="0" fontId="41" fillId="2" borderId="1" xfId="0" applyFont="1" applyFill="1" applyBorder="1" applyAlignment="1" applyProtection="1">
      <alignment horizontal="left" wrapText="1"/>
      <protection locked="0"/>
    </xf>
    <xf numFmtId="43" fontId="41" fillId="2" borderId="1" xfId="1" applyFont="1" applyFill="1" applyBorder="1" applyAlignment="1" applyProtection="1">
      <alignment wrapText="1"/>
      <protection locked="0"/>
    </xf>
    <xf numFmtId="0" fontId="75" fillId="0" borderId="0" xfId="0" applyFont="1" applyAlignment="1" applyProtection="1">
      <alignment wrapText="1"/>
      <protection locked="0"/>
    </xf>
    <xf numFmtId="0" fontId="82" fillId="0" borderId="0" xfId="0" applyFont="1" applyFill="1" applyBorder="1" applyAlignment="1" applyProtection="1">
      <alignment horizontal="center" vertical="center" wrapText="1"/>
    </xf>
    <xf numFmtId="0" fontId="82" fillId="0" borderId="1" xfId="0" applyFont="1" applyFill="1" applyBorder="1" applyAlignment="1" applyProtection="1">
      <alignment horizontal="center" vertical="center" wrapText="1"/>
    </xf>
    <xf numFmtId="43" fontId="82" fillId="0" borderId="0" xfId="1" applyFont="1" applyFill="1" applyBorder="1" applyAlignment="1" applyProtection="1">
      <alignment horizontal="center" vertical="center" wrapText="1"/>
    </xf>
    <xf numFmtId="0" fontId="82" fillId="0" borderId="0" xfId="0" applyFont="1" applyFill="1" applyBorder="1" applyAlignment="1" applyProtection="1">
      <alignment horizontal="left" vertical="center" wrapText="1"/>
    </xf>
    <xf numFmtId="0" fontId="41" fillId="2" borderId="1" xfId="0" applyFont="1" applyFill="1" applyBorder="1" applyAlignment="1" applyProtection="1">
      <alignment vertical="center" wrapText="1"/>
    </xf>
    <xf numFmtId="43" fontId="41" fillId="2" borderId="1" xfId="1" applyFont="1" applyFill="1" applyBorder="1" applyAlignment="1" applyProtection="1">
      <alignment vertical="center" wrapText="1"/>
    </xf>
    <xf numFmtId="0" fontId="41" fillId="2" borderId="1" xfId="0" applyFont="1" applyFill="1" applyBorder="1" applyAlignment="1" applyProtection="1">
      <alignment horizontal="left" vertical="center" wrapText="1"/>
    </xf>
    <xf numFmtId="0" fontId="41" fillId="2" borderId="1" xfId="0" applyFont="1" applyFill="1" applyBorder="1" applyAlignment="1" applyProtection="1">
      <alignment horizontal="left" vertical="center" wrapText="1"/>
      <protection locked="0"/>
    </xf>
    <xf numFmtId="43" fontId="41" fillId="2" borderId="1" xfId="1" applyFont="1" applyFill="1" applyBorder="1" applyAlignment="1" applyProtection="1">
      <alignment vertical="center" wrapText="1"/>
      <protection locked="0"/>
    </xf>
    <xf numFmtId="0" fontId="80" fillId="0" borderId="4" xfId="0" applyFont="1" applyFill="1" applyBorder="1" applyAlignment="1" applyProtection="1">
      <alignment horizontal="center" vertical="center" wrapText="1"/>
    </xf>
    <xf numFmtId="0" fontId="77" fillId="0" borderId="1" xfId="0" applyFont="1" applyFill="1" applyBorder="1" applyAlignment="1" applyProtection="1">
      <alignment horizontal="center" vertical="center" wrapText="1"/>
    </xf>
    <xf numFmtId="0" fontId="75" fillId="0" borderId="0" xfId="0" applyFont="1" applyFill="1" applyBorder="1" applyAlignment="1" applyProtection="1">
      <alignment horizontal="center" vertical="center" wrapText="1"/>
    </xf>
    <xf numFmtId="43" fontId="75" fillId="0" borderId="0" xfId="1" applyFont="1" applyFill="1" applyBorder="1" applyAlignment="1" applyProtection="1">
      <alignment horizontal="center" vertical="center" wrapText="1"/>
    </xf>
    <xf numFmtId="0" fontId="75" fillId="0" borderId="0" xfId="0" applyFont="1" applyFill="1" applyBorder="1" applyAlignment="1" applyProtection="1">
      <alignment horizontal="left" vertical="center" wrapText="1"/>
    </xf>
    <xf numFmtId="43" fontId="75" fillId="0" borderId="0" xfId="1" applyFont="1" applyFill="1" applyBorder="1" applyAlignment="1" applyProtection="1">
      <alignment vertical="center" wrapText="1"/>
    </xf>
    <xf numFmtId="0" fontId="76" fillId="0" borderId="2" xfId="3" applyFont="1" applyFill="1" applyBorder="1" applyAlignment="1" applyProtection="1">
      <alignment horizontal="center" vertical="center" wrapText="1"/>
    </xf>
    <xf numFmtId="0" fontId="48" fillId="0" borderId="0" xfId="0" applyFont="1" applyFill="1" applyBorder="1" applyAlignment="1" applyProtection="1">
      <alignment horizontal="center" vertical="center" wrapText="1"/>
    </xf>
    <xf numFmtId="43" fontId="48" fillId="0" borderId="0" xfId="1" applyFont="1" applyFill="1" applyBorder="1" applyAlignment="1" applyProtection="1">
      <alignment horizontal="center" vertical="center" wrapText="1"/>
    </xf>
    <xf numFmtId="0" fontId="48" fillId="0" borderId="0" xfId="0" applyFont="1" applyFill="1" applyBorder="1" applyAlignment="1" applyProtection="1">
      <alignment horizontal="left" vertical="center" wrapText="1"/>
    </xf>
    <xf numFmtId="43" fontId="48" fillId="0" borderId="0" xfId="1" applyFont="1" applyFill="1" applyBorder="1" applyAlignment="1" applyProtection="1">
      <alignment vertical="center" wrapText="1"/>
    </xf>
    <xf numFmtId="0" fontId="48" fillId="0" borderId="0" xfId="0" applyFont="1" applyFill="1" applyBorder="1" applyAlignment="1" applyProtection="1">
      <alignment vertical="center" wrapText="1"/>
    </xf>
    <xf numFmtId="0" fontId="76" fillId="0" borderId="11" xfId="3" applyFont="1" applyFill="1" applyBorder="1" applyAlignment="1" applyProtection="1">
      <alignment horizontal="center" vertical="center" wrapText="1"/>
    </xf>
    <xf numFmtId="0" fontId="72" fillId="0" borderId="13" xfId="8" applyFont="1" applyBorder="1" applyAlignment="1" applyProtection="1">
      <alignment horizontal="center" vertical="center" wrapText="1"/>
    </xf>
    <xf numFmtId="0" fontId="72" fillId="0" borderId="7" xfId="8" applyFont="1" applyFill="1" applyBorder="1" applyAlignment="1" applyProtection="1">
      <alignment horizontal="center" vertical="center" wrapText="1"/>
    </xf>
    <xf numFmtId="0" fontId="48" fillId="0" borderId="0" xfId="0" applyFont="1" applyFill="1" applyAlignment="1" applyProtection="1">
      <alignment horizontal="center" vertical="center" wrapText="1"/>
    </xf>
    <xf numFmtId="43" fontId="72" fillId="0" borderId="7" xfId="1" applyFont="1" applyFill="1" applyBorder="1" applyAlignment="1" applyProtection="1">
      <alignment horizontal="center" vertical="center" wrapText="1"/>
    </xf>
    <xf numFmtId="43" fontId="48" fillId="0" borderId="0" xfId="1" applyFont="1" applyFill="1" applyAlignment="1" applyProtection="1">
      <alignment horizontal="center" vertical="center" wrapText="1"/>
    </xf>
    <xf numFmtId="0" fontId="48" fillId="0" borderId="0" xfId="0" applyFont="1" applyFill="1" applyAlignment="1" applyProtection="1">
      <alignment horizontal="left" vertical="center" wrapText="1"/>
    </xf>
    <xf numFmtId="43" fontId="48" fillId="0" borderId="0" xfId="1" applyFont="1" applyFill="1" applyAlignment="1" applyProtection="1">
      <alignment vertical="center" wrapText="1"/>
    </xf>
    <xf numFmtId="0" fontId="48" fillId="0" borderId="0" xfId="0" applyFont="1" applyFill="1" applyAlignment="1" applyProtection="1">
      <alignment vertical="center" wrapText="1"/>
    </xf>
    <xf numFmtId="0" fontId="77" fillId="0" borderId="1" xfId="40" applyFont="1" applyFill="1" applyBorder="1" applyAlignment="1" applyProtection="1">
      <alignment horizontal="left" vertical="center" wrapText="1"/>
    </xf>
    <xf numFmtId="43" fontId="41" fillId="2" borderId="1" xfId="1" applyFont="1" applyFill="1" applyBorder="1" applyAlignment="1" applyProtection="1">
      <alignment horizontal="center" vertical="center" wrapText="1"/>
      <protection locked="0"/>
    </xf>
    <xf numFmtId="43" fontId="48" fillId="0" borderId="0" xfId="1" applyFont="1" applyAlignment="1" applyProtection="1">
      <alignment horizontal="center" vertical="center" wrapText="1"/>
    </xf>
    <xf numFmtId="0" fontId="48" fillId="0" borderId="0" xfId="0" applyFont="1" applyAlignment="1" applyProtection="1">
      <alignment horizontal="left" vertical="center" wrapText="1"/>
    </xf>
    <xf numFmtId="0" fontId="48" fillId="0" borderId="0" xfId="0" applyFont="1" applyAlignment="1" applyProtection="1">
      <alignment vertical="center" wrapText="1"/>
    </xf>
    <xf numFmtId="2" fontId="72" fillId="2" borderId="1" xfId="0" applyNumberFormat="1" applyFont="1" applyFill="1" applyBorder="1" applyAlignment="1" applyProtection="1">
      <alignment horizontal="center" vertical="center" wrapText="1"/>
    </xf>
    <xf numFmtId="0" fontId="70" fillId="0" borderId="0" xfId="0" applyFont="1" applyFill="1" applyBorder="1" applyAlignment="1" applyProtection="1">
      <alignment vertical="center" wrapText="1"/>
    </xf>
    <xf numFmtId="43" fontId="72" fillId="12" borderId="1" xfId="1" applyFont="1" applyFill="1" applyBorder="1" applyAlignment="1" applyProtection="1">
      <alignment horizontal="center" vertical="center" wrapText="1"/>
    </xf>
    <xf numFmtId="0" fontId="76" fillId="0" borderId="0" xfId="3" applyFont="1" applyFill="1" applyBorder="1" applyAlignment="1" applyProtection="1">
      <alignment wrapText="1"/>
    </xf>
    <xf numFmtId="43" fontId="72" fillId="0" borderId="1" xfId="1" applyFont="1" applyBorder="1" applyAlignment="1" applyProtection="1">
      <alignment horizontal="left" vertical="center" wrapText="1"/>
    </xf>
    <xf numFmtId="0" fontId="46" fillId="0" borderId="0" xfId="0" applyFont="1" applyFill="1" applyBorder="1" applyAlignment="1" applyProtection="1">
      <alignment horizontal="center" vertical="center" wrapText="1"/>
    </xf>
    <xf numFmtId="43" fontId="46" fillId="0" borderId="0" xfId="1" applyFont="1" applyFill="1" applyBorder="1" applyAlignment="1" applyProtection="1">
      <alignment horizontal="center" vertical="center" wrapText="1"/>
    </xf>
    <xf numFmtId="0" fontId="46" fillId="0" borderId="0" xfId="0" applyFont="1" applyFill="1" applyBorder="1" applyAlignment="1" applyProtection="1">
      <alignment horizontal="left" vertical="center" wrapText="1"/>
    </xf>
    <xf numFmtId="0" fontId="46" fillId="0" borderId="0" xfId="0" applyFont="1" applyFill="1" applyBorder="1" applyAlignment="1" applyProtection="1">
      <alignment vertical="center" wrapText="1"/>
    </xf>
    <xf numFmtId="43" fontId="72" fillId="0" borderId="13" xfId="1" applyFont="1" applyBorder="1" applyAlignment="1" applyProtection="1">
      <alignment horizontal="left" vertical="center" wrapText="1"/>
    </xf>
    <xf numFmtId="0" fontId="45" fillId="0" borderId="0" xfId="0" applyFont="1" applyFill="1" applyBorder="1" applyAlignment="1" applyProtection="1">
      <alignment horizontal="center" vertical="center" wrapText="1"/>
    </xf>
    <xf numFmtId="0" fontId="72" fillId="0" borderId="0" xfId="0" applyFont="1" applyFill="1" applyBorder="1" applyAlignment="1" applyProtection="1">
      <alignment horizontal="left" vertical="center" wrapText="1"/>
    </xf>
    <xf numFmtId="43" fontId="45" fillId="0" borderId="0" xfId="1" applyFont="1" applyFill="1" applyBorder="1" applyAlignment="1" applyProtection="1">
      <alignment horizontal="center" vertical="center" wrapText="1"/>
    </xf>
    <xf numFmtId="0" fontId="81" fillId="0" borderId="1" xfId="3" applyFont="1" applyFill="1" applyBorder="1" applyAlignment="1" applyProtection="1">
      <alignment horizontal="center" vertical="center" wrapText="1"/>
    </xf>
    <xf numFmtId="43" fontId="75" fillId="0" borderId="3" xfId="1" applyFont="1" applyBorder="1" applyAlignment="1" applyProtection="1">
      <alignment horizontal="left" vertical="center" wrapText="1"/>
    </xf>
    <xf numFmtId="0" fontId="75" fillId="0" borderId="13" xfId="0" applyFont="1" applyBorder="1" applyAlignment="1" applyProtection="1">
      <alignment horizontal="left" vertical="center" wrapText="1"/>
    </xf>
    <xf numFmtId="43" fontId="75" fillId="0" borderId="13" xfId="1" applyFont="1" applyBorder="1" applyAlignment="1" applyProtection="1">
      <alignment horizontal="left" vertical="center" wrapText="1"/>
    </xf>
    <xf numFmtId="43" fontId="75" fillId="0" borderId="14" xfId="1" applyFont="1" applyBorder="1" applyAlignment="1" applyProtection="1">
      <alignment horizontal="left" vertical="center" wrapText="1"/>
    </xf>
    <xf numFmtId="0" fontId="72" fillId="2" borderId="1" xfId="40" quotePrefix="1" applyFont="1" applyFill="1" applyBorder="1" applyAlignment="1" applyProtection="1">
      <alignment horizontal="left" vertical="center" wrapText="1"/>
    </xf>
    <xf numFmtId="0" fontId="41" fillId="2" borderId="1" xfId="0" applyFont="1" applyFill="1" applyBorder="1" applyAlignment="1" applyProtection="1">
      <alignment horizontal="center" vertical="center" wrapText="1"/>
      <protection locked="0"/>
    </xf>
    <xf numFmtId="0" fontId="45" fillId="0" borderId="0" xfId="0" applyFont="1" applyFill="1" applyBorder="1" applyAlignment="1" applyProtection="1">
      <alignment horizontal="left" wrapText="1"/>
    </xf>
    <xf numFmtId="43" fontId="45" fillId="0" borderId="0" xfId="1" applyFont="1" applyFill="1" applyBorder="1" applyAlignment="1" applyProtection="1">
      <alignment wrapText="1"/>
    </xf>
    <xf numFmtId="0" fontId="45" fillId="0" borderId="0" xfId="0" applyFont="1" applyFill="1" applyBorder="1" applyAlignment="1" applyProtection="1">
      <alignment wrapText="1"/>
    </xf>
    <xf numFmtId="0" fontId="72" fillId="0" borderId="0" xfId="0" applyFont="1" applyFill="1" applyBorder="1" applyAlignment="1" applyProtection="1">
      <alignment horizontal="left" vertical="center"/>
    </xf>
    <xf numFmtId="0" fontId="45" fillId="0" borderId="0" xfId="0" applyFont="1" applyFill="1" applyBorder="1" applyAlignment="1" applyProtection="1">
      <alignment vertical="center"/>
    </xf>
    <xf numFmtId="0" fontId="81" fillId="0" borderId="1" xfId="3" applyFont="1" applyFill="1" applyBorder="1" applyAlignment="1" applyProtection="1">
      <alignment horizontal="center" vertical="center"/>
    </xf>
    <xf numFmtId="0" fontId="75" fillId="0" borderId="0" xfId="0" applyFont="1" applyAlignment="1" applyProtection="1">
      <alignment vertical="center"/>
      <protection locked="0"/>
    </xf>
    <xf numFmtId="0" fontId="81" fillId="0" borderId="13" xfId="3" applyFont="1" applyFill="1" applyBorder="1" applyAlignment="1" applyProtection="1">
      <alignment horizontal="center" vertical="center" wrapText="1"/>
    </xf>
    <xf numFmtId="0" fontId="45" fillId="0" borderId="0" xfId="0" applyFont="1" applyFill="1" applyBorder="1" applyAlignment="1" applyProtection="1">
      <alignment horizontal="left" vertical="center" wrapText="1"/>
    </xf>
    <xf numFmtId="0" fontId="45" fillId="0" borderId="0" xfId="0" applyFont="1" applyFill="1" applyBorder="1" applyAlignment="1" applyProtection="1">
      <alignment vertical="center" wrapText="1"/>
    </xf>
    <xf numFmtId="0" fontId="72" fillId="0" borderId="1" xfId="0" applyFont="1" applyFill="1" applyBorder="1" applyAlignment="1" applyProtection="1">
      <alignment vertical="center"/>
    </xf>
    <xf numFmtId="0" fontId="72" fillId="0" borderId="0" xfId="0" applyFont="1" applyFill="1" applyBorder="1" applyAlignment="1" applyProtection="1">
      <alignment vertical="center"/>
    </xf>
    <xf numFmtId="0" fontId="45" fillId="0" borderId="0" xfId="0" applyFont="1" applyFill="1" applyBorder="1" applyProtection="1"/>
    <xf numFmtId="43" fontId="72" fillId="0" borderId="0" xfId="1" applyFont="1" applyFill="1" applyBorder="1" applyAlignment="1" applyProtection="1">
      <alignment vertical="center"/>
    </xf>
    <xf numFmtId="43" fontId="45" fillId="0" borderId="0" xfId="1" applyFont="1" applyFill="1" applyBorder="1" applyProtection="1"/>
    <xf numFmtId="0" fontId="81" fillId="0" borderId="1" xfId="3" applyFont="1" applyFill="1" applyBorder="1" applyAlignment="1" applyProtection="1"/>
    <xf numFmtId="43" fontId="72" fillId="0" borderId="0" xfId="1" applyFont="1" applyFill="1" applyBorder="1" applyAlignment="1" applyProtection="1">
      <alignment horizontal="left" vertical="center"/>
    </xf>
    <xf numFmtId="0" fontId="72" fillId="0" borderId="0" xfId="8" applyFont="1" applyFill="1" applyBorder="1" applyAlignment="1" applyProtection="1">
      <alignment horizontal="right" vertical="center"/>
    </xf>
    <xf numFmtId="0" fontId="81" fillId="0" borderId="13" xfId="3" applyFont="1" applyFill="1" applyBorder="1" applyAlignment="1" applyProtection="1"/>
    <xf numFmtId="43" fontId="72" fillId="0" borderId="13" xfId="1" applyFont="1" applyFill="1" applyBorder="1" applyAlignment="1" applyProtection="1">
      <alignment vertical="center" wrapText="1"/>
    </xf>
    <xf numFmtId="0" fontId="72" fillId="2" borderId="1" xfId="0" applyFont="1" applyFill="1" applyBorder="1" applyAlignment="1" applyProtection="1">
      <alignment horizontal="center"/>
    </xf>
    <xf numFmtId="43" fontId="72" fillId="2" borderId="1" xfId="1" applyFont="1" applyFill="1" applyBorder="1" applyAlignment="1" applyProtection="1">
      <alignment horizontal="center"/>
    </xf>
    <xf numFmtId="0" fontId="72" fillId="2" borderId="1" xfId="0" applyFont="1" applyFill="1" applyBorder="1" applyAlignment="1" applyProtection="1">
      <alignment horizontal="left"/>
    </xf>
    <xf numFmtId="0" fontId="75" fillId="0" borderId="1" xfId="0" applyFont="1" applyBorder="1" applyAlignment="1" applyProtection="1">
      <alignment horizontal="left"/>
    </xf>
    <xf numFmtId="0" fontId="75" fillId="0" borderId="1" xfId="0" applyFont="1" applyBorder="1" applyAlignment="1" applyProtection="1">
      <alignment horizontal="center"/>
    </xf>
    <xf numFmtId="43" fontId="75" fillId="0" borderId="1" xfId="1" applyFont="1" applyBorder="1" applyAlignment="1" applyProtection="1">
      <alignment horizontal="center"/>
    </xf>
    <xf numFmtId="43" fontId="75" fillId="0" borderId="0" xfId="1" applyFont="1" applyAlignment="1" applyProtection="1">
      <alignment horizontal="left" vertical="center"/>
    </xf>
    <xf numFmtId="43" fontId="75" fillId="0" borderId="0" xfId="1" applyFont="1" applyProtection="1"/>
    <xf numFmtId="43" fontId="75" fillId="0" borderId="1" xfId="1" applyFont="1" applyBorder="1" applyProtection="1">
      <protection locked="0"/>
    </xf>
    <xf numFmtId="43" fontId="72" fillId="2" borderId="1" xfId="1" applyFont="1" applyFill="1" applyBorder="1" applyAlignment="1" applyProtection="1">
      <alignment horizontal="center"/>
      <protection locked="0"/>
    </xf>
    <xf numFmtId="0" fontId="77" fillId="0" borderId="0" xfId="0" applyFont="1" applyFill="1" applyBorder="1" applyAlignment="1" applyProtection="1">
      <alignment vertical="center"/>
    </xf>
    <xf numFmtId="43" fontId="77" fillId="0" borderId="0" xfId="1" applyFont="1" applyFill="1" applyBorder="1" applyAlignment="1" applyProtection="1">
      <alignment vertical="center"/>
    </xf>
    <xf numFmtId="0" fontId="83" fillId="0" borderId="0" xfId="3" applyFont="1" applyFill="1" applyBorder="1" applyAlignment="1" applyProtection="1">
      <alignment horizontal="center"/>
    </xf>
    <xf numFmtId="43" fontId="72" fillId="0" borderId="1" xfId="1" applyNumberFormat="1" applyFont="1" applyFill="1" applyBorder="1" applyAlignment="1" applyProtection="1">
      <alignment horizontal="right" vertical="center" wrapText="1"/>
    </xf>
    <xf numFmtId="0" fontId="77" fillId="0" borderId="0" xfId="8" applyFont="1" applyFill="1" applyBorder="1" applyAlignment="1" applyProtection="1">
      <alignment horizontal="center" vertical="center"/>
    </xf>
    <xf numFmtId="0" fontId="77" fillId="0" borderId="0" xfId="8" applyFont="1" applyFill="1" applyBorder="1" applyAlignment="1" applyProtection="1">
      <alignment vertical="center"/>
    </xf>
    <xf numFmtId="43" fontId="77" fillId="0" borderId="0" xfId="1" applyFont="1" applyFill="1" applyBorder="1" applyAlignment="1" applyProtection="1">
      <alignment horizontal="right" vertical="center"/>
    </xf>
    <xf numFmtId="0" fontId="41" fillId="2" borderId="1" xfId="40" applyFont="1" applyFill="1" applyBorder="1" applyAlignment="1" applyProtection="1">
      <alignment vertical="center" wrapText="1"/>
    </xf>
    <xf numFmtId="43" fontId="41" fillId="2" borderId="1" xfId="1" applyFont="1" applyFill="1" applyBorder="1" applyAlignment="1" applyProtection="1">
      <alignment horizontal="right" vertical="center"/>
    </xf>
    <xf numFmtId="0" fontId="41" fillId="0" borderId="1" xfId="40" applyFont="1" applyFill="1" applyBorder="1" applyAlignment="1" applyProtection="1">
      <alignment horizontal="center" vertical="center" wrapText="1"/>
    </xf>
    <xf numFmtId="0" fontId="41" fillId="0" borderId="1" xfId="40" applyFont="1" applyFill="1" applyBorder="1" applyAlignment="1" applyProtection="1">
      <alignment horizontal="left" vertical="center" wrapText="1"/>
    </xf>
    <xf numFmtId="0" fontId="41" fillId="0" borderId="1" xfId="0" applyFont="1" applyFill="1" applyBorder="1" applyAlignment="1" applyProtection="1">
      <alignment horizontal="left" vertical="center" wrapText="1"/>
      <protection locked="0"/>
    </xf>
    <xf numFmtId="43" fontId="41" fillId="0" borderId="1" xfId="1" applyFont="1" applyFill="1" applyBorder="1" applyAlignment="1" applyProtection="1">
      <alignment vertical="center" wrapText="1"/>
      <protection locked="0"/>
    </xf>
    <xf numFmtId="0" fontId="77" fillId="0" borderId="0" xfId="0" applyFont="1" applyFill="1" applyBorder="1" applyAlignment="1" applyProtection="1">
      <alignment horizontal="center" vertical="center" wrapText="1"/>
    </xf>
    <xf numFmtId="0" fontId="77" fillId="0" borderId="0" xfId="0" applyFont="1" applyFill="1" applyBorder="1" applyAlignment="1" applyProtection="1">
      <alignment horizontal="left" vertical="center" wrapText="1"/>
    </xf>
    <xf numFmtId="0" fontId="83" fillId="0" borderId="0" xfId="3" applyFont="1" applyFill="1" applyBorder="1" applyAlignment="1" applyProtection="1">
      <alignment horizontal="center" wrapText="1"/>
    </xf>
    <xf numFmtId="0" fontId="77" fillId="0" borderId="0" xfId="8" applyFont="1" applyFill="1" applyBorder="1" applyAlignment="1" applyProtection="1">
      <alignment horizontal="left" vertical="center" wrapText="1"/>
    </xf>
    <xf numFmtId="0" fontId="72" fillId="2" borderId="3" xfId="40" applyFont="1" applyFill="1" applyBorder="1" applyAlignment="1" applyProtection="1">
      <alignment horizontal="center" vertical="center" wrapText="1"/>
    </xf>
    <xf numFmtId="0" fontId="41" fillId="2" borderId="3" xfId="40" applyFont="1" applyFill="1" applyBorder="1" applyAlignment="1" applyProtection="1">
      <alignment horizontal="center" vertical="center" wrapText="1"/>
    </xf>
    <xf numFmtId="43" fontId="41" fillId="2" borderId="3" xfId="1" applyFont="1" applyFill="1" applyBorder="1" applyAlignment="1" applyProtection="1">
      <alignment horizontal="center" vertical="center" wrapText="1"/>
    </xf>
    <xf numFmtId="43" fontId="72" fillId="2" borderId="3" xfId="1" applyFont="1" applyFill="1" applyBorder="1" applyAlignment="1" applyProtection="1">
      <alignment horizontal="center" vertical="center" wrapText="1"/>
    </xf>
    <xf numFmtId="0" fontId="41" fillId="2" borderId="3" xfId="40" applyFont="1" applyFill="1" applyBorder="1" applyAlignment="1" applyProtection="1">
      <alignment horizontal="left" vertical="center" wrapText="1"/>
    </xf>
    <xf numFmtId="0" fontId="41" fillId="2" borderId="3" xfId="0" applyFont="1" applyFill="1" applyBorder="1" applyAlignment="1" applyProtection="1">
      <alignment vertical="center" wrapText="1"/>
    </xf>
    <xf numFmtId="43" fontId="41" fillId="2" borderId="3" xfId="1" applyFont="1" applyFill="1" applyBorder="1" applyAlignment="1" applyProtection="1">
      <alignment vertical="center" wrapText="1"/>
    </xf>
    <xf numFmtId="0" fontId="41" fillId="2" borderId="3" xfId="0" applyFont="1" applyFill="1" applyBorder="1" applyAlignment="1" applyProtection="1">
      <alignment horizontal="left" vertical="center" wrapText="1"/>
    </xf>
    <xf numFmtId="0" fontId="72" fillId="2" borderId="3" xfId="8" applyFont="1" applyFill="1" applyBorder="1" applyAlignment="1" applyProtection="1">
      <alignment horizontal="center" vertical="center" wrapText="1"/>
    </xf>
    <xf numFmtId="0" fontId="72" fillId="2" borderId="3" xfId="8" applyFont="1" applyFill="1" applyBorder="1" applyAlignment="1" applyProtection="1">
      <alignment horizontal="left" vertical="center" wrapText="1"/>
    </xf>
    <xf numFmtId="0" fontId="72" fillId="2" borderId="3" xfId="11" applyFont="1" applyFill="1" applyBorder="1" applyAlignment="1" applyProtection="1">
      <alignment horizontal="center" vertical="center" wrapText="1"/>
    </xf>
    <xf numFmtId="0" fontId="72" fillId="2" borderId="3" xfId="11" applyFont="1" applyFill="1" applyBorder="1" applyAlignment="1" applyProtection="1">
      <alignment horizontal="left" vertical="center" wrapText="1"/>
    </xf>
    <xf numFmtId="0" fontId="48" fillId="0" borderId="1" xfId="87" applyFont="1" applyBorder="1" applyAlignment="1" applyProtection="1">
      <alignment horizontal="left" vertical="center" wrapText="1"/>
    </xf>
    <xf numFmtId="0" fontId="48" fillId="0" borderId="1" xfId="87" applyFont="1" applyBorder="1" applyAlignment="1" applyProtection="1">
      <alignment horizontal="center" vertical="center" wrapText="1"/>
    </xf>
    <xf numFmtId="43" fontId="48" fillId="0" borderId="1" xfId="1" applyFont="1" applyBorder="1" applyAlignment="1" applyProtection="1">
      <alignment horizontal="center" vertical="center" wrapText="1"/>
    </xf>
    <xf numFmtId="0" fontId="72" fillId="2" borderId="3" xfId="0" applyFont="1" applyFill="1" applyBorder="1" applyAlignment="1" applyProtection="1">
      <alignment horizontal="center" vertical="center" wrapText="1"/>
    </xf>
    <xf numFmtId="0" fontId="72" fillId="2" borderId="3" xfId="0" applyFont="1" applyFill="1" applyBorder="1" applyAlignment="1" applyProtection="1">
      <alignment horizontal="left" vertical="center" wrapText="1"/>
    </xf>
    <xf numFmtId="0" fontId="41" fillId="2" borderId="3" xfId="0" applyFont="1" applyFill="1" applyBorder="1" applyAlignment="1" applyProtection="1">
      <alignment horizontal="left" vertical="center" wrapText="1"/>
      <protection locked="0"/>
    </xf>
    <xf numFmtId="43" fontId="41" fillId="2" borderId="3" xfId="1" applyFont="1" applyFill="1" applyBorder="1" applyAlignment="1" applyProtection="1">
      <alignment vertical="center" wrapText="1"/>
      <protection locked="0"/>
    </xf>
    <xf numFmtId="0" fontId="101" fillId="0" borderId="1" xfId="8" applyFont="1" applyBorder="1" applyAlignment="1" applyProtection="1">
      <alignment horizontal="right" vertical="center" wrapText="1"/>
      <protection locked="0"/>
    </xf>
    <xf numFmtId="0" fontId="102" fillId="0" borderId="1" xfId="8" applyFont="1" applyBorder="1" applyAlignment="1" applyProtection="1">
      <alignment horizontal="center" vertical="center" wrapText="1"/>
      <protection locked="0"/>
    </xf>
    <xf numFmtId="4" fontId="102" fillId="0" borderId="1" xfId="8" applyNumberFormat="1" applyFont="1" applyBorder="1" applyAlignment="1" applyProtection="1">
      <alignment horizontal="right" vertical="center" wrapText="1"/>
      <protection locked="0"/>
    </xf>
    <xf numFmtId="0" fontId="102" fillId="0" borderId="1" xfId="8" applyFont="1" applyBorder="1" applyAlignment="1" applyProtection="1">
      <alignment horizontal="right" vertical="center" wrapText="1"/>
      <protection locked="0"/>
    </xf>
    <xf numFmtId="0" fontId="102" fillId="0" borderId="1" xfId="0" applyFont="1" applyBorder="1" applyAlignment="1" applyProtection="1">
      <alignment horizontal="right" vertical="center" wrapText="1"/>
      <protection locked="0"/>
    </xf>
    <xf numFmtId="0" fontId="102" fillId="0" borderId="1" xfId="0" applyFont="1" applyBorder="1" applyAlignment="1" applyProtection="1">
      <alignment vertical="center" wrapText="1"/>
      <protection locked="0"/>
    </xf>
    <xf numFmtId="2" fontId="102" fillId="0" borderId="1" xfId="0" applyNumberFormat="1" applyFont="1" applyBorder="1" applyAlignment="1" applyProtection="1">
      <alignment horizontal="right" vertical="center" wrapText="1"/>
      <protection locked="0"/>
    </xf>
    <xf numFmtId="0" fontId="102" fillId="0" borderId="1" xfId="0" applyFont="1" applyBorder="1" applyAlignment="1" applyProtection="1">
      <alignment horizontal="right" vertical="top"/>
      <protection locked="0"/>
    </xf>
    <xf numFmtId="166" fontId="102" fillId="0" borderId="1" xfId="1" applyNumberFormat="1" applyFont="1" applyBorder="1" applyAlignment="1" applyProtection="1">
      <alignment horizontal="right" vertical="center"/>
      <protection locked="0"/>
    </xf>
    <xf numFmtId="167" fontId="102" fillId="0" borderId="1" xfId="0" applyNumberFormat="1" applyFont="1" applyBorder="1" applyAlignment="1" applyProtection="1">
      <alignment horizontal="right" vertical="center" wrapText="1"/>
      <protection locked="0"/>
    </xf>
    <xf numFmtId="0" fontId="102" fillId="0" borderId="1" xfId="38" applyFont="1" applyBorder="1" applyAlignment="1" applyProtection="1">
      <alignment horizontal="right" vertical="center" wrapText="1"/>
      <protection locked="0"/>
    </xf>
    <xf numFmtId="0" fontId="102" fillId="52" borderId="1" xfId="0" applyFont="1" applyFill="1" applyBorder="1" applyAlignment="1" applyProtection="1">
      <alignment horizontal="left" vertical="center" wrapText="1"/>
      <protection locked="0"/>
    </xf>
    <xf numFmtId="0" fontId="102" fillId="52" borderId="1" xfId="0" applyFont="1" applyFill="1" applyBorder="1" applyAlignment="1" applyProtection="1">
      <alignment vertical="center" wrapText="1"/>
      <protection locked="0"/>
    </xf>
    <xf numFmtId="0" fontId="102" fillId="0" borderId="1" xfId="0" applyFont="1" applyFill="1" applyBorder="1" applyAlignment="1" applyProtection="1">
      <alignment horizontal="left" vertical="top" wrapText="1"/>
      <protection locked="0"/>
    </xf>
    <xf numFmtId="0" fontId="102" fillId="0" borderId="1" xfId="0" applyFont="1" applyBorder="1" applyAlignment="1" applyProtection="1">
      <alignment horizontal="center" vertical="center" wrapText="1"/>
      <protection locked="0"/>
    </xf>
    <xf numFmtId="0" fontId="101" fillId="0" borderId="1" xfId="0" applyFont="1" applyBorder="1" applyAlignment="1" applyProtection="1">
      <alignment horizontal="right" vertical="center" wrapText="1"/>
      <protection locked="0"/>
    </xf>
    <xf numFmtId="0" fontId="102" fillId="0" borderId="1" xfId="0" applyFont="1" applyFill="1" applyBorder="1" applyAlignment="1" applyProtection="1">
      <alignment horizontal="left" vertical="center" wrapText="1"/>
      <protection locked="0"/>
    </xf>
    <xf numFmtId="0" fontId="102" fillId="0" borderId="1" xfId="0" applyFont="1" applyBorder="1" applyAlignment="1" applyProtection="1">
      <alignment horizontal="left" vertical="center" wrapText="1"/>
      <protection locked="0"/>
    </xf>
    <xf numFmtId="0" fontId="102" fillId="0" borderId="1" xfId="0" applyFont="1" applyFill="1" applyBorder="1" applyAlignment="1" applyProtection="1">
      <alignment horizontal="right" vertical="center" wrapText="1"/>
      <protection locked="0"/>
    </xf>
    <xf numFmtId="1" fontId="102" fillId="0" borderId="1" xfId="0" applyNumberFormat="1" applyFont="1" applyFill="1" applyBorder="1" applyAlignment="1" applyProtection="1">
      <alignment horizontal="center" vertical="center"/>
      <protection locked="0"/>
    </xf>
    <xf numFmtId="167" fontId="102" fillId="0" borderId="1" xfId="0" applyNumberFormat="1" applyFont="1" applyFill="1" applyBorder="1" applyAlignment="1" applyProtection="1">
      <alignment horizontal="right" vertical="center" wrapText="1"/>
      <protection locked="0"/>
    </xf>
    <xf numFmtId="43" fontId="102" fillId="0" borderId="1" xfId="1" applyFont="1" applyBorder="1" applyAlignment="1" applyProtection="1">
      <alignment horizontal="right" vertical="center" wrapText="1"/>
      <protection locked="0"/>
    </xf>
    <xf numFmtId="0" fontId="102" fillId="11" borderId="1" xfId="0" applyFont="1" applyFill="1" applyBorder="1" applyAlignment="1" applyProtection="1">
      <alignment horizontal="right" vertical="center" wrapText="1"/>
      <protection locked="0"/>
    </xf>
    <xf numFmtId="168" fontId="102" fillId="0" borderId="1" xfId="0" applyNumberFormat="1" applyFont="1" applyBorder="1" applyAlignment="1" applyProtection="1">
      <alignment horizontal="right" vertical="center" wrapText="1"/>
      <protection locked="0"/>
    </xf>
    <xf numFmtId="0" fontId="102" fillId="0" borderId="1" xfId="0" applyFont="1" applyFill="1" applyBorder="1" applyAlignment="1" applyProtection="1">
      <alignment vertical="center" wrapText="1"/>
      <protection locked="0"/>
    </xf>
    <xf numFmtId="169" fontId="102" fillId="0" borderId="1" xfId="0" applyNumberFormat="1" applyFont="1" applyFill="1" applyBorder="1" applyAlignment="1" applyProtection="1">
      <alignment horizontal="right" vertical="center" wrapText="1"/>
      <protection locked="0"/>
    </xf>
    <xf numFmtId="0" fontId="104" fillId="52" borderId="13" xfId="0" applyNumberFormat="1" applyFont="1" applyFill="1" applyBorder="1" applyAlignment="1" applyProtection="1">
      <alignment horizontal="left" vertical="center" wrapText="1"/>
      <protection locked="0"/>
    </xf>
    <xf numFmtId="0" fontId="102" fillId="0" borderId="1" xfId="4" applyFont="1" applyFill="1" applyBorder="1" applyAlignment="1" applyProtection="1">
      <alignment horizontal="left" vertical="center" wrapText="1"/>
      <protection locked="0"/>
    </xf>
    <xf numFmtId="0" fontId="102" fillId="52" borderId="1" xfId="8" applyFont="1" applyFill="1" applyBorder="1" applyAlignment="1" applyProtection="1">
      <alignment horizontal="left" vertical="center" wrapText="1"/>
      <protection locked="0"/>
    </xf>
    <xf numFmtId="0" fontId="102" fillId="0" borderId="1" xfId="0" applyFont="1" applyBorder="1" applyAlignment="1" applyProtection="1">
      <alignment horizontal="center" wrapText="1"/>
      <protection locked="0"/>
    </xf>
    <xf numFmtId="1" fontId="102" fillId="0" borderId="1" xfId="6" applyNumberFormat="1" applyFont="1" applyBorder="1" applyAlignment="1" applyProtection="1">
      <alignment horizontal="center" vertical="center"/>
      <protection locked="0"/>
    </xf>
    <xf numFmtId="167" fontId="101" fillId="0" borderId="1" xfId="0" applyNumberFormat="1" applyFont="1" applyBorder="1" applyAlignment="1" applyProtection="1">
      <alignment horizontal="right" vertical="center" wrapText="1"/>
      <protection locked="0"/>
    </xf>
    <xf numFmtId="167" fontId="101" fillId="0" borderId="1" xfId="0" applyNumberFormat="1" applyFont="1" applyFill="1" applyBorder="1" applyAlignment="1" applyProtection="1">
      <alignment horizontal="right" vertical="center" wrapText="1"/>
      <protection locked="0"/>
    </xf>
    <xf numFmtId="2" fontId="102" fillId="52" borderId="1" xfId="4" applyNumberFormat="1" applyFont="1" applyFill="1" applyBorder="1" applyAlignment="1" applyProtection="1">
      <alignment horizontal="left" vertical="center" wrapText="1"/>
      <protection locked="0"/>
    </xf>
    <xf numFmtId="0" fontId="101" fillId="0" borderId="1" xfId="0" applyFont="1" applyBorder="1" applyAlignment="1" applyProtection="1">
      <alignment horizontal="center" vertical="center" wrapText="1"/>
      <protection locked="0"/>
    </xf>
    <xf numFmtId="2" fontId="102" fillId="0" borderId="1" xfId="0" applyNumberFormat="1" applyFont="1" applyFill="1" applyBorder="1" applyAlignment="1" applyProtection="1">
      <alignment horizontal="right" vertical="center" wrapText="1"/>
      <protection locked="0"/>
    </xf>
    <xf numFmtId="0" fontId="105" fillId="52" borderId="1" xfId="108" applyFont="1" applyFill="1" applyBorder="1" applyAlignment="1" applyProtection="1">
      <alignment vertical="center" wrapText="1"/>
      <protection locked="0"/>
    </xf>
    <xf numFmtId="0" fontId="106" fillId="0" borderId="1" xfId="8" applyFont="1" applyBorder="1" applyAlignment="1" applyProtection="1">
      <alignment vertical="center" wrapText="1"/>
      <protection locked="0"/>
    </xf>
    <xf numFmtId="0" fontId="106" fillId="0" borderId="1" xfId="8" applyFont="1" applyBorder="1" applyAlignment="1" applyProtection="1">
      <alignment horizontal="right" vertical="center" wrapText="1"/>
      <protection locked="0"/>
    </xf>
    <xf numFmtId="0" fontId="102" fillId="0" borderId="1" xfId="6" applyFont="1" applyBorder="1" applyAlignment="1" applyProtection="1">
      <alignment horizontal="center" vertical="center" wrapText="1"/>
      <protection locked="0"/>
    </xf>
    <xf numFmtId="167" fontId="102" fillId="0" borderId="1" xfId="8" applyNumberFormat="1" applyFont="1" applyBorder="1" applyAlignment="1" applyProtection="1">
      <alignment horizontal="right" vertical="center" wrapText="1"/>
      <protection locked="0"/>
    </xf>
    <xf numFmtId="167" fontId="102" fillId="0" borderId="1" xfId="8" applyNumberFormat="1" applyFont="1" applyFill="1" applyBorder="1" applyAlignment="1" applyProtection="1">
      <alignment horizontal="right" vertical="center" wrapText="1"/>
      <protection locked="0"/>
    </xf>
    <xf numFmtId="0" fontId="102" fillId="52" borderId="1" xfId="8" applyFont="1" applyFill="1" applyBorder="1" applyAlignment="1" applyProtection="1">
      <alignment vertical="center" wrapText="1"/>
      <protection locked="0"/>
    </xf>
    <xf numFmtId="0" fontId="102" fillId="0" borderId="1" xfId="8" applyFont="1" applyBorder="1" applyAlignment="1" applyProtection="1">
      <alignment vertical="center" wrapText="1"/>
      <protection locked="0"/>
    </xf>
    <xf numFmtId="0" fontId="102" fillId="0" borderId="1" xfId="8" applyFont="1" applyFill="1" applyBorder="1" applyAlignment="1" applyProtection="1">
      <alignment horizontal="right" vertical="center" wrapText="1"/>
      <protection locked="0"/>
    </xf>
    <xf numFmtId="0" fontId="107" fillId="0" borderId="1" xfId="8" applyFont="1" applyBorder="1" applyAlignment="1" applyProtection="1">
      <alignment horizontal="right" vertical="center" wrapText="1"/>
      <protection locked="0"/>
    </xf>
    <xf numFmtId="0" fontId="107" fillId="0" borderId="1" xfId="8" applyFont="1" applyBorder="1" applyAlignment="1" applyProtection="1">
      <alignment vertical="center" wrapText="1"/>
      <protection locked="0"/>
    </xf>
    <xf numFmtId="0" fontId="107" fillId="0" borderId="1" xfId="8" applyFont="1" applyFill="1" applyBorder="1" applyAlignment="1" applyProtection="1">
      <alignment horizontal="right" vertical="center" wrapText="1"/>
      <protection locked="0"/>
    </xf>
    <xf numFmtId="0" fontId="103" fillId="0" borderId="1" xfId="8" applyFont="1" applyBorder="1" applyAlignment="1" applyProtection="1">
      <alignment horizontal="center" vertical="center" wrapText="1"/>
      <protection locked="0"/>
    </xf>
    <xf numFmtId="167" fontId="103" fillId="0" borderId="1" xfId="8" applyNumberFormat="1" applyFont="1" applyBorder="1" applyAlignment="1" applyProtection="1">
      <alignment horizontal="right" vertical="center" wrapText="1"/>
      <protection locked="0"/>
    </xf>
    <xf numFmtId="0" fontId="103" fillId="0" borderId="1" xfId="8" applyFont="1" applyBorder="1" applyAlignment="1" applyProtection="1">
      <alignment horizontal="right" vertical="center" wrapText="1"/>
      <protection locked="0"/>
    </xf>
    <xf numFmtId="0" fontId="102" fillId="0" borderId="1" xfId="8" applyFont="1" applyBorder="1" applyAlignment="1" applyProtection="1">
      <alignment horizontal="left" vertical="center" wrapText="1"/>
      <protection locked="0"/>
    </xf>
    <xf numFmtId="0" fontId="108" fillId="0" borderId="1" xfId="8" applyFont="1" applyFill="1" applyBorder="1" applyAlignment="1" applyProtection="1">
      <alignment horizontal="center" vertical="center" wrapText="1"/>
    </xf>
    <xf numFmtId="0" fontId="106" fillId="0" borderId="0" xfId="8" applyFont="1" applyAlignment="1" applyProtection="1">
      <alignment vertical="center" wrapText="1"/>
    </xf>
    <xf numFmtId="0" fontId="110" fillId="0" borderId="1" xfId="0" applyFont="1" applyFill="1" applyBorder="1" applyAlignment="1" applyProtection="1">
      <alignment horizontal="center" vertical="center" wrapText="1"/>
    </xf>
    <xf numFmtId="0" fontId="112" fillId="29" borderId="1" xfId="0" applyFont="1" applyFill="1" applyBorder="1" applyAlignment="1" applyProtection="1">
      <alignment horizontal="center" vertical="center" wrapText="1"/>
    </xf>
    <xf numFmtId="43" fontId="112" fillId="29" borderId="1" xfId="1" applyFont="1" applyFill="1" applyBorder="1" applyAlignment="1" applyProtection="1">
      <alignment horizontal="center" vertical="center" wrapText="1"/>
    </xf>
    <xf numFmtId="0" fontId="110" fillId="30" borderId="1" xfId="0" applyFont="1" applyFill="1" applyBorder="1" applyAlignment="1" applyProtection="1">
      <alignment horizontal="center" vertical="center" wrapText="1"/>
    </xf>
    <xf numFmtId="43" fontId="110" fillId="30" borderId="1" xfId="1" applyFont="1" applyFill="1" applyBorder="1" applyAlignment="1" applyProtection="1">
      <alignment horizontal="center" vertical="center" wrapText="1"/>
    </xf>
    <xf numFmtId="0" fontId="110" fillId="10" borderId="1" xfId="0" applyFont="1" applyFill="1" applyBorder="1" applyAlignment="1" applyProtection="1">
      <alignment horizontal="center" vertical="center" wrapText="1"/>
    </xf>
    <xf numFmtId="0" fontId="110" fillId="28" borderId="1" xfId="8" applyFont="1" applyFill="1" applyBorder="1" applyAlignment="1" applyProtection="1">
      <alignment horizontal="center" vertical="center"/>
    </xf>
    <xf numFmtId="43" fontId="110" fillId="28" borderId="1" xfId="1" applyFont="1" applyFill="1" applyBorder="1" applyAlignment="1" applyProtection="1">
      <alignment horizontal="center" vertical="center" wrapText="1"/>
    </xf>
    <xf numFmtId="0" fontId="110" fillId="28" borderId="1" xfId="0" applyFont="1" applyFill="1" applyBorder="1" applyAlignment="1" applyProtection="1">
      <alignment horizontal="center" vertical="center" wrapText="1"/>
    </xf>
    <xf numFmtId="0" fontId="110" fillId="0" borderId="0" xfId="0" applyFont="1" applyFill="1" applyAlignment="1" applyProtection="1">
      <alignment vertical="center" wrapText="1"/>
    </xf>
    <xf numFmtId="43" fontId="101" fillId="0" borderId="1" xfId="1" applyFont="1" applyFill="1" applyBorder="1" applyAlignment="1" applyProtection="1">
      <alignment horizontal="left" vertical="center" wrapText="1"/>
    </xf>
    <xf numFmtId="43" fontId="110" fillId="0" borderId="1" xfId="1" applyFont="1" applyFill="1" applyBorder="1" applyAlignment="1" applyProtection="1">
      <alignment horizontal="center" vertical="center" wrapText="1"/>
    </xf>
    <xf numFmtId="43" fontId="110" fillId="0" borderId="1" xfId="1" applyFont="1" applyFill="1" applyBorder="1" applyAlignment="1" applyProtection="1">
      <alignment horizontal="center" vertical="center"/>
    </xf>
    <xf numFmtId="43" fontId="110" fillId="0" borderId="1" xfId="1" applyFont="1" applyFill="1" applyBorder="1" applyAlignment="1" applyProtection="1">
      <alignment vertical="center" wrapText="1"/>
    </xf>
    <xf numFmtId="43" fontId="110" fillId="0" borderId="0" xfId="1" applyFont="1" applyFill="1" applyAlignment="1" applyProtection="1">
      <alignment vertical="center" wrapText="1"/>
    </xf>
    <xf numFmtId="0" fontId="111" fillId="39" borderId="1" xfId="3" applyFont="1" applyFill="1" applyBorder="1" applyAlignment="1" applyProtection="1">
      <alignment horizontal="left"/>
    </xf>
    <xf numFmtId="0" fontId="106" fillId="0" borderId="0" xfId="8" applyFont="1" applyAlignment="1" applyProtection="1">
      <alignment horizontal="center" vertical="center" wrapText="1"/>
    </xf>
    <xf numFmtId="0" fontId="101" fillId="18" borderId="1" xfId="38" applyFont="1" applyFill="1" applyBorder="1" applyAlignment="1" applyProtection="1">
      <alignment horizontal="center" vertical="center" wrapText="1"/>
    </xf>
    <xf numFmtId="0" fontId="101" fillId="24" borderId="1" xfId="38" applyFont="1" applyFill="1" applyBorder="1" applyAlignment="1" applyProtection="1">
      <alignment horizontal="center" vertical="center" wrapText="1"/>
    </xf>
    <xf numFmtId="43" fontId="101" fillId="24" borderId="1" xfId="1" applyFont="1" applyFill="1" applyBorder="1" applyAlignment="1" applyProtection="1">
      <alignment horizontal="center" vertical="center" wrapText="1"/>
    </xf>
    <xf numFmtId="0" fontId="101" fillId="24" borderId="5" xfId="38" applyFont="1" applyFill="1" applyBorder="1" applyAlignment="1" applyProtection="1">
      <alignment horizontal="center" vertical="center" wrapText="1"/>
    </xf>
    <xf numFmtId="0" fontId="114" fillId="45" borderId="1" xfId="0" applyFont="1" applyFill="1" applyBorder="1" applyAlignment="1" applyProtection="1">
      <alignment horizontal="center" vertical="center" wrapText="1"/>
    </xf>
    <xf numFmtId="43" fontId="114" fillId="45" borderId="1" xfId="1" applyFont="1" applyFill="1" applyBorder="1" applyAlignment="1" applyProtection="1">
      <alignment horizontal="center" vertical="center" wrapText="1"/>
    </xf>
    <xf numFmtId="0" fontId="108" fillId="7" borderId="1" xfId="8" applyFont="1" applyFill="1" applyBorder="1" applyAlignment="1" applyProtection="1">
      <alignment horizontal="left" vertical="center" wrapText="1"/>
    </xf>
    <xf numFmtId="0" fontId="115" fillId="7" borderId="1" xfId="8" applyFont="1" applyFill="1" applyBorder="1" applyAlignment="1" applyProtection="1">
      <alignment horizontal="left" vertical="center" wrapText="1"/>
    </xf>
    <xf numFmtId="0" fontId="108" fillId="7" borderId="1" xfId="8" applyFont="1" applyFill="1" applyBorder="1" applyAlignment="1" applyProtection="1">
      <alignment horizontal="center" vertical="center" wrapText="1"/>
    </xf>
    <xf numFmtId="43" fontId="108" fillId="7" borderId="1" xfId="1" applyFont="1" applyFill="1" applyBorder="1" applyAlignment="1" applyProtection="1">
      <alignment horizontal="center" vertical="center" wrapText="1"/>
    </xf>
    <xf numFmtId="0" fontId="113" fillId="31" borderId="1" xfId="0" applyFont="1" applyFill="1" applyBorder="1" applyAlignment="1" applyProtection="1">
      <alignment vertical="center" wrapText="1"/>
    </xf>
    <xf numFmtId="43" fontId="113" fillId="31" borderId="1" xfId="1" applyFont="1" applyFill="1" applyBorder="1" applyAlignment="1" applyProtection="1">
      <alignment horizontal="center" vertical="center" wrapText="1"/>
    </xf>
    <xf numFmtId="0" fontId="101" fillId="2" borderId="1" xfId="4" applyFont="1" applyFill="1" applyBorder="1" applyAlignment="1" applyProtection="1">
      <alignment horizontal="left" vertical="center" wrapText="1"/>
    </xf>
    <xf numFmtId="0" fontId="102" fillId="2" borderId="1" xfId="4" applyFont="1" applyFill="1" applyBorder="1" applyAlignment="1" applyProtection="1">
      <alignment horizontal="left" vertical="center" wrapText="1"/>
    </xf>
    <xf numFmtId="0" fontId="101" fillId="2" borderId="1" xfId="4" applyFont="1" applyFill="1" applyBorder="1" applyAlignment="1" applyProtection="1">
      <alignment horizontal="center" vertical="center" wrapText="1"/>
    </xf>
    <xf numFmtId="43" fontId="101" fillId="2" borderId="1" xfId="1" applyFont="1" applyFill="1" applyBorder="1" applyAlignment="1" applyProtection="1">
      <alignment horizontal="center" vertical="center" wrapText="1"/>
    </xf>
    <xf numFmtId="0" fontId="114" fillId="33" borderId="1" xfId="0" applyFont="1" applyFill="1" applyBorder="1" applyAlignment="1" applyProtection="1">
      <alignment vertical="center" wrapText="1"/>
    </xf>
    <xf numFmtId="43" fontId="114" fillId="33" borderId="1" xfId="1" applyFont="1" applyFill="1" applyBorder="1" applyAlignment="1" applyProtection="1">
      <alignment horizontal="center" vertical="center" wrapText="1"/>
    </xf>
    <xf numFmtId="0" fontId="101" fillId="4" borderId="1" xfId="8" applyFont="1" applyFill="1" applyBorder="1" applyAlignment="1" applyProtection="1">
      <alignment horizontal="left" vertical="center" wrapText="1"/>
    </xf>
    <xf numFmtId="0" fontId="102" fillId="4" borderId="1" xfId="4" applyFont="1" applyFill="1" applyBorder="1" applyAlignment="1" applyProtection="1">
      <alignment horizontal="left" vertical="center" wrapText="1"/>
    </xf>
    <xf numFmtId="0" fontId="101" fillId="4" borderId="1" xfId="4" applyFont="1" applyFill="1" applyBorder="1" applyAlignment="1" applyProtection="1">
      <alignment horizontal="left" vertical="center" wrapText="1"/>
    </xf>
    <xf numFmtId="0" fontId="102" fillId="4" borderId="1" xfId="8" applyFont="1" applyFill="1" applyBorder="1" applyAlignment="1" applyProtection="1">
      <alignment horizontal="center" vertical="center" wrapText="1"/>
    </xf>
    <xf numFmtId="43" fontId="102" fillId="4" borderId="1" xfId="1" applyFont="1" applyFill="1" applyBorder="1" applyAlignment="1" applyProtection="1">
      <alignment horizontal="center" vertical="center" wrapText="1"/>
    </xf>
    <xf numFmtId="43" fontId="101" fillId="4" borderId="1" xfId="1" applyFont="1" applyFill="1" applyBorder="1" applyAlignment="1" applyProtection="1">
      <alignment horizontal="center" vertical="center" wrapText="1"/>
    </xf>
    <xf numFmtId="0" fontId="114" fillId="46" borderId="1" xfId="0" applyFont="1" applyFill="1" applyBorder="1" applyAlignment="1" applyProtection="1">
      <alignment vertical="center" wrapText="1"/>
    </xf>
    <xf numFmtId="43" fontId="114" fillId="46" borderId="1" xfId="1" applyFont="1" applyFill="1" applyBorder="1" applyAlignment="1" applyProtection="1">
      <alignment horizontal="center" vertical="center" wrapText="1"/>
    </xf>
    <xf numFmtId="0" fontId="106" fillId="0" borderId="1" xfId="8" applyFont="1" applyFill="1" applyBorder="1" applyAlignment="1" applyProtection="1">
      <alignment horizontal="left" vertical="center" wrapText="1"/>
    </xf>
    <xf numFmtId="0" fontId="102" fillId="0" borderId="1" xfId="4" applyFont="1" applyBorder="1" applyAlignment="1" applyProtection="1">
      <alignment horizontal="left" vertical="center" wrapText="1"/>
    </xf>
    <xf numFmtId="0" fontId="106" fillId="0" borderId="1" xfId="8" applyFont="1" applyBorder="1" applyAlignment="1" applyProtection="1">
      <alignment horizontal="center" vertical="center" wrapText="1"/>
    </xf>
    <xf numFmtId="43" fontId="106" fillId="0" borderId="1" xfId="1" applyFont="1" applyBorder="1" applyAlignment="1" applyProtection="1">
      <alignment horizontal="center" vertical="center" wrapText="1"/>
    </xf>
    <xf numFmtId="0" fontId="106" fillId="0" borderId="1" xfId="8" applyFont="1" applyBorder="1" applyAlignment="1" applyProtection="1">
      <alignment horizontal="center" vertical="center" wrapText="1"/>
      <protection locked="0"/>
    </xf>
    <xf numFmtId="0" fontId="116" fillId="47" borderId="1" xfId="0" applyFont="1" applyFill="1" applyBorder="1" applyAlignment="1" applyProtection="1">
      <alignment vertical="center" wrapText="1"/>
      <protection locked="0"/>
    </xf>
    <xf numFmtId="43" fontId="116" fillId="47" borderId="1" xfId="1" applyFont="1" applyFill="1" applyBorder="1" applyAlignment="1" applyProtection="1">
      <alignment horizontal="center" vertical="center" wrapText="1"/>
      <protection locked="0"/>
    </xf>
    <xf numFmtId="0" fontId="102" fillId="4" borderId="1" xfId="8" applyFont="1" applyFill="1" applyBorder="1" applyAlignment="1" applyProtection="1">
      <alignment horizontal="center" vertical="center" wrapText="1"/>
      <protection locked="0"/>
    </xf>
    <xf numFmtId="0" fontId="106" fillId="0" borderId="1" xfId="8" applyFont="1" applyBorder="1" applyAlignment="1" applyProtection="1">
      <alignment horizontal="left" vertical="center" wrapText="1"/>
    </xf>
    <xf numFmtId="167" fontId="103" fillId="0" borderId="1" xfId="8" applyNumberFormat="1" applyFont="1" applyBorder="1" applyAlignment="1" applyProtection="1">
      <alignment horizontal="center" vertical="center" wrapText="1"/>
      <protection locked="0"/>
    </xf>
    <xf numFmtId="1" fontId="103" fillId="0" borderId="1" xfId="6" applyNumberFormat="1" applyFont="1" applyBorder="1" applyAlignment="1" applyProtection="1">
      <alignment horizontal="center" vertical="center"/>
      <protection locked="0"/>
    </xf>
    <xf numFmtId="0" fontId="102" fillId="0" borderId="1" xfId="8" applyFont="1" applyFill="1" applyBorder="1" applyAlignment="1" applyProtection="1">
      <alignment horizontal="left" vertical="center" wrapText="1"/>
    </xf>
    <xf numFmtId="0" fontId="106" fillId="0" borderId="1" xfId="4" applyFont="1" applyBorder="1" applyAlignment="1" applyProtection="1">
      <alignment horizontal="left" vertical="center" wrapText="1"/>
    </xf>
    <xf numFmtId="0" fontId="102" fillId="0" borderId="1" xfId="8" applyFont="1" applyBorder="1" applyAlignment="1" applyProtection="1">
      <alignment horizontal="center" vertical="center" wrapText="1"/>
    </xf>
    <xf numFmtId="0" fontId="102" fillId="0" borderId="1" xfId="0" applyFont="1" applyBorder="1" applyAlignment="1" applyProtection="1">
      <alignment vertical="center" wrapText="1"/>
    </xf>
    <xf numFmtId="43" fontId="102" fillId="0" borderId="1" xfId="1" applyFont="1" applyBorder="1" applyAlignment="1" applyProtection="1">
      <alignment horizontal="center" vertical="center" wrapText="1"/>
    </xf>
    <xf numFmtId="0" fontId="102" fillId="0" borderId="1" xfId="4" applyFont="1" applyFill="1" applyBorder="1" applyAlignment="1" applyProtection="1">
      <alignment horizontal="left" vertical="center" wrapText="1"/>
    </xf>
    <xf numFmtId="0" fontId="101" fillId="2" borderId="1" xfId="4" applyFont="1" applyFill="1" applyBorder="1" applyAlignment="1" applyProtection="1">
      <alignment horizontal="center" vertical="center" wrapText="1"/>
      <protection locked="0"/>
    </xf>
    <xf numFmtId="0" fontId="102" fillId="0" borderId="1" xfId="8" applyFont="1" applyBorder="1" applyAlignment="1" applyProtection="1">
      <alignment horizontal="left" vertical="center" wrapText="1"/>
    </xf>
    <xf numFmtId="0" fontId="101" fillId="29" borderId="1" xfId="8" applyFont="1" applyFill="1" applyBorder="1" applyAlignment="1" applyProtection="1">
      <alignment horizontal="center" vertical="center" wrapText="1"/>
    </xf>
    <xf numFmtId="43" fontId="102" fillId="0" borderId="1" xfId="1" applyFont="1" applyBorder="1" applyAlignment="1" applyProtection="1">
      <alignment vertical="center" wrapText="1"/>
    </xf>
    <xf numFmtId="0" fontId="102" fillId="0" borderId="1" xfId="40" applyFont="1" applyBorder="1" applyAlignment="1" applyProtection="1">
      <alignment horizontal="center" vertical="center" wrapText="1"/>
    </xf>
    <xf numFmtId="0" fontId="101" fillId="10" borderId="1" xfId="8" applyFont="1" applyFill="1" applyBorder="1" applyAlignment="1" applyProtection="1">
      <alignment horizontal="center" vertical="center" wrapText="1"/>
    </xf>
    <xf numFmtId="0" fontId="101" fillId="4" borderId="1" xfId="8" applyFont="1" applyFill="1" applyBorder="1" applyAlignment="1" applyProtection="1">
      <alignment horizontal="center" vertical="center" wrapText="1"/>
    </xf>
    <xf numFmtId="0" fontId="101" fillId="4" borderId="1" xfId="8" applyFont="1" applyFill="1" applyBorder="1" applyAlignment="1" applyProtection="1">
      <alignment horizontal="center" vertical="center" wrapText="1"/>
      <protection locked="0"/>
    </xf>
    <xf numFmtId="0" fontId="101" fillId="6" borderId="1" xfId="8" applyFont="1" applyFill="1" applyBorder="1" applyAlignment="1" applyProtection="1">
      <alignment horizontal="left" vertical="center" wrapText="1"/>
    </xf>
    <xf numFmtId="0" fontId="101" fillId="6" borderId="1" xfId="8" applyFont="1" applyFill="1" applyBorder="1" applyAlignment="1" applyProtection="1">
      <alignment horizontal="center" vertical="center" wrapText="1"/>
    </xf>
    <xf numFmtId="0" fontId="101" fillId="6" borderId="1" xfId="8" applyFont="1" applyFill="1" applyBorder="1" applyAlignment="1" applyProtection="1">
      <alignment horizontal="center" vertical="center" wrapText="1"/>
      <protection locked="0"/>
    </xf>
    <xf numFmtId="43" fontId="101" fillId="6" borderId="1" xfId="1" applyFont="1" applyFill="1" applyBorder="1" applyAlignment="1" applyProtection="1">
      <alignment horizontal="center" vertical="center" wrapText="1"/>
    </xf>
    <xf numFmtId="0" fontId="114" fillId="42" borderId="1" xfId="0" applyFont="1" applyFill="1" applyBorder="1" applyAlignment="1" applyProtection="1">
      <alignment vertical="center" wrapText="1"/>
    </xf>
    <xf numFmtId="43" fontId="114" fillId="42" borderId="1" xfId="1" applyFont="1" applyFill="1" applyBorder="1" applyAlignment="1" applyProtection="1">
      <alignment horizontal="center" vertical="center" wrapText="1"/>
    </xf>
    <xf numFmtId="0" fontId="110" fillId="0" borderId="0" xfId="8" applyFont="1" applyAlignment="1" applyProtection="1">
      <alignment vertical="center" wrapText="1"/>
    </xf>
    <xf numFmtId="49" fontId="102" fillId="0" borderId="1" xfId="4" applyNumberFormat="1" applyFont="1" applyBorder="1" applyAlignment="1" applyProtection="1">
      <alignment horizontal="left" vertical="center" wrapText="1"/>
    </xf>
    <xf numFmtId="0" fontId="102" fillId="0" borderId="1" xfId="40" applyFont="1" applyFill="1" applyBorder="1" applyAlignment="1" applyProtection="1">
      <alignment horizontal="center" vertical="center" wrapText="1"/>
    </xf>
    <xf numFmtId="0" fontId="103" fillId="0" borderId="1" xfId="8" applyFont="1" applyFill="1" applyBorder="1" applyAlignment="1" applyProtection="1">
      <alignment horizontal="center" vertical="center" wrapText="1"/>
      <protection locked="0"/>
    </xf>
    <xf numFmtId="0" fontId="106" fillId="0" borderId="0" xfId="8" applyFont="1" applyFill="1" applyAlignment="1" applyProtection="1">
      <alignment vertical="center" wrapText="1"/>
    </xf>
    <xf numFmtId="0" fontId="106" fillId="0" borderId="1" xfId="0" applyFont="1" applyFill="1" applyBorder="1" applyAlignment="1" applyProtection="1">
      <alignment horizontal="center" vertical="center" wrapText="1"/>
    </xf>
    <xf numFmtId="0" fontId="116" fillId="0" borderId="1" xfId="0" applyFont="1" applyBorder="1" applyAlignment="1" applyProtection="1">
      <alignment vertical="center" wrapText="1"/>
    </xf>
    <xf numFmtId="43" fontId="116" fillId="0" borderId="1" xfId="1" applyFont="1" applyBorder="1" applyAlignment="1" applyProtection="1">
      <alignment horizontal="center" vertical="center" wrapText="1"/>
    </xf>
    <xf numFmtId="0" fontId="115" fillId="14" borderId="1" xfId="8" applyFont="1" applyFill="1" applyBorder="1" applyAlignment="1" applyProtection="1">
      <alignment horizontal="center" vertical="center" wrapText="1"/>
      <protection locked="0"/>
    </xf>
    <xf numFmtId="43" fontId="115" fillId="14" borderId="1" xfId="1" applyFont="1" applyFill="1" applyBorder="1" applyAlignment="1" applyProtection="1">
      <alignment horizontal="center" vertical="center" wrapText="1"/>
    </xf>
    <xf numFmtId="0" fontId="118" fillId="48" borderId="1" xfId="0" applyFont="1" applyFill="1" applyBorder="1" applyAlignment="1" applyProtection="1">
      <alignment vertical="center" wrapText="1"/>
    </xf>
    <xf numFmtId="43" fontId="118" fillId="48" borderId="1" xfId="1" applyFont="1" applyFill="1" applyBorder="1" applyAlignment="1" applyProtection="1">
      <alignment horizontal="center" vertical="center" wrapText="1"/>
    </xf>
    <xf numFmtId="0" fontId="102" fillId="0" borderId="1" xfId="8" applyFont="1" applyFill="1" applyBorder="1" applyAlignment="1" applyProtection="1">
      <alignment horizontal="center" vertical="center" wrapText="1"/>
    </xf>
    <xf numFmtId="0" fontId="106" fillId="0" borderId="1" xfId="0" applyFont="1" applyFill="1" applyBorder="1" applyAlignment="1" applyProtection="1">
      <alignment horizontal="left" vertical="center" wrapText="1"/>
    </xf>
    <xf numFmtId="0" fontId="102" fillId="11" borderId="1" xfId="8" applyFont="1" applyFill="1" applyBorder="1" applyAlignment="1" applyProtection="1">
      <alignment horizontal="left" vertical="center" wrapText="1"/>
    </xf>
    <xf numFmtId="0" fontId="101" fillId="0" borderId="1" xfId="8" applyFont="1" applyFill="1" applyBorder="1" applyAlignment="1" applyProtection="1">
      <alignment horizontal="left" vertical="center" wrapText="1"/>
    </xf>
    <xf numFmtId="0" fontId="101" fillId="0" borderId="1" xfId="8" applyFont="1" applyFill="1" applyBorder="1" applyAlignment="1" applyProtection="1">
      <alignment horizontal="center" vertical="center" wrapText="1"/>
      <protection locked="0"/>
    </xf>
    <xf numFmtId="43" fontId="106" fillId="0" borderId="1" xfId="1" applyFont="1" applyFill="1" applyBorder="1" applyAlignment="1" applyProtection="1">
      <alignment horizontal="center" vertical="center" wrapText="1"/>
    </xf>
    <xf numFmtId="0" fontId="106" fillId="0" borderId="0" xfId="8" applyFont="1" applyAlignment="1" applyProtection="1">
      <alignment horizontal="left" vertical="center" wrapText="1"/>
    </xf>
    <xf numFmtId="0" fontId="102" fillId="0" borderId="0" xfId="0" applyFont="1" applyAlignment="1" applyProtection="1">
      <alignment horizontal="left" vertical="center" wrapText="1"/>
    </xf>
    <xf numFmtId="43" fontId="106" fillId="0" borderId="0" xfId="1" applyFont="1" applyAlignment="1" applyProtection="1">
      <alignment horizontal="center" vertical="center" wrapText="1"/>
    </xf>
    <xf numFmtId="0" fontId="103" fillId="0" borderId="1" xfId="0" applyFont="1" applyBorder="1" applyAlignment="1" applyProtection="1">
      <alignment horizontal="right" vertical="center" wrapText="1"/>
      <protection locked="0"/>
    </xf>
    <xf numFmtId="0" fontId="103" fillId="0" borderId="1" xfId="38" applyFont="1" applyBorder="1" applyAlignment="1" applyProtection="1">
      <alignment horizontal="right" vertical="center" wrapText="1"/>
      <protection locked="0"/>
    </xf>
    <xf numFmtId="2" fontId="102" fillId="0" borderId="1" xfId="8" applyNumberFormat="1" applyFont="1" applyFill="1" applyBorder="1" applyAlignment="1" applyProtection="1">
      <alignment horizontal="right" vertical="center" wrapText="1"/>
      <protection locked="0"/>
    </xf>
    <xf numFmtId="2" fontId="117" fillId="0" borderId="1" xfId="8" applyNumberFormat="1" applyFont="1" applyBorder="1" applyAlignment="1" applyProtection="1">
      <alignment horizontal="right" vertical="center" wrapText="1"/>
      <protection locked="0"/>
    </xf>
    <xf numFmtId="0" fontId="106" fillId="0" borderId="1" xfId="8" applyFont="1" applyFill="1" applyBorder="1" applyAlignment="1" applyProtection="1">
      <alignment horizontal="right" vertical="center" wrapText="1"/>
      <protection locked="0"/>
    </xf>
    <xf numFmtId="167" fontId="103" fillId="0" borderId="1" xfId="8" applyNumberFormat="1" applyFont="1" applyFill="1" applyBorder="1" applyAlignment="1" applyProtection="1">
      <alignment horizontal="right" vertical="center" wrapText="1"/>
      <protection locked="0"/>
    </xf>
    <xf numFmtId="0" fontId="103" fillId="0" borderId="1" xfId="8" applyFont="1" applyFill="1" applyBorder="1" applyAlignment="1" applyProtection="1">
      <alignment horizontal="right" vertical="center" wrapText="1"/>
      <protection locked="0"/>
    </xf>
    <xf numFmtId="0" fontId="119" fillId="0" borderId="1" xfId="8" applyFont="1" applyBorder="1" applyAlignment="1" applyProtection="1">
      <alignment horizontal="right" vertical="center" wrapText="1"/>
      <protection locked="0"/>
    </xf>
    <xf numFmtId="0" fontId="119" fillId="0" borderId="1" xfId="8" applyFont="1" applyBorder="1" applyAlignment="1" applyProtection="1">
      <alignment vertical="center" wrapText="1"/>
      <protection locked="0"/>
    </xf>
    <xf numFmtId="0" fontId="119" fillId="0" borderId="1" xfId="8" applyFont="1" applyFill="1" applyBorder="1" applyAlignment="1" applyProtection="1">
      <alignment horizontal="right" vertical="center" wrapText="1"/>
      <protection locked="0"/>
    </xf>
    <xf numFmtId="0" fontId="102" fillId="0" borderId="1" xfId="8" applyFont="1" applyFill="1" applyBorder="1" applyAlignment="1" applyProtection="1">
      <alignment vertical="center" wrapText="1"/>
      <protection locked="0"/>
    </xf>
    <xf numFmtId="0" fontId="102" fillId="0" borderId="1" xfId="8" applyFont="1" applyFill="1" applyBorder="1" applyAlignment="1" applyProtection="1">
      <alignment horizontal="left" vertical="center" wrapText="1"/>
      <protection locked="0"/>
    </xf>
    <xf numFmtId="0" fontId="106" fillId="14" borderId="1" xfId="8" applyFont="1" applyFill="1" applyBorder="1" applyAlignment="1" applyProtection="1">
      <alignment horizontal="right" vertical="center" wrapText="1"/>
      <protection locked="0"/>
    </xf>
    <xf numFmtId="0" fontId="102" fillId="14" borderId="1" xfId="8" applyFont="1" applyFill="1" applyBorder="1" applyAlignment="1" applyProtection="1">
      <alignment vertical="center" wrapText="1"/>
      <protection locked="0"/>
    </xf>
    <xf numFmtId="0" fontId="102" fillId="14" borderId="1" xfId="8" applyFont="1" applyFill="1" applyBorder="1" applyAlignment="1" applyProtection="1">
      <alignment horizontal="right" vertical="center" wrapText="1"/>
      <protection locked="0"/>
    </xf>
    <xf numFmtId="2" fontId="102" fillId="0" borderId="1" xfId="8" applyNumberFormat="1" applyFont="1" applyBorder="1" applyAlignment="1" applyProtection="1">
      <alignment horizontal="right" vertical="center" wrapText="1"/>
      <protection locked="0"/>
    </xf>
    <xf numFmtId="170" fontId="102" fillId="0" borderId="1" xfId="1" applyNumberFormat="1" applyFont="1" applyBorder="1" applyAlignment="1" applyProtection="1">
      <alignment horizontal="right" vertical="center" wrapText="1"/>
      <protection locked="0"/>
    </xf>
    <xf numFmtId="167" fontId="102" fillId="11" borderId="1" xfId="8" applyNumberFormat="1" applyFont="1" applyFill="1" applyBorder="1" applyAlignment="1" applyProtection="1">
      <alignment horizontal="right" vertical="center" wrapText="1"/>
      <protection locked="0"/>
    </xf>
    <xf numFmtId="0" fontId="102" fillId="0" borderId="1" xfId="4" applyFont="1" applyBorder="1" applyAlignment="1" applyProtection="1">
      <alignment horizontal="right" vertical="center" wrapText="1"/>
      <protection locked="0"/>
    </xf>
    <xf numFmtId="1" fontId="102" fillId="0" borderId="1" xfId="4" applyNumberFormat="1" applyFont="1" applyBorder="1" applyAlignment="1" applyProtection="1">
      <alignment horizontal="right" vertical="center" wrapText="1"/>
      <protection locked="0"/>
    </xf>
    <xf numFmtId="0" fontId="102" fillId="11" borderId="1" xfId="8" applyFont="1" applyFill="1" applyBorder="1" applyAlignment="1" applyProtection="1">
      <alignment horizontal="right" vertical="center" wrapText="1"/>
      <protection locked="0"/>
    </xf>
    <xf numFmtId="0" fontId="119" fillId="0" borderId="1" xfId="8" applyFont="1" applyFill="1" applyBorder="1" applyAlignment="1" applyProtection="1">
      <alignment vertical="center" wrapText="1"/>
      <protection locked="0"/>
    </xf>
    <xf numFmtId="0" fontId="102" fillId="0" borderId="1" xfId="11" applyFont="1" applyBorder="1" applyAlignment="1" applyProtection="1">
      <alignment horizontal="right" vertical="center" wrapText="1"/>
      <protection locked="0"/>
    </xf>
    <xf numFmtId="0" fontId="102" fillId="0" borderId="1" xfId="11" applyFont="1" applyBorder="1" applyAlignment="1" applyProtection="1">
      <alignment horizontal="center" vertical="center" wrapText="1"/>
      <protection locked="0"/>
    </xf>
    <xf numFmtId="2" fontId="102" fillId="0" borderId="1" xfId="11" applyNumberFormat="1" applyFont="1" applyBorder="1" applyAlignment="1" applyProtection="1">
      <alignment horizontal="right" vertical="center" wrapText="1"/>
      <protection locked="0"/>
    </xf>
    <xf numFmtId="0" fontId="102" fillId="0" borderId="1" xfId="11" applyFont="1" applyFill="1" applyBorder="1" applyAlignment="1" applyProtection="1">
      <alignment horizontal="right" vertical="center" wrapText="1"/>
      <protection locked="0"/>
    </xf>
    <xf numFmtId="0" fontId="102" fillId="0" borderId="1" xfId="11" applyFont="1" applyBorder="1" applyAlignment="1" applyProtection="1">
      <alignment vertical="center" wrapText="1"/>
      <protection locked="0"/>
    </xf>
    <xf numFmtId="0" fontId="103" fillId="0" borderId="1" xfId="0" applyFont="1" applyBorder="1" applyAlignment="1" applyProtection="1">
      <alignment horizontal="center" vertical="center"/>
      <protection locked="0"/>
    </xf>
    <xf numFmtId="0" fontId="117" fillId="0" borderId="1" xfId="8" applyFont="1" applyBorder="1" applyAlignment="1" applyProtection="1">
      <alignment horizontal="right" vertical="center" wrapText="1"/>
      <protection locked="0"/>
    </xf>
    <xf numFmtId="0" fontId="119" fillId="0" borderId="1" xfId="9" applyFont="1" applyBorder="1" applyAlignment="1" applyProtection="1">
      <alignment horizontal="right" vertical="center" wrapText="1"/>
      <protection locked="0"/>
    </xf>
    <xf numFmtId="0" fontId="101" fillId="0" borderId="1" xfId="8" applyFont="1" applyBorder="1" applyAlignment="1" applyProtection="1">
      <alignment horizontal="center" vertical="center" wrapText="1"/>
      <protection locked="0"/>
    </xf>
    <xf numFmtId="0" fontId="101" fillId="0" borderId="1" xfId="8" applyFont="1" applyFill="1" applyBorder="1" applyAlignment="1" applyProtection="1">
      <alignment horizontal="right" vertical="center" wrapText="1"/>
      <protection locked="0"/>
    </xf>
    <xf numFmtId="0" fontId="117" fillId="0" borderId="1" xfId="8" applyFont="1" applyBorder="1" applyAlignment="1" applyProtection="1">
      <alignment horizontal="center" vertical="center" wrapText="1"/>
      <protection locked="0"/>
    </xf>
    <xf numFmtId="0" fontId="102" fillId="0" borderId="1" xfId="8" applyFont="1" applyBorder="1" applyAlignment="1" applyProtection="1">
      <alignment horizontal="right" vertical="center"/>
      <protection locked="0"/>
    </xf>
    <xf numFmtId="0" fontId="102" fillId="0" borderId="1" xfId="11" applyFont="1" applyFill="1" applyBorder="1" applyAlignment="1" applyProtection="1">
      <alignment vertical="center"/>
      <protection locked="0"/>
    </xf>
    <xf numFmtId="2" fontId="102" fillId="0" borderId="1" xfId="11" applyNumberFormat="1" applyFont="1" applyFill="1" applyBorder="1" applyAlignment="1" applyProtection="1">
      <alignment vertical="center"/>
      <protection locked="0"/>
    </xf>
    <xf numFmtId="0" fontId="102" fillId="0" borderId="1" xfId="11" applyFont="1" applyBorder="1" applyAlignment="1" applyProtection="1">
      <alignment vertical="center"/>
      <protection locked="0"/>
    </xf>
    <xf numFmtId="0" fontId="101" fillId="0" borderId="1" xfId="11" applyFont="1" applyBorder="1" applyAlignment="1" applyProtection="1">
      <alignment vertical="center"/>
      <protection locked="0"/>
    </xf>
    <xf numFmtId="0" fontId="102" fillId="52" borderId="1" xfId="11" applyFont="1" applyFill="1" applyBorder="1" applyAlignment="1" applyProtection="1">
      <alignment vertical="center"/>
      <protection locked="0"/>
    </xf>
    <xf numFmtId="0" fontId="102" fillId="52" borderId="1" xfId="11" applyFont="1" applyFill="1" applyBorder="1" applyAlignment="1" applyProtection="1">
      <alignment vertical="center" wrapText="1"/>
      <protection locked="0"/>
    </xf>
    <xf numFmtId="0" fontId="106" fillId="0" borderId="1" xfId="9" applyFont="1" applyBorder="1" applyAlignment="1" applyProtection="1">
      <alignment vertical="top" wrapText="1"/>
      <protection locked="0"/>
    </xf>
    <xf numFmtId="1" fontId="103" fillId="0" borderId="1" xfId="0" applyNumberFormat="1" applyFont="1" applyBorder="1" applyAlignment="1" applyProtection="1">
      <alignment horizontal="center" vertical="top"/>
      <protection locked="0"/>
    </xf>
    <xf numFmtId="167" fontId="102" fillId="0" borderId="1" xfId="9" applyNumberFormat="1" applyFont="1" applyBorder="1" applyAlignment="1" applyProtection="1">
      <alignment horizontal="right" vertical="top" wrapText="1"/>
      <protection locked="0"/>
    </xf>
    <xf numFmtId="167" fontId="102" fillId="0" borderId="1" xfId="9" applyNumberFormat="1" applyFont="1" applyFill="1" applyBorder="1" applyAlignment="1" applyProtection="1">
      <alignment horizontal="right" vertical="top" wrapText="1"/>
      <protection locked="0"/>
    </xf>
    <xf numFmtId="2" fontId="117" fillId="0" borderId="1" xfId="9" applyNumberFormat="1" applyFont="1" applyBorder="1" applyAlignment="1" applyProtection="1">
      <alignment vertical="top" wrapText="1"/>
      <protection locked="0"/>
    </xf>
    <xf numFmtId="0" fontId="102" fillId="0" borderId="1" xfId="8" applyFont="1" applyBorder="1" applyAlignment="1" applyProtection="1">
      <alignment vertical="top" wrapText="1"/>
      <protection locked="0"/>
    </xf>
    <xf numFmtId="0" fontId="119" fillId="0" borderId="1" xfId="9" applyFont="1" applyBorder="1" applyAlignment="1" applyProtection="1">
      <alignment vertical="top" wrapText="1"/>
      <protection locked="0"/>
    </xf>
    <xf numFmtId="1" fontId="119" fillId="0" borderId="1" xfId="0" applyNumberFormat="1" applyFont="1" applyBorder="1" applyAlignment="1" applyProtection="1">
      <alignment horizontal="center" vertical="top"/>
      <protection locked="0"/>
    </xf>
    <xf numFmtId="167" fontId="119" fillId="0" borderId="1" xfId="9" applyNumberFormat="1" applyFont="1" applyBorder="1" applyAlignment="1" applyProtection="1">
      <alignment horizontal="right" vertical="top" wrapText="1"/>
      <protection locked="0"/>
    </xf>
    <xf numFmtId="0" fontId="120" fillId="0" borderId="1" xfId="9" applyFont="1" applyBorder="1" applyAlignment="1" applyProtection="1">
      <alignment vertical="top" wrapText="1"/>
      <protection locked="0"/>
    </xf>
    <xf numFmtId="167" fontId="103" fillId="0" borderId="1" xfId="9" applyNumberFormat="1" applyFont="1" applyBorder="1" applyAlignment="1" applyProtection="1">
      <alignment horizontal="right" vertical="top" wrapText="1"/>
      <protection locked="0"/>
    </xf>
    <xf numFmtId="0" fontId="117" fillId="0" borderId="1" xfId="9" applyFont="1" applyBorder="1" applyAlignment="1" applyProtection="1">
      <alignment vertical="top" wrapText="1"/>
      <protection locked="0"/>
    </xf>
    <xf numFmtId="0" fontId="102" fillId="0" borderId="1" xfId="9" applyFont="1" applyBorder="1" applyAlignment="1" applyProtection="1">
      <alignment vertical="top" wrapText="1"/>
      <protection locked="0"/>
    </xf>
    <xf numFmtId="0" fontId="103" fillId="0" borderId="1" xfId="9" applyFont="1" applyBorder="1" applyAlignment="1" applyProtection="1">
      <alignment horizontal="center" vertical="top" wrapText="1"/>
      <protection locked="0"/>
    </xf>
    <xf numFmtId="0" fontId="103" fillId="0" borderId="1" xfId="9" applyFont="1" applyBorder="1" applyAlignment="1" applyProtection="1">
      <alignment vertical="top" wrapText="1"/>
      <protection locked="0"/>
    </xf>
    <xf numFmtId="0" fontId="102" fillId="0" borderId="1" xfId="9" applyFont="1" applyFill="1" applyBorder="1" applyAlignment="1" applyProtection="1">
      <alignment vertical="top" wrapText="1"/>
      <protection locked="0"/>
    </xf>
    <xf numFmtId="0" fontId="102" fillId="52" borderId="1" xfId="9" applyFont="1" applyFill="1" applyBorder="1" applyAlignment="1" applyProtection="1">
      <alignment horizontal="left" vertical="top" wrapText="1"/>
      <protection locked="0"/>
    </xf>
    <xf numFmtId="0" fontId="102" fillId="0" borderId="1" xfId="8" applyFont="1" applyFill="1" applyBorder="1" applyAlignment="1" applyProtection="1">
      <alignment vertical="top" wrapText="1"/>
      <protection locked="0"/>
    </xf>
    <xf numFmtId="2" fontId="102" fillId="0" borderId="1" xfId="8" applyNumberFormat="1" applyFont="1" applyFill="1" applyBorder="1" applyAlignment="1" applyProtection="1">
      <alignment horizontal="right" vertical="top" wrapText="1"/>
      <protection locked="0"/>
    </xf>
    <xf numFmtId="0" fontId="120" fillId="11" borderId="1" xfId="8" applyFont="1" applyFill="1" applyBorder="1" applyAlignment="1" applyProtection="1">
      <alignment vertical="top" wrapText="1"/>
      <protection locked="0"/>
    </xf>
    <xf numFmtId="0" fontId="101" fillId="11" borderId="1" xfId="9" applyFont="1" applyFill="1" applyBorder="1" applyAlignment="1" applyProtection="1">
      <alignment vertical="top" wrapText="1"/>
      <protection locked="0"/>
    </xf>
    <xf numFmtId="0" fontId="119" fillId="0" borderId="1" xfId="9" applyFont="1" applyFill="1" applyBorder="1" applyAlignment="1" applyProtection="1">
      <alignment vertical="top" wrapText="1"/>
      <protection locked="0"/>
    </xf>
    <xf numFmtId="0" fontId="106" fillId="0" borderId="1" xfId="9" applyFont="1" applyFill="1" applyBorder="1" applyAlignment="1" applyProtection="1">
      <alignment vertical="top" wrapText="1"/>
      <protection locked="0"/>
    </xf>
    <xf numFmtId="0" fontId="102" fillId="0" borderId="1" xfId="38" applyFont="1" applyBorder="1" applyAlignment="1" applyProtection="1">
      <alignment horizontal="center" vertical="top" wrapText="1"/>
      <protection locked="0"/>
    </xf>
    <xf numFmtId="0" fontId="103" fillId="0" borderId="1" xfId="38" applyFont="1" applyBorder="1" applyAlignment="1" applyProtection="1">
      <alignment horizontal="center" vertical="top" wrapText="1"/>
      <protection locked="0"/>
    </xf>
    <xf numFmtId="1" fontId="102" fillId="0" borderId="1" xfId="8" applyNumberFormat="1" applyFont="1" applyBorder="1" applyAlignment="1" applyProtection="1">
      <alignment vertical="top" wrapText="1"/>
      <protection locked="0"/>
    </xf>
    <xf numFmtId="0" fontId="102" fillId="0" borderId="1" xfId="9" applyFont="1" applyBorder="1" applyAlignment="1" applyProtection="1">
      <alignment horizontal="left" vertical="top" wrapText="1"/>
      <protection locked="0"/>
    </xf>
    <xf numFmtId="0" fontId="102" fillId="0" borderId="1" xfId="9" applyFont="1" applyBorder="1" applyAlignment="1" applyProtection="1">
      <alignment horizontal="center" vertical="top" wrapText="1"/>
      <protection locked="0"/>
    </xf>
    <xf numFmtId="167" fontId="120" fillId="11" borderId="1" xfId="9" applyNumberFormat="1" applyFont="1" applyFill="1" applyBorder="1" applyAlignment="1" applyProtection="1">
      <alignment horizontal="right" vertical="top" wrapText="1"/>
      <protection locked="0"/>
    </xf>
    <xf numFmtId="0" fontId="103" fillId="0" borderId="1" xfId="4" applyFont="1" applyBorder="1" applyAlignment="1" applyProtection="1">
      <alignment horizontal="center" vertical="top" wrapText="1"/>
      <protection locked="0"/>
    </xf>
    <xf numFmtId="0" fontId="103" fillId="0" borderId="1" xfId="4" applyFont="1" applyBorder="1" applyAlignment="1" applyProtection="1">
      <alignment vertical="top" wrapText="1"/>
      <protection locked="0"/>
    </xf>
    <xf numFmtId="0" fontId="102" fillId="0" borderId="1" xfId="4" applyFont="1" applyBorder="1" applyAlignment="1" applyProtection="1">
      <alignment vertical="top" wrapText="1"/>
      <protection locked="0"/>
    </xf>
    <xf numFmtId="0" fontId="106" fillId="0" borderId="1" xfId="4" applyFont="1" applyBorder="1" applyAlignment="1" applyProtection="1">
      <alignment vertical="top" wrapText="1"/>
      <protection locked="0"/>
    </xf>
    <xf numFmtId="2" fontId="120" fillId="0" borderId="1" xfId="9" applyNumberFormat="1" applyFont="1" applyBorder="1" applyAlignment="1" applyProtection="1">
      <alignment vertical="top" wrapText="1"/>
      <protection locked="0"/>
    </xf>
    <xf numFmtId="0" fontId="119" fillId="0" borderId="1" xfId="8" applyFont="1" applyBorder="1" applyAlignment="1" applyProtection="1">
      <alignment vertical="top" wrapText="1"/>
      <protection locked="0"/>
    </xf>
    <xf numFmtId="1" fontId="102" fillId="0" borderId="1" xfId="0" applyNumberFormat="1" applyFont="1" applyBorder="1" applyAlignment="1" applyProtection="1">
      <alignment horizontal="center" vertical="top"/>
      <protection locked="0"/>
    </xf>
    <xf numFmtId="167" fontId="101" fillId="11" borderId="1" xfId="9" applyNumberFormat="1" applyFont="1" applyFill="1" applyBorder="1" applyAlignment="1" applyProtection="1">
      <alignment horizontal="right" vertical="top" wrapText="1"/>
      <protection locked="0"/>
    </xf>
    <xf numFmtId="2" fontId="103" fillId="0" borderId="1" xfId="9" applyNumberFormat="1" applyFont="1" applyBorder="1" applyAlignment="1" applyProtection="1">
      <alignment horizontal="right" vertical="top" wrapText="1"/>
      <protection locked="0"/>
    </xf>
    <xf numFmtId="43" fontId="102" fillId="0" borderId="1" xfId="1" applyFont="1" applyFill="1" applyBorder="1" applyAlignment="1" applyProtection="1">
      <alignment vertical="top" wrapText="1"/>
      <protection locked="0"/>
    </xf>
    <xf numFmtId="0" fontId="101" fillId="0" borderId="1" xfId="9" applyFont="1" applyBorder="1" applyAlignment="1" applyProtection="1">
      <alignment vertical="top" wrapText="1"/>
      <protection locked="0"/>
    </xf>
    <xf numFmtId="0" fontId="106" fillId="0" borderId="1" xfId="87" applyFont="1" applyBorder="1" applyAlignment="1" applyProtection="1">
      <alignment vertical="top"/>
      <protection locked="0"/>
    </xf>
    <xf numFmtId="0" fontId="110" fillId="0" borderId="1" xfId="0" applyFont="1" applyBorder="1" applyAlignment="1" applyProtection="1">
      <alignment vertical="top" wrapText="1"/>
      <protection locked="0"/>
    </xf>
    <xf numFmtId="0" fontId="102" fillId="0" borderId="1" xfId="0" applyFont="1" applyBorder="1" applyAlignment="1" applyProtection="1">
      <alignment vertical="top" wrapText="1"/>
      <protection locked="0"/>
    </xf>
    <xf numFmtId="0" fontId="101" fillId="0" borderId="1" xfId="0" applyFont="1" applyBorder="1" applyAlignment="1" applyProtection="1">
      <alignment vertical="top" wrapText="1"/>
      <protection locked="0"/>
    </xf>
    <xf numFmtId="0" fontId="102" fillId="0" borderId="1" xfId="87" applyFont="1" applyBorder="1" applyAlignment="1" applyProtection="1">
      <alignment horizontal="left" vertical="top" wrapText="1"/>
      <protection locked="0"/>
    </xf>
    <xf numFmtId="0" fontId="102" fillId="2" borderId="1" xfId="109" applyFont="1" applyFill="1" applyBorder="1" applyAlignment="1" applyProtection="1">
      <alignment vertical="top" wrapText="1"/>
      <protection locked="0"/>
    </xf>
    <xf numFmtId="0" fontId="101" fillId="0" borderId="1" xfId="109" applyFont="1" applyFill="1" applyBorder="1" applyAlignment="1" applyProtection="1">
      <alignment vertical="top" wrapText="1"/>
      <protection locked="0"/>
    </xf>
    <xf numFmtId="0" fontId="102" fillId="0" borderId="1" xfId="109" applyFont="1" applyFill="1" applyBorder="1" applyAlignment="1" applyProtection="1">
      <alignment vertical="top" wrapText="1"/>
      <protection locked="0"/>
    </xf>
    <xf numFmtId="2" fontId="101" fillId="0" borderId="1" xfId="109" applyNumberFormat="1" applyFont="1" applyFill="1" applyBorder="1" applyAlignment="1" applyProtection="1">
      <alignment horizontal="right" vertical="top" wrapText="1"/>
      <protection locked="0"/>
    </xf>
    <xf numFmtId="0" fontId="101" fillId="0" borderId="1" xfId="109" applyFont="1" applyFill="1" applyBorder="1" applyAlignment="1" applyProtection="1">
      <alignment horizontal="right" vertical="top" wrapText="1"/>
      <protection locked="0"/>
    </xf>
    <xf numFmtId="0" fontId="110" fillId="0" borderId="1" xfId="109" applyFont="1" applyFill="1" applyBorder="1" applyAlignment="1" applyProtection="1">
      <alignment horizontal="right" vertical="top" wrapText="1"/>
      <protection locked="0"/>
    </xf>
    <xf numFmtId="0" fontId="101" fillId="0" borderId="1" xfId="109" applyFont="1" applyFill="1" applyBorder="1" applyAlignment="1" applyProtection="1">
      <alignment horizontal="left" vertical="top" wrapText="1"/>
      <protection locked="0"/>
    </xf>
    <xf numFmtId="0" fontId="102" fillId="52" borderId="1" xfId="109" applyFont="1" applyFill="1" applyBorder="1" applyAlignment="1" applyProtection="1">
      <alignment vertical="top" wrapText="1"/>
      <protection locked="0"/>
    </xf>
    <xf numFmtId="0" fontId="102" fillId="52" borderId="1" xfId="109" applyFont="1" applyFill="1" applyBorder="1" applyAlignment="1" applyProtection="1">
      <alignment horizontal="left" vertical="top" wrapText="1"/>
      <protection locked="0"/>
    </xf>
    <xf numFmtId="0" fontId="106" fillId="0" borderId="1" xfId="9" applyFont="1" applyBorder="1" applyAlignment="1" applyProtection="1">
      <alignment horizontal="right" vertical="top" wrapText="1"/>
      <protection locked="0"/>
    </xf>
    <xf numFmtId="0" fontId="106" fillId="0" borderId="1" xfId="9" applyFont="1" applyBorder="1" applyAlignment="1" applyProtection="1">
      <alignment horizontal="left" vertical="top" wrapText="1"/>
      <protection locked="0"/>
    </xf>
    <xf numFmtId="0" fontId="106" fillId="0" borderId="1" xfId="109" applyFont="1" applyFill="1" applyBorder="1" applyAlignment="1" applyProtection="1">
      <alignment horizontal="center" vertical="top" wrapText="1"/>
      <protection locked="0"/>
    </xf>
    <xf numFmtId="0" fontId="106" fillId="0" borderId="1" xfId="109" applyFont="1" applyFill="1" applyBorder="1" applyAlignment="1" applyProtection="1">
      <alignment horizontal="left" vertical="top" wrapText="1"/>
      <protection locked="0"/>
    </xf>
    <xf numFmtId="2" fontId="106" fillId="0" borderId="1" xfId="109" applyNumberFormat="1" applyFont="1" applyFill="1" applyBorder="1" applyAlignment="1" applyProtection="1">
      <alignment horizontal="right" vertical="top" wrapText="1"/>
      <protection locked="0"/>
    </xf>
    <xf numFmtId="0" fontId="102" fillId="0" borderId="1" xfId="109" applyFont="1" applyFill="1" applyBorder="1" applyAlignment="1" applyProtection="1">
      <alignment horizontal="right" vertical="top" wrapText="1"/>
      <protection locked="0"/>
    </xf>
    <xf numFmtId="0" fontId="110" fillId="2" borderId="1" xfId="4" applyFont="1" applyFill="1" applyBorder="1" applyAlignment="1" applyProtection="1">
      <alignment horizontal="right" vertical="top" wrapText="1"/>
      <protection locked="0"/>
    </xf>
    <xf numFmtId="2" fontId="121" fillId="0" borderId="1" xfId="4" applyNumberFormat="1" applyFont="1" applyFill="1" applyBorder="1" applyAlignment="1" applyProtection="1">
      <alignment vertical="center" wrapText="1"/>
      <protection locked="0"/>
    </xf>
    <xf numFmtId="2" fontId="121" fillId="52" borderId="1" xfId="4" applyNumberFormat="1" applyFont="1" applyFill="1" applyBorder="1" applyAlignment="1" applyProtection="1">
      <alignment horizontal="left" vertical="center" wrapText="1"/>
      <protection locked="0"/>
    </xf>
    <xf numFmtId="0" fontId="122" fillId="0" borderId="1" xfId="9" applyFont="1" applyBorder="1" applyAlignment="1" applyProtection="1">
      <alignment vertical="center" wrapText="1"/>
      <protection locked="0"/>
    </xf>
    <xf numFmtId="2" fontId="121" fillId="0" borderId="1" xfId="4" applyNumberFormat="1" applyFont="1" applyFill="1" applyBorder="1" applyAlignment="1" applyProtection="1">
      <alignment horizontal="left" vertical="center" wrapText="1"/>
      <protection locked="0"/>
    </xf>
    <xf numFmtId="0" fontId="121" fillId="0" borderId="1" xfId="109" applyFont="1" applyBorder="1" applyAlignment="1" applyProtection="1">
      <alignment vertical="center" wrapText="1"/>
      <protection locked="0"/>
    </xf>
    <xf numFmtId="2" fontId="121" fillId="0" borderId="1" xfId="109" applyNumberFormat="1" applyFont="1" applyBorder="1" applyAlignment="1" applyProtection="1">
      <alignment vertical="center" wrapText="1"/>
      <protection locked="0"/>
    </xf>
    <xf numFmtId="0" fontId="123" fillId="0" borderId="1" xfId="109" applyFont="1" applyBorder="1" applyAlignment="1" applyProtection="1">
      <alignment vertical="center" wrapText="1"/>
      <protection locked="0"/>
    </xf>
    <xf numFmtId="0" fontId="121" fillId="52" borderId="1" xfId="109" applyFont="1" applyFill="1" applyBorder="1" applyAlignment="1" applyProtection="1">
      <alignment vertical="center" wrapText="1"/>
      <protection locked="0"/>
    </xf>
    <xf numFmtId="0" fontId="122" fillId="0" borderId="1" xfId="109" applyFont="1" applyBorder="1" applyAlignment="1" applyProtection="1">
      <alignment vertical="center" wrapText="1"/>
      <protection locked="0"/>
    </xf>
    <xf numFmtId="2" fontId="122" fillId="0" borderId="1" xfId="4" applyNumberFormat="1" applyFont="1" applyBorder="1" applyAlignment="1" applyProtection="1">
      <alignment horizontal="left" vertical="center" wrapText="1"/>
      <protection locked="0"/>
    </xf>
    <xf numFmtId="2" fontId="122" fillId="0" borderId="1" xfId="4" applyNumberFormat="1" applyFont="1" applyBorder="1" applyAlignment="1" applyProtection="1">
      <alignment vertical="center" wrapText="1"/>
      <protection locked="0"/>
    </xf>
    <xf numFmtId="1" fontId="121" fillId="0" borderId="1" xfId="4" applyNumberFormat="1" applyFont="1" applyFill="1" applyBorder="1" applyAlignment="1" applyProtection="1">
      <alignment vertical="center" wrapText="1"/>
      <protection locked="0"/>
    </xf>
    <xf numFmtId="0" fontId="121" fillId="0" borderId="1" xfId="109" applyFont="1" applyFill="1" applyBorder="1" applyAlignment="1" applyProtection="1">
      <alignment vertical="center" wrapText="1"/>
      <protection locked="0"/>
    </xf>
    <xf numFmtId="0" fontId="122" fillId="0" borderId="1" xfId="9" applyFont="1" applyBorder="1" applyAlignment="1" applyProtection="1">
      <alignment horizontal="left" vertical="center" wrapText="1"/>
      <protection locked="0"/>
    </xf>
    <xf numFmtId="0" fontId="124" fillId="52" borderId="1" xfId="9" applyFont="1" applyFill="1" applyBorder="1" applyAlignment="1" applyProtection="1">
      <alignment horizontal="left" vertical="center" wrapText="1"/>
      <protection locked="0"/>
    </xf>
    <xf numFmtId="0" fontId="122" fillId="0" borderId="1" xfId="9" applyFont="1" applyFill="1" applyBorder="1" applyAlignment="1" applyProtection="1">
      <alignment vertical="center" wrapText="1"/>
      <protection locked="0"/>
    </xf>
    <xf numFmtId="0" fontId="122" fillId="0" borderId="1" xfId="9" applyFont="1" applyFill="1" applyBorder="1" applyAlignment="1" applyProtection="1">
      <alignment horizontal="left" vertical="center" wrapText="1"/>
      <protection locked="0"/>
    </xf>
    <xf numFmtId="0" fontId="122" fillId="0" borderId="1" xfId="109" applyNumberFormat="1" applyFont="1" applyBorder="1" applyAlignment="1" applyProtection="1">
      <alignment vertical="center" wrapText="1"/>
      <protection locked="0"/>
    </xf>
    <xf numFmtId="0" fontId="122" fillId="0" borderId="1" xfId="109" applyFont="1" applyFill="1" applyBorder="1" applyAlignment="1" applyProtection="1">
      <alignment vertical="center" wrapText="1"/>
      <protection locked="0"/>
    </xf>
    <xf numFmtId="2" fontId="125" fillId="0" borderId="1" xfId="4" applyNumberFormat="1" applyFont="1" applyBorder="1" applyAlignment="1" applyProtection="1">
      <alignment horizontal="left" vertical="center" wrapText="1"/>
      <protection locked="0"/>
    </xf>
    <xf numFmtId="2" fontId="125" fillId="0" borderId="1" xfId="4" applyNumberFormat="1" applyFont="1" applyBorder="1" applyAlignment="1" applyProtection="1">
      <alignment vertical="center" wrapText="1"/>
      <protection locked="0"/>
    </xf>
    <xf numFmtId="0" fontId="125" fillId="0" borderId="1" xfId="9" applyFont="1" applyFill="1" applyBorder="1" applyAlignment="1" applyProtection="1">
      <alignment vertical="center" wrapText="1"/>
      <protection locked="0"/>
    </xf>
    <xf numFmtId="0" fontId="125" fillId="0" borderId="1" xfId="9" applyFont="1" applyFill="1" applyBorder="1" applyAlignment="1" applyProtection="1">
      <alignment horizontal="left" vertical="center" wrapText="1"/>
      <protection locked="0"/>
    </xf>
    <xf numFmtId="0" fontId="122" fillId="52" borderId="1" xfId="109" applyFont="1" applyFill="1" applyBorder="1" applyAlignment="1" applyProtection="1">
      <alignment vertical="center" wrapText="1"/>
      <protection locked="0"/>
    </xf>
    <xf numFmtId="0" fontId="122" fillId="52" borderId="1" xfId="9" applyFont="1" applyFill="1" applyBorder="1" applyAlignment="1" applyProtection="1">
      <alignment horizontal="left" vertical="center" wrapText="1"/>
      <protection locked="0"/>
    </xf>
    <xf numFmtId="0" fontId="122" fillId="52" borderId="1" xfId="109" applyFont="1" applyFill="1" applyBorder="1" applyAlignment="1" applyProtection="1">
      <alignment horizontal="left" vertical="center" wrapText="1"/>
      <protection locked="0"/>
    </xf>
    <xf numFmtId="0" fontId="122" fillId="0" borderId="1" xfId="109" applyFont="1" applyFill="1" applyBorder="1" applyAlignment="1" applyProtection="1">
      <alignment horizontal="left" vertical="center" wrapText="1"/>
      <protection locked="0"/>
    </xf>
    <xf numFmtId="0" fontId="122" fillId="0" borderId="1" xfId="109" applyFont="1" applyBorder="1" applyAlignment="1" applyProtection="1">
      <alignment vertical="top" wrapText="1"/>
      <protection locked="0"/>
    </xf>
    <xf numFmtId="0" fontId="122" fillId="0" borderId="1" xfId="109" applyFont="1" applyBorder="1" applyAlignment="1" applyProtection="1">
      <alignment horizontal="center" vertical="top"/>
      <protection locked="0"/>
    </xf>
    <xf numFmtId="167" fontId="122" fillId="0" borderId="1" xfId="109" applyNumberFormat="1" applyFont="1" applyBorder="1" applyAlignment="1" applyProtection="1">
      <alignment horizontal="right" vertical="top" wrapText="1"/>
      <protection locked="0"/>
    </xf>
    <xf numFmtId="0" fontId="122" fillId="0" borderId="1" xfId="109" applyFont="1" applyBorder="1" applyAlignment="1" applyProtection="1">
      <alignment vertical="top"/>
      <protection locked="0"/>
    </xf>
    <xf numFmtId="2" fontId="122" fillId="0" borderId="1" xfId="109" applyNumberFormat="1" applyFont="1" applyFill="1" applyBorder="1" applyAlignment="1" applyProtection="1">
      <alignment horizontal="right" vertical="top"/>
      <protection locked="0"/>
    </xf>
    <xf numFmtId="0" fontId="122" fillId="0" borderId="1" xfId="109" applyFont="1" applyFill="1" applyBorder="1" applyAlignment="1" applyProtection="1">
      <alignment vertical="top"/>
      <protection locked="0"/>
    </xf>
    <xf numFmtId="1" fontId="122" fillId="0" borderId="1" xfId="109" applyNumberFormat="1" applyFont="1" applyBorder="1" applyAlignment="1" applyProtection="1">
      <alignment vertical="top"/>
      <protection locked="0"/>
    </xf>
    <xf numFmtId="0" fontId="121" fillId="0" borderId="1" xfId="109" applyFont="1" applyBorder="1" applyAlignment="1" applyProtection="1">
      <alignment vertical="top" wrapText="1"/>
      <protection locked="0"/>
    </xf>
    <xf numFmtId="0" fontId="121" fillId="0" borderId="1" xfId="109" applyFont="1" applyBorder="1" applyAlignment="1" applyProtection="1">
      <alignment vertical="top"/>
      <protection locked="0"/>
    </xf>
    <xf numFmtId="2" fontId="121" fillId="0" borderId="1" xfId="109" applyNumberFormat="1" applyFont="1" applyFill="1" applyBorder="1" applyAlignment="1" applyProtection="1">
      <alignment horizontal="right" vertical="top"/>
      <protection locked="0"/>
    </xf>
    <xf numFmtId="0" fontId="121" fillId="0" borderId="1" xfId="0" applyFont="1" applyBorder="1" applyAlignment="1" applyProtection="1">
      <alignment horizontal="left" vertical="top" wrapText="1"/>
      <protection locked="0"/>
    </xf>
    <xf numFmtId="0" fontId="121" fillId="52" borderId="1" xfId="0" applyFont="1" applyFill="1" applyBorder="1" applyAlignment="1" applyProtection="1">
      <alignment horizontal="left" vertical="top" wrapText="1"/>
      <protection locked="0"/>
    </xf>
    <xf numFmtId="0" fontId="121" fillId="52" borderId="1" xfId="109" applyFont="1" applyFill="1" applyBorder="1" applyAlignment="1" applyProtection="1">
      <alignment vertical="top" wrapText="1"/>
      <protection locked="0"/>
    </xf>
    <xf numFmtId="0" fontId="121" fillId="0" borderId="1" xfId="109" applyFont="1" applyBorder="1" applyAlignment="1" applyProtection="1">
      <alignment horizontal="left" vertical="top" wrapText="1"/>
      <protection locked="0"/>
    </xf>
    <xf numFmtId="0" fontId="121" fillId="52" borderId="1" xfId="109" applyFont="1" applyFill="1" applyBorder="1" applyAlignment="1" applyProtection="1">
      <alignment horizontal="left" vertical="top" wrapText="1"/>
      <protection locked="0"/>
    </xf>
    <xf numFmtId="0" fontId="122" fillId="0" borderId="1" xfId="97" applyFont="1" applyBorder="1" applyAlignment="1" applyProtection="1">
      <alignment vertical="top"/>
      <protection locked="0"/>
    </xf>
    <xf numFmtId="2" fontId="122" fillId="0" borderId="1" xfId="97" applyNumberFormat="1" applyFont="1" applyBorder="1" applyAlignment="1" applyProtection="1">
      <alignment horizontal="right" vertical="top"/>
      <protection locked="0"/>
    </xf>
    <xf numFmtId="0" fontId="122" fillId="0" borderId="1" xfId="97" applyFont="1" applyBorder="1" applyAlignment="1" applyProtection="1">
      <alignment vertical="top" wrapText="1"/>
      <protection locked="0"/>
    </xf>
    <xf numFmtId="0" fontId="121" fillId="52" borderId="1" xfId="97" applyFont="1" applyFill="1" applyBorder="1" applyAlignment="1" applyProtection="1">
      <alignment vertical="top" wrapText="1"/>
      <protection locked="0"/>
    </xf>
    <xf numFmtId="0" fontId="106" fillId="0" borderId="1" xfId="109" applyFont="1" applyBorder="1" applyAlignment="1" applyProtection="1">
      <alignment vertical="center" wrapText="1"/>
      <protection locked="0"/>
    </xf>
    <xf numFmtId="0" fontId="102" fillId="0" borderId="1" xfId="109" applyFont="1" applyFill="1" applyBorder="1" applyAlignment="1" applyProtection="1">
      <alignment vertical="center" wrapText="1"/>
      <protection locked="0"/>
    </xf>
    <xf numFmtId="2" fontId="106" fillId="0" borderId="1" xfId="109" applyNumberFormat="1" applyFont="1" applyFill="1" applyBorder="1" applyAlignment="1" applyProtection="1">
      <alignment horizontal="right" vertical="center"/>
      <protection locked="0"/>
    </xf>
    <xf numFmtId="0" fontId="106" fillId="0" borderId="1" xfId="109" applyFont="1" applyFill="1" applyBorder="1" applyAlignment="1" applyProtection="1">
      <alignment vertical="center" wrapText="1"/>
      <protection locked="0"/>
    </xf>
    <xf numFmtId="0" fontId="106" fillId="0" borderId="1" xfId="109" applyFont="1" applyFill="1" applyBorder="1" applyAlignment="1" applyProtection="1">
      <alignment vertical="center"/>
      <protection locked="0"/>
    </xf>
    <xf numFmtId="0" fontId="102" fillId="52" borderId="1" xfId="4" applyFont="1" applyFill="1" applyBorder="1" applyAlignment="1" applyProtection="1">
      <alignment vertical="center" wrapText="1"/>
      <protection locked="0"/>
    </xf>
    <xf numFmtId="0" fontId="102" fillId="0" borderId="1" xfId="109" applyFont="1" applyBorder="1" applyAlignment="1" applyProtection="1">
      <alignment vertical="center" wrapText="1"/>
      <protection locked="0"/>
    </xf>
    <xf numFmtId="0" fontId="102" fillId="52" borderId="1" xfId="109" applyFont="1" applyFill="1" applyBorder="1" applyAlignment="1" applyProtection="1">
      <alignment vertical="center" wrapText="1"/>
      <protection locked="0"/>
    </xf>
    <xf numFmtId="0" fontId="102" fillId="0" borderId="1" xfId="109" applyFont="1" applyFill="1" applyBorder="1" applyAlignment="1" applyProtection="1">
      <alignment vertical="center"/>
      <protection locked="0"/>
    </xf>
    <xf numFmtId="2" fontId="102" fillId="0" borderId="1" xfId="109" applyNumberFormat="1" applyFont="1" applyFill="1" applyBorder="1" applyAlignment="1" applyProtection="1">
      <alignment horizontal="right" vertical="center"/>
      <protection locked="0"/>
    </xf>
    <xf numFmtId="0" fontId="106" fillId="0" borderId="1" xfId="109" applyFont="1" applyBorder="1" applyAlignment="1" applyProtection="1">
      <alignment vertical="center"/>
      <protection locked="0"/>
    </xf>
    <xf numFmtId="167" fontId="106" fillId="0" borderId="1" xfId="109" applyNumberFormat="1" applyFont="1" applyBorder="1" applyAlignment="1" applyProtection="1">
      <alignment horizontal="right" vertical="center" wrapText="1"/>
      <protection locked="0"/>
    </xf>
    <xf numFmtId="0" fontId="106" fillId="0" borderId="1" xfId="4" applyFont="1" applyBorder="1" applyAlignment="1" applyProtection="1">
      <alignment vertical="center" wrapText="1"/>
      <protection locked="0"/>
    </xf>
    <xf numFmtId="0" fontId="106" fillId="52" borderId="1" xfId="109" applyFont="1" applyFill="1" applyBorder="1" applyAlignment="1" applyProtection="1">
      <alignment horizontal="left" vertical="center" wrapText="1"/>
      <protection locked="0"/>
    </xf>
    <xf numFmtId="0" fontId="106" fillId="0" borderId="1" xfId="109" applyFont="1" applyBorder="1" applyAlignment="1" applyProtection="1">
      <alignment vertical="top" wrapText="1"/>
      <protection locked="0"/>
    </xf>
    <xf numFmtId="0" fontId="102" fillId="0" borderId="1" xfId="4" applyFont="1" applyFill="1" applyBorder="1" applyAlignment="1" applyProtection="1">
      <alignment horizontal="center" vertical="top" wrapText="1"/>
      <protection locked="0"/>
    </xf>
    <xf numFmtId="2" fontId="106" fillId="0" borderId="1" xfId="109" applyNumberFormat="1" applyFont="1" applyBorder="1" applyAlignment="1" applyProtection="1">
      <alignment vertical="top"/>
      <protection locked="0"/>
    </xf>
    <xf numFmtId="0" fontId="102" fillId="0" borderId="1" xfId="4" applyFont="1" applyFill="1" applyBorder="1" applyAlignment="1" applyProtection="1">
      <alignment vertical="top" wrapText="1"/>
      <protection locked="0"/>
    </xf>
    <xf numFmtId="0" fontId="106" fillId="0" borderId="1" xfId="109" applyFont="1" applyBorder="1" applyAlignment="1" applyProtection="1">
      <alignment vertical="top"/>
      <protection locked="0"/>
    </xf>
    <xf numFmtId="0" fontId="106" fillId="0" borderId="1" xfId="109" applyFont="1" applyFill="1" applyBorder="1" applyAlignment="1" applyProtection="1">
      <alignment vertical="top" wrapText="1"/>
      <protection locked="0"/>
    </xf>
    <xf numFmtId="0" fontId="106" fillId="0" borderId="1" xfId="109" applyFont="1" applyFill="1" applyBorder="1" applyAlignment="1" applyProtection="1">
      <alignment vertical="top"/>
      <protection locked="0"/>
    </xf>
    <xf numFmtId="0" fontId="119" fillId="0" borderId="1" xfId="109" applyFont="1" applyFill="1" applyBorder="1" applyAlignment="1" applyProtection="1">
      <alignment vertical="top" wrapText="1"/>
      <protection locked="0"/>
    </xf>
    <xf numFmtId="0" fontId="102" fillId="0" borderId="1" xfId="109" applyFont="1" applyBorder="1" applyAlignment="1" applyProtection="1">
      <alignment vertical="top" wrapText="1"/>
      <protection locked="0"/>
    </xf>
    <xf numFmtId="2" fontId="102" fillId="0" borderId="1" xfId="4" applyNumberFormat="1" applyFont="1" applyFill="1" applyBorder="1" applyAlignment="1" applyProtection="1">
      <alignment horizontal="center" vertical="top" wrapText="1"/>
      <protection locked="0"/>
    </xf>
    <xf numFmtId="2" fontId="106" fillId="0" borderId="1" xfId="109" applyNumberFormat="1" applyFont="1" applyFill="1" applyBorder="1" applyAlignment="1" applyProtection="1">
      <alignment vertical="top"/>
      <protection locked="0"/>
    </xf>
    <xf numFmtId="2" fontId="102" fillId="0" borderId="1" xfId="4" applyNumberFormat="1" applyFont="1" applyFill="1" applyBorder="1" applyAlignment="1" applyProtection="1">
      <alignment vertical="top" wrapText="1"/>
      <protection locked="0"/>
    </xf>
    <xf numFmtId="0" fontId="103" fillId="0" borderId="1" xfId="109" applyFont="1" applyBorder="1" applyAlignment="1" applyProtection="1">
      <alignment vertical="top" wrapText="1"/>
      <protection locked="0"/>
    </xf>
    <xf numFmtId="2" fontId="103" fillId="0" borderId="1" xfId="4" applyNumberFormat="1" applyFont="1" applyFill="1" applyBorder="1" applyAlignment="1" applyProtection="1">
      <alignment horizontal="center" vertical="top" wrapText="1"/>
      <protection locked="0"/>
    </xf>
    <xf numFmtId="2" fontId="103" fillId="0" borderId="1" xfId="109" applyNumberFormat="1" applyFont="1" applyFill="1" applyBorder="1" applyAlignment="1" applyProtection="1">
      <alignment vertical="top"/>
      <protection locked="0"/>
    </xf>
    <xf numFmtId="2" fontId="102" fillId="0" borderId="1" xfId="4" applyNumberFormat="1" applyFont="1" applyBorder="1" applyAlignment="1" applyProtection="1">
      <alignment horizontal="center" vertical="top" wrapText="1"/>
      <protection locked="0"/>
    </xf>
    <xf numFmtId="2" fontId="102" fillId="0" borderId="1" xfId="4" applyNumberFormat="1" applyFont="1" applyBorder="1" applyAlignment="1" applyProtection="1">
      <alignment vertical="top" wrapText="1"/>
      <protection locked="0"/>
    </xf>
    <xf numFmtId="0" fontId="102" fillId="0" borderId="1" xfId="109" applyFont="1" applyBorder="1" applyAlignment="1" applyProtection="1">
      <alignment vertical="top"/>
      <protection locked="0"/>
    </xf>
    <xf numFmtId="1" fontId="102" fillId="0" borderId="1" xfId="4" applyNumberFormat="1" applyFont="1" applyFill="1" applyBorder="1" applyAlignment="1" applyProtection="1">
      <alignment horizontal="center" vertical="top" wrapText="1"/>
      <protection locked="0"/>
    </xf>
    <xf numFmtId="0" fontId="102" fillId="0" borderId="1" xfId="0" applyFont="1" applyBorder="1" applyAlignment="1" applyProtection="1">
      <alignment horizontal="center" vertical="top" wrapText="1"/>
      <protection locked="0"/>
    </xf>
    <xf numFmtId="2" fontId="102" fillId="0" borderId="1" xfId="0" applyNumberFormat="1" applyFont="1" applyBorder="1" applyAlignment="1" applyProtection="1">
      <alignment horizontal="right" vertical="top" wrapText="1"/>
      <protection locked="0"/>
    </xf>
    <xf numFmtId="0" fontId="106" fillId="0" borderId="1" xfId="4" applyFont="1" applyFill="1" applyBorder="1" applyAlignment="1" applyProtection="1">
      <alignment vertical="top" wrapText="1"/>
      <protection locked="0"/>
    </xf>
    <xf numFmtId="2" fontId="106" fillId="0" borderId="1" xfId="4" applyNumberFormat="1" applyFont="1" applyFill="1" applyBorder="1" applyAlignment="1" applyProtection="1">
      <alignment horizontal="right" vertical="top" wrapText="1"/>
      <protection locked="0"/>
    </xf>
    <xf numFmtId="0" fontId="102" fillId="0" borderId="1" xfId="0" applyFont="1" applyBorder="1" applyAlignment="1" applyProtection="1">
      <alignment vertical="top"/>
      <protection locked="0"/>
    </xf>
    <xf numFmtId="2" fontId="102" fillId="0" borderId="1" xfId="0" applyNumberFormat="1" applyFont="1" applyBorder="1" applyAlignment="1" applyProtection="1">
      <alignment horizontal="right" vertical="top"/>
      <protection locked="0"/>
    </xf>
    <xf numFmtId="0" fontId="102" fillId="0" borderId="1" xfId="0" applyFont="1" applyFill="1" applyBorder="1" applyAlignment="1" applyProtection="1">
      <alignment vertical="top"/>
      <protection locked="0"/>
    </xf>
    <xf numFmtId="0" fontId="102" fillId="52" borderId="1" xfId="4" applyFont="1" applyFill="1" applyBorder="1" applyAlignment="1" applyProtection="1">
      <alignment vertical="top" wrapText="1"/>
      <protection locked="0"/>
    </xf>
    <xf numFmtId="0" fontId="102" fillId="0" borderId="1" xfId="109" applyFont="1" applyBorder="1" applyAlignment="1" applyProtection="1">
      <alignment horizontal="right" vertical="center" wrapText="1"/>
      <protection locked="0"/>
    </xf>
    <xf numFmtId="0" fontId="102" fillId="52" borderId="1" xfId="87" applyFont="1" applyFill="1" applyBorder="1" applyAlignment="1" applyProtection="1">
      <alignment vertical="center" wrapText="1"/>
      <protection locked="0"/>
    </xf>
    <xf numFmtId="0" fontId="102" fillId="52" borderId="1" xfId="109" applyFont="1" applyFill="1" applyBorder="1" applyAlignment="1" applyProtection="1">
      <alignment horizontal="left" vertical="center" wrapText="1"/>
      <protection locked="0"/>
    </xf>
    <xf numFmtId="0" fontId="102" fillId="0" borderId="1" xfId="87" applyFont="1" applyBorder="1" applyAlignment="1" applyProtection="1">
      <alignment vertical="center"/>
      <protection locked="0"/>
    </xf>
    <xf numFmtId="0" fontId="102" fillId="0" borderId="1" xfId="87" applyFont="1" applyBorder="1" applyAlignment="1" applyProtection="1">
      <alignment vertical="center" wrapText="1"/>
      <protection locked="0"/>
    </xf>
    <xf numFmtId="0" fontId="102" fillId="0" borderId="1" xfId="4" applyFont="1" applyBorder="1" applyAlignment="1" applyProtection="1">
      <alignment vertical="center" wrapText="1"/>
      <protection locked="0"/>
    </xf>
    <xf numFmtId="0" fontId="102" fillId="0" borderId="1" xfId="87" applyFont="1" applyBorder="1" applyAlignment="1" applyProtection="1">
      <alignment horizontal="center" vertical="center"/>
      <protection locked="0"/>
    </xf>
    <xf numFmtId="167" fontId="102" fillId="0" borderId="1" xfId="87" applyNumberFormat="1" applyFont="1" applyBorder="1" applyAlignment="1" applyProtection="1">
      <alignment horizontal="right" vertical="center"/>
      <protection locked="0"/>
    </xf>
    <xf numFmtId="0" fontId="102" fillId="0" borderId="1" xfId="38" applyFont="1" applyBorder="1" applyAlignment="1" applyProtection="1">
      <alignment horizontal="center" vertical="center" wrapText="1"/>
      <protection locked="0"/>
    </xf>
    <xf numFmtId="0" fontId="102" fillId="0" borderId="1" xfId="87" applyFont="1" applyFill="1" applyBorder="1" applyAlignment="1" applyProtection="1">
      <alignment horizontal="left" vertical="center" wrapText="1"/>
      <protection locked="0"/>
    </xf>
    <xf numFmtId="0" fontId="102" fillId="0" borderId="1" xfId="87" applyFont="1" applyFill="1" applyBorder="1" applyAlignment="1" applyProtection="1">
      <alignment vertical="center"/>
      <protection locked="0"/>
    </xf>
    <xf numFmtId="0" fontId="102" fillId="0" borderId="1" xfId="87" applyFont="1" applyFill="1" applyBorder="1" applyAlignment="1" applyProtection="1">
      <alignment vertical="center" wrapText="1"/>
      <protection locked="0"/>
    </xf>
    <xf numFmtId="0" fontId="102" fillId="0" borderId="1" xfId="87" applyFont="1" applyBorder="1" applyAlignment="1" applyProtection="1">
      <alignment horizontal="center" vertical="center" wrapText="1"/>
      <protection locked="0"/>
    </xf>
    <xf numFmtId="2" fontId="101" fillId="0" borderId="1" xfId="87" applyNumberFormat="1" applyFont="1" applyBorder="1" applyAlignment="1" applyProtection="1">
      <alignment vertical="center" wrapText="1"/>
      <protection locked="0"/>
    </xf>
    <xf numFmtId="0" fontId="101" fillId="0" borderId="1" xfId="0" applyFont="1" applyBorder="1" applyAlignment="1" applyProtection="1">
      <alignment vertical="center" wrapText="1"/>
      <protection locked="0"/>
    </xf>
    <xf numFmtId="0" fontId="102" fillId="0" borderId="1" xfId="87" applyFont="1" applyBorder="1" applyAlignment="1" applyProtection="1">
      <alignment horizontal="left" vertical="center" wrapText="1"/>
      <protection locked="0"/>
    </xf>
    <xf numFmtId="0" fontId="102" fillId="0" borderId="1" xfId="88" applyFont="1" applyBorder="1" applyAlignment="1" applyProtection="1">
      <alignment vertical="center"/>
      <protection locked="0"/>
    </xf>
    <xf numFmtId="2" fontId="102" fillId="0" borderId="1" xfId="87" applyNumberFormat="1" applyFont="1" applyBorder="1" applyAlignment="1" applyProtection="1">
      <alignment horizontal="right" vertical="center"/>
      <protection locked="0"/>
    </xf>
    <xf numFmtId="2" fontId="101" fillId="0" borderId="1" xfId="0" applyNumberFormat="1" applyFont="1" applyBorder="1" applyAlignment="1" applyProtection="1">
      <alignment vertical="center" wrapText="1"/>
      <protection locked="0"/>
    </xf>
    <xf numFmtId="0" fontId="105" fillId="0" borderId="1" xfId="110" applyFont="1" applyFill="1" applyBorder="1" applyAlignment="1" applyProtection="1">
      <alignment horizontal="right" vertical="center"/>
      <protection locked="0"/>
    </xf>
    <xf numFmtId="2" fontId="102" fillId="0" borderId="1" xfId="87" applyNumberFormat="1" applyFont="1" applyFill="1" applyBorder="1" applyAlignment="1" applyProtection="1">
      <alignment horizontal="right" vertical="center"/>
      <protection locked="0"/>
    </xf>
    <xf numFmtId="0" fontId="102" fillId="0" borderId="1" xfId="93" applyFont="1" applyBorder="1" applyAlignment="1" applyProtection="1">
      <alignment vertical="center"/>
      <protection locked="0"/>
    </xf>
    <xf numFmtId="1" fontId="104" fillId="0" borderId="1" xfId="0" applyNumberFormat="1" applyFont="1" applyBorder="1" applyAlignment="1" applyProtection="1">
      <alignment vertical="center"/>
      <protection locked="0"/>
    </xf>
    <xf numFmtId="0" fontId="104" fillId="0" borderId="1" xfId="0" applyFont="1" applyBorder="1" applyAlignment="1" applyProtection="1">
      <alignment horizontal="center" vertical="center"/>
      <protection locked="0"/>
    </xf>
    <xf numFmtId="0" fontId="102" fillId="0" borderId="1" xfId="38" applyFont="1" applyBorder="1" applyAlignment="1" applyProtection="1">
      <alignment horizontal="center" vertical="center"/>
      <protection locked="0"/>
    </xf>
    <xf numFmtId="0" fontId="102" fillId="0" borderId="1" xfId="0" applyFont="1" applyBorder="1" applyAlignment="1" applyProtection="1">
      <alignment horizontal="center" vertical="center"/>
      <protection locked="0"/>
    </xf>
    <xf numFmtId="0" fontId="102" fillId="0" borderId="1" xfId="4" applyFont="1" applyFill="1" applyBorder="1" applyAlignment="1" applyProtection="1">
      <alignment vertical="center" wrapText="1"/>
      <protection locked="0"/>
    </xf>
    <xf numFmtId="1" fontId="102" fillId="0" borderId="1" xfId="87" applyNumberFormat="1" applyFont="1" applyBorder="1" applyAlignment="1" applyProtection="1">
      <alignment vertical="center"/>
      <protection locked="0"/>
    </xf>
    <xf numFmtId="1" fontId="102" fillId="0" borderId="1" xfId="0" applyNumberFormat="1" applyFont="1" applyBorder="1" applyAlignment="1" applyProtection="1">
      <alignment vertical="center" wrapText="1"/>
      <protection locked="0"/>
    </xf>
    <xf numFmtId="0" fontId="102" fillId="0" borderId="1" xfId="100" applyFont="1" applyBorder="1" applyAlignment="1" applyProtection="1">
      <alignment vertical="center" wrapText="1"/>
      <protection locked="0"/>
    </xf>
    <xf numFmtId="1" fontId="102" fillId="0" borderId="1" xfId="100" applyNumberFormat="1" applyFont="1" applyBorder="1" applyAlignment="1" applyProtection="1">
      <alignment vertical="center" wrapText="1"/>
      <protection locked="0"/>
    </xf>
    <xf numFmtId="43" fontId="102" fillId="0" borderId="1" xfId="1" applyFont="1" applyBorder="1" applyAlignment="1" applyProtection="1">
      <alignment vertical="center" wrapText="1"/>
      <protection locked="0"/>
    </xf>
    <xf numFmtId="0" fontId="102" fillId="0" borderId="1" xfId="91" applyFont="1" applyBorder="1" applyAlignment="1" applyProtection="1">
      <alignment vertical="center" wrapText="1"/>
      <protection locked="0"/>
    </xf>
    <xf numFmtId="0" fontId="102" fillId="0" borderId="1" xfId="95" applyFont="1" applyBorder="1" applyAlignment="1" applyProtection="1">
      <alignment vertical="center" wrapText="1"/>
      <protection locked="0"/>
    </xf>
    <xf numFmtId="43" fontId="102" fillId="0" borderId="1" xfId="1" applyFont="1" applyFill="1" applyBorder="1" applyAlignment="1" applyProtection="1">
      <alignment horizontal="center" vertical="center" wrapText="1"/>
      <protection locked="0"/>
    </xf>
    <xf numFmtId="0" fontId="102" fillId="0" borderId="1" xfId="110" applyFont="1" applyFill="1" applyBorder="1" applyAlignment="1" applyProtection="1">
      <alignment horizontal="center" vertical="center" wrapText="1"/>
      <protection locked="0"/>
    </xf>
    <xf numFmtId="43" fontId="75" fillId="0" borderId="1" xfId="4" applyNumberFormat="1" applyFont="1" applyFill="1" applyBorder="1" applyAlignment="1" applyProtection="1">
      <alignment horizontal="left" vertical="center" wrapText="1"/>
      <protection locked="0"/>
    </xf>
    <xf numFmtId="2" fontId="106" fillId="0" borderId="1" xfId="110" applyNumberFormat="1" applyFont="1" applyBorder="1" applyAlignment="1" applyProtection="1">
      <alignment vertical="top" wrapText="1"/>
      <protection locked="0"/>
    </xf>
    <xf numFmtId="0" fontId="103" fillId="0" borderId="1" xfId="110" applyFont="1" applyBorder="1" applyAlignment="1" applyProtection="1">
      <alignment horizontal="center" vertical="top" wrapText="1"/>
      <protection locked="0"/>
    </xf>
    <xf numFmtId="167" fontId="103" fillId="0" borderId="1" xfId="110" applyNumberFormat="1" applyFont="1" applyBorder="1" applyAlignment="1" applyProtection="1">
      <alignment vertical="top" wrapText="1"/>
      <protection locked="0"/>
    </xf>
    <xf numFmtId="0" fontId="103" fillId="0" borderId="1" xfId="110" applyFont="1" applyBorder="1" applyAlignment="1" applyProtection="1">
      <alignment vertical="top" wrapText="1"/>
      <protection locked="0"/>
    </xf>
    <xf numFmtId="0" fontId="102" fillId="0" borderId="1" xfId="110" applyFont="1" applyBorder="1" applyAlignment="1" applyProtection="1">
      <alignment vertical="top" wrapText="1"/>
      <protection locked="0"/>
    </xf>
    <xf numFmtId="2" fontId="106" fillId="0" borderId="1" xfId="109" applyNumberFormat="1" applyFont="1" applyBorder="1" applyAlignment="1" applyProtection="1">
      <alignment vertical="top" wrapText="1"/>
      <protection locked="0"/>
    </xf>
    <xf numFmtId="2" fontId="110" fillId="2" borderId="1" xfId="110" applyNumberFormat="1" applyFont="1" applyFill="1" applyBorder="1" applyAlignment="1" applyProtection="1">
      <alignment horizontal="right" vertical="top" wrapText="1"/>
      <protection locked="0"/>
    </xf>
    <xf numFmtId="0" fontId="102" fillId="2" borderId="1" xfId="110" applyFont="1" applyFill="1" applyBorder="1" applyAlignment="1" applyProtection="1">
      <alignment horizontal="left" vertical="top" wrapText="1"/>
      <protection locked="0"/>
    </xf>
    <xf numFmtId="0" fontId="102" fillId="2" borderId="1" xfId="109" applyFont="1" applyFill="1" applyBorder="1" applyAlignment="1" applyProtection="1">
      <alignment horizontal="left" vertical="top" wrapText="1"/>
      <protection locked="0"/>
    </xf>
    <xf numFmtId="2" fontId="106" fillId="2" borderId="1" xfId="110" applyNumberFormat="1" applyFont="1" applyFill="1" applyBorder="1" applyAlignment="1" applyProtection="1">
      <alignment horizontal="left" vertical="top" wrapText="1"/>
      <protection locked="0"/>
    </xf>
    <xf numFmtId="0" fontId="106" fillId="0" borderId="1" xfId="110" applyFont="1" applyBorder="1" applyAlignment="1" applyProtection="1">
      <alignment vertical="top" wrapText="1"/>
      <protection locked="0"/>
    </xf>
    <xf numFmtId="2" fontId="110" fillId="0" borderId="1" xfId="110" applyNumberFormat="1" applyFont="1" applyBorder="1" applyAlignment="1" applyProtection="1">
      <alignment vertical="top" wrapText="1"/>
      <protection locked="0"/>
    </xf>
    <xf numFmtId="1" fontId="103" fillId="0" borderId="1" xfId="4" applyNumberFormat="1" applyFont="1" applyBorder="1" applyAlignment="1" applyProtection="1">
      <alignment horizontal="center" vertical="top" wrapText="1"/>
      <protection locked="0"/>
    </xf>
    <xf numFmtId="0" fontId="117" fillId="0" borderId="1" xfId="110" applyFont="1" applyBorder="1" applyAlignment="1" applyProtection="1">
      <alignment vertical="top" wrapText="1"/>
      <protection locked="0"/>
    </xf>
    <xf numFmtId="0" fontId="103" fillId="0" borderId="1" xfId="109" applyFont="1" applyFill="1" applyBorder="1" applyAlignment="1" applyProtection="1">
      <alignment vertical="top" wrapText="1"/>
      <protection locked="0"/>
    </xf>
    <xf numFmtId="167" fontId="102" fillId="0" borderId="1" xfId="110" applyNumberFormat="1" applyFont="1" applyBorder="1" applyAlignment="1" applyProtection="1">
      <alignment vertical="top" wrapText="1"/>
      <protection locked="0"/>
    </xf>
    <xf numFmtId="0" fontId="117" fillId="0" borderId="1" xfId="0" applyFont="1" applyBorder="1" applyAlignment="1" applyProtection="1">
      <alignment horizontal="center" vertical="top" wrapText="1"/>
      <protection locked="0"/>
    </xf>
    <xf numFmtId="2" fontId="101" fillId="0" borderId="1" xfId="110" applyNumberFormat="1" applyFont="1" applyBorder="1" applyAlignment="1" applyProtection="1">
      <alignment vertical="top" wrapText="1"/>
      <protection locked="0"/>
    </xf>
    <xf numFmtId="0" fontId="102" fillId="0" borderId="1" xfId="110" applyFont="1" applyBorder="1" applyAlignment="1" applyProtection="1">
      <alignment horizontal="center" vertical="top" wrapText="1"/>
      <protection locked="0"/>
    </xf>
    <xf numFmtId="0" fontId="101" fillId="0" borderId="1" xfId="110" applyFont="1" applyBorder="1" applyAlignment="1" applyProtection="1">
      <alignment vertical="top" wrapText="1"/>
      <protection locked="0"/>
    </xf>
    <xf numFmtId="2" fontId="102" fillId="0" borderId="1" xfId="110" applyNumberFormat="1" applyFont="1" applyBorder="1" applyAlignment="1" applyProtection="1">
      <alignment vertical="top" wrapText="1"/>
      <protection locked="0"/>
    </xf>
    <xf numFmtId="2" fontId="102" fillId="0" borderId="1" xfId="109" applyNumberFormat="1" applyFont="1" applyFill="1" applyBorder="1" applyAlignment="1" applyProtection="1">
      <alignment horizontal="right" vertical="top" wrapText="1"/>
      <protection locked="0"/>
    </xf>
    <xf numFmtId="0" fontId="101" fillId="0" borderId="1" xfId="0" applyFont="1" applyBorder="1" applyAlignment="1" applyProtection="1">
      <alignment horizontal="center" vertical="top" wrapText="1"/>
      <protection locked="0"/>
    </xf>
    <xf numFmtId="0" fontId="110" fillId="0" borderId="1" xfId="109" applyFont="1" applyFill="1" applyBorder="1" applyAlignment="1" applyProtection="1">
      <alignment horizontal="center" vertical="top" wrapText="1"/>
      <protection locked="0"/>
    </xf>
    <xf numFmtId="0" fontId="110" fillId="0" borderId="1" xfId="110" applyFont="1" applyBorder="1" applyAlignment="1" applyProtection="1">
      <alignment horizontal="center" vertical="top" wrapText="1"/>
      <protection locked="0"/>
    </xf>
    <xf numFmtId="0" fontId="106" fillId="0" borderId="1" xfId="110" applyFont="1" applyBorder="1" applyAlignment="1" applyProtection="1">
      <alignment horizontal="center" vertical="top" wrapText="1"/>
      <protection locked="0"/>
    </xf>
    <xf numFmtId="0" fontId="106" fillId="0" borderId="1" xfId="38" applyFont="1" applyBorder="1" applyAlignment="1" applyProtection="1">
      <alignment horizontal="center" vertical="top" wrapText="1"/>
      <protection locked="0"/>
    </xf>
    <xf numFmtId="0" fontId="106" fillId="0" borderId="1" xfId="0" applyFont="1" applyBorder="1" applyAlignment="1" applyProtection="1">
      <alignment horizontal="center" vertical="top"/>
      <protection locked="0"/>
    </xf>
    <xf numFmtId="0" fontId="106" fillId="0" borderId="1" xfId="38" applyFont="1" applyFill="1" applyBorder="1" applyAlignment="1" applyProtection="1">
      <alignment horizontal="center" vertical="top" wrapText="1"/>
      <protection locked="0"/>
    </xf>
    <xf numFmtId="1" fontId="102" fillId="0" borderId="1" xfId="109" applyNumberFormat="1" applyFont="1" applyBorder="1" applyAlignment="1" applyProtection="1">
      <alignment vertical="top" wrapText="1"/>
      <protection locked="0"/>
    </xf>
    <xf numFmtId="0" fontId="106" fillId="11" borderId="1" xfId="109" applyFont="1" applyFill="1" applyBorder="1" applyAlignment="1" applyProtection="1">
      <alignment horizontal="center" vertical="top" wrapText="1"/>
      <protection locked="0"/>
    </xf>
    <xf numFmtId="2" fontId="102" fillId="0" borderId="1" xfId="110" applyNumberFormat="1" applyFont="1" applyBorder="1" applyAlignment="1" applyProtection="1">
      <alignment horizontal="center" vertical="top" wrapText="1"/>
      <protection locked="0"/>
    </xf>
    <xf numFmtId="2" fontId="106" fillId="0" borderId="1" xfId="110" applyNumberFormat="1" applyFont="1" applyBorder="1" applyAlignment="1" applyProtection="1">
      <alignment horizontal="center" vertical="top" wrapText="1"/>
      <protection locked="0"/>
    </xf>
    <xf numFmtId="1" fontId="106" fillId="0" borderId="1" xfId="109" applyNumberFormat="1" applyFont="1" applyFill="1" applyBorder="1" applyAlignment="1" applyProtection="1">
      <alignment vertical="top" wrapText="1"/>
      <protection locked="0"/>
    </xf>
    <xf numFmtId="43" fontId="106" fillId="0" borderId="1" xfId="1" applyFont="1" applyFill="1" applyBorder="1" applyAlignment="1" applyProtection="1">
      <alignment vertical="top" wrapText="1"/>
      <protection locked="0"/>
    </xf>
    <xf numFmtId="2" fontId="106" fillId="0" borderId="1" xfId="109" applyNumberFormat="1" applyFont="1" applyBorder="1" applyAlignment="1" applyProtection="1">
      <alignment horizontal="right" vertical="top" wrapText="1"/>
      <protection locked="0"/>
    </xf>
    <xf numFmtId="1" fontId="102" fillId="0" borderId="1" xfId="110" applyNumberFormat="1" applyFont="1" applyBorder="1" applyAlignment="1" applyProtection="1">
      <alignment vertical="top" wrapText="1"/>
      <protection locked="0"/>
    </xf>
    <xf numFmtId="1" fontId="106" fillId="0" borderId="1" xfId="110" applyNumberFormat="1" applyFont="1" applyBorder="1" applyAlignment="1" applyProtection="1">
      <alignment vertical="top" wrapText="1"/>
      <protection locked="0"/>
    </xf>
    <xf numFmtId="0" fontId="106" fillId="0" borderId="1" xfId="110" applyFont="1" applyFill="1" applyBorder="1" applyAlignment="1" applyProtection="1">
      <alignment vertical="top" wrapText="1"/>
      <protection locked="0"/>
    </xf>
    <xf numFmtId="2" fontId="106" fillId="0" borderId="1" xfId="109" applyNumberFormat="1" applyFont="1" applyFill="1" applyBorder="1" applyAlignment="1" applyProtection="1">
      <alignment horizontal="right" vertical="top"/>
      <protection locked="0"/>
    </xf>
    <xf numFmtId="43" fontId="43" fillId="0" borderId="1" xfId="9" applyNumberFormat="1" applyFont="1" applyBorder="1" applyAlignment="1" applyProtection="1">
      <alignment horizontal="left" vertical="center" wrapText="1"/>
      <protection locked="0"/>
    </xf>
    <xf numFmtId="0" fontId="51" fillId="0" borderId="1" xfId="62" applyFont="1" applyBorder="1" applyAlignment="1" applyProtection="1">
      <alignment horizontal="right" vertical="center"/>
      <protection locked="0"/>
    </xf>
    <xf numFmtId="0" fontId="54" fillId="0" borderId="1" xfId="4" applyFont="1" applyBorder="1" applyAlignment="1" applyProtection="1">
      <alignment horizontal="right" vertical="center" wrapText="1"/>
      <protection locked="0"/>
    </xf>
    <xf numFmtId="0" fontId="51" fillId="0" borderId="1" xfId="0" applyFont="1" applyBorder="1" applyAlignment="1" applyProtection="1">
      <alignment horizontal="center" vertical="center" wrapText="1"/>
      <protection locked="0"/>
    </xf>
    <xf numFmtId="0" fontId="51" fillId="0" borderId="1" xfId="110" applyFont="1" applyBorder="1" applyAlignment="1" applyProtection="1">
      <alignment horizontal="center" vertical="center" wrapText="1"/>
      <protection locked="0"/>
    </xf>
    <xf numFmtId="0" fontId="51" fillId="52" borderId="1" xfId="65" applyFont="1" applyFill="1" applyBorder="1" applyAlignment="1" applyProtection="1">
      <alignment horizontal="left" vertical="center" wrapText="1"/>
      <protection locked="0"/>
    </xf>
    <xf numFmtId="0" fontId="52" fillId="0" borderId="1" xfId="4" applyFont="1" applyFill="1" applyBorder="1" applyAlignment="1" applyProtection="1">
      <alignment horizontal="right" vertical="center" wrapText="1"/>
      <protection locked="0"/>
    </xf>
    <xf numFmtId="2" fontId="126" fillId="0" borderId="1" xfId="62" applyNumberFormat="1" applyFont="1" applyBorder="1" applyAlignment="1" applyProtection="1">
      <alignment horizontal="right" vertical="center"/>
      <protection locked="0"/>
    </xf>
    <xf numFmtId="0" fontId="126" fillId="0" borderId="1" xfId="62" applyFont="1" applyBorder="1" applyAlignment="1" applyProtection="1">
      <alignment horizontal="right" vertical="center" wrapText="1"/>
      <protection locked="0"/>
    </xf>
    <xf numFmtId="0" fontId="53" fillId="0" borderId="1" xfId="62" applyFont="1" applyBorder="1" applyAlignment="1" applyProtection="1">
      <alignment horizontal="right" vertical="center"/>
      <protection locked="0"/>
    </xf>
    <xf numFmtId="0" fontId="53" fillId="52" borderId="1" xfId="82" applyFont="1" applyFill="1" applyBorder="1" applyAlignment="1" applyProtection="1">
      <alignment horizontal="left" vertical="center" wrapText="1"/>
      <protection locked="0"/>
    </xf>
    <xf numFmtId="0" fontId="53" fillId="0" borderId="1" xfId="62" applyFont="1" applyBorder="1" applyAlignment="1" applyProtection="1">
      <alignment horizontal="left" vertical="center" wrapText="1"/>
      <protection locked="0"/>
    </xf>
    <xf numFmtId="0" fontId="51" fillId="0" borderId="1" xfId="4" applyFont="1" applyBorder="1" applyAlignment="1" applyProtection="1">
      <alignment horizontal="center" vertical="center" wrapText="1"/>
      <protection locked="0"/>
    </xf>
    <xf numFmtId="0" fontId="51" fillId="0" borderId="1" xfId="4" applyFont="1" applyBorder="1" applyAlignment="1" applyProtection="1">
      <alignment horizontal="right" vertical="center" wrapText="1"/>
      <protection locked="0"/>
    </xf>
    <xf numFmtId="0" fontId="54" fillId="0" borderId="1" xfId="4" applyFont="1" applyFill="1" applyBorder="1" applyAlignment="1" applyProtection="1">
      <alignment horizontal="right" vertical="center" wrapText="1"/>
      <protection locked="0"/>
    </xf>
    <xf numFmtId="0" fontId="51" fillId="0" borderId="1" xfId="62" applyFont="1" applyBorder="1" applyAlignment="1" applyProtection="1">
      <alignment horizontal="center" vertical="center"/>
      <protection locked="0"/>
    </xf>
    <xf numFmtId="0" fontId="51" fillId="0" borderId="1" xfId="62" applyFont="1" applyBorder="1" applyAlignment="1" applyProtection="1">
      <alignment horizontal="right" vertical="center" wrapText="1"/>
      <protection locked="0"/>
    </xf>
    <xf numFmtId="0" fontId="126" fillId="0" borderId="1" xfId="62" applyFont="1" applyBorder="1" applyAlignment="1" applyProtection="1">
      <alignment horizontal="right" vertical="center"/>
      <protection locked="0"/>
    </xf>
    <xf numFmtId="0" fontId="53" fillId="0" borderId="1" xfId="4" applyFont="1" applyFill="1" applyBorder="1" applyAlignment="1" applyProtection="1">
      <alignment horizontal="right" vertical="center" wrapText="1"/>
      <protection locked="0"/>
    </xf>
    <xf numFmtId="0" fontId="127" fillId="52" borderId="1" xfId="0" applyFont="1" applyFill="1" applyBorder="1" applyAlignment="1" applyProtection="1">
      <alignment horizontal="left" vertical="center" wrapText="1" readingOrder="1"/>
      <protection locked="0"/>
    </xf>
    <xf numFmtId="0" fontId="53" fillId="52" borderId="1" xfId="0" applyFont="1" applyFill="1" applyBorder="1" applyAlignment="1" applyProtection="1">
      <alignment horizontal="left" vertical="center" wrapText="1"/>
      <protection locked="0"/>
    </xf>
    <xf numFmtId="0" fontId="128" fillId="0" borderId="0" xfId="62" applyFont="1" applyAlignment="1" applyProtection="1">
      <alignment horizontal="left" vertical="center"/>
      <protection locked="0"/>
    </xf>
    <xf numFmtId="0" fontId="126" fillId="0" borderId="1" xfId="62" applyFont="1" applyFill="1" applyBorder="1" applyAlignment="1" applyProtection="1">
      <alignment horizontal="right" vertical="center"/>
      <protection locked="0"/>
    </xf>
    <xf numFmtId="0" fontId="53" fillId="52" borderId="1" xfId="62" applyFont="1" applyFill="1" applyBorder="1" applyAlignment="1" applyProtection="1">
      <alignment horizontal="left" vertical="center" wrapText="1"/>
      <protection locked="0"/>
    </xf>
    <xf numFmtId="2" fontId="53" fillId="0" borderId="1" xfId="62" applyNumberFormat="1" applyFont="1" applyBorder="1" applyAlignment="1" applyProtection="1">
      <alignment horizontal="right" vertical="center"/>
      <protection locked="0"/>
    </xf>
    <xf numFmtId="0" fontId="53" fillId="0" borderId="1" xfId="62" applyFont="1" applyBorder="1" applyAlignment="1" applyProtection="1">
      <alignment horizontal="right" vertical="center" wrapText="1"/>
      <protection locked="0"/>
    </xf>
    <xf numFmtId="0" fontId="51" fillId="0" borderId="1" xfId="62" applyFont="1" applyFill="1" applyBorder="1" applyAlignment="1" applyProtection="1">
      <alignment horizontal="right" vertical="center"/>
      <protection locked="0"/>
    </xf>
    <xf numFmtId="0" fontId="53" fillId="52" borderId="1" xfId="109" applyFont="1" applyFill="1" applyBorder="1" applyAlignment="1" applyProtection="1">
      <alignment horizontal="left" vertical="center" wrapText="1"/>
      <protection locked="0"/>
    </xf>
    <xf numFmtId="2" fontId="126" fillId="0" borderId="1" xfId="62" applyNumberFormat="1" applyFont="1" applyFill="1" applyBorder="1" applyAlignment="1" applyProtection="1">
      <alignment horizontal="right" vertical="center"/>
      <protection locked="0"/>
    </xf>
    <xf numFmtId="0" fontId="126" fillId="0" borderId="1" xfId="62" applyFont="1" applyFill="1" applyBorder="1" applyAlignment="1" applyProtection="1">
      <alignment horizontal="right" vertical="center" wrapText="1"/>
      <protection locked="0"/>
    </xf>
    <xf numFmtId="0" fontId="53" fillId="0" borderId="1" xfId="62" applyFont="1" applyFill="1" applyBorder="1" applyAlignment="1" applyProtection="1">
      <alignment horizontal="right" vertical="center"/>
      <protection locked="0"/>
    </xf>
    <xf numFmtId="2" fontId="53" fillId="0" borderId="1" xfId="4" applyNumberFormat="1" applyFont="1" applyFill="1" applyBorder="1" applyAlignment="1" applyProtection="1">
      <alignment horizontal="right" vertical="center" wrapText="1"/>
      <protection locked="0"/>
    </xf>
    <xf numFmtId="0" fontId="53" fillId="52" borderId="1" xfId="4" applyFont="1" applyFill="1" applyBorder="1" applyAlignment="1" applyProtection="1">
      <alignment horizontal="left" vertical="center" wrapText="1"/>
      <protection locked="0"/>
    </xf>
    <xf numFmtId="0" fontId="51" fillId="52" borderId="1" xfId="62" applyFont="1" applyFill="1" applyBorder="1" applyAlignment="1" applyProtection="1">
      <alignment horizontal="left" vertical="center" wrapText="1"/>
      <protection locked="0"/>
    </xf>
    <xf numFmtId="0" fontId="102" fillId="0" borderId="1" xfId="5" applyFont="1" applyFill="1" applyBorder="1" applyAlignment="1" applyProtection="1">
      <alignment vertical="center" wrapText="1"/>
      <protection locked="0"/>
    </xf>
    <xf numFmtId="0" fontId="106" fillId="0" borderId="1" xfId="82" applyFont="1" applyFill="1" applyBorder="1" applyAlignment="1" applyProtection="1">
      <alignment vertical="center"/>
      <protection locked="0"/>
    </xf>
    <xf numFmtId="2" fontId="106" fillId="0" borderId="1" xfId="82" applyNumberFormat="1" applyFont="1" applyFill="1" applyBorder="1" applyAlignment="1" applyProtection="1">
      <alignment vertical="center"/>
      <protection locked="0"/>
    </xf>
    <xf numFmtId="0" fontId="106" fillId="0" borderId="1" xfId="82" applyFont="1" applyFill="1" applyBorder="1" applyAlignment="1" applyProtection="1">
      <alignment vertical="center" wrapText="1"/>
      <protection locked="0"/>
    </xf>
    <xf numFmtId="0" fontId="110" fillId="0" borderId="1" xfId="4" applyFont="1" applyBorder="1" applyAlignment="1" applyProtection="1">
      <alignment vertical="center" wrapText="1"/>
      <protection locked="0"/>
    </xf>
    <xf numFmtId="0" fontId="106" fillId="0" borderId="1" xfId="82" applyFont="1" applyBorder="1" applyAlignment="1" applyProtection="1">
      <alignment vertical="center"/>
      <protection locked="0"/>
    </xf>
    <xf numFmtId="0" fontId="106" fillId="0" borderId="1" xfId="82" applyFont="1" applyBorder="1" applyAlignment="1" applyProtection="1">
      <alignment vertical="center" wrapText="1"/>
      <protection locked="0"/>
    </xf>
    <xf numFmtId="0" fontId="102" fillId="52" borderId="1" xfId="82" applyFont="1" applyFill="1" applyBorder="1" applyAlignment="1" applyProtection="1">
      <alignment horizontal="left" vertical="center" wrapText="1"/>
      <protection locked="0"/>
    </xf>
    <xf numFmtId="0" fontId="102" fillId="52" borderId="1" xfId="82" applyFont="1" applyFill="1" applyBorder="1" applyAlignment="1" applyProtection="1">
      <alignment vertical="center" wrapText="1"/>
      <protection locked="0"/>
    </xf>
    <xf numFmtId="0" fontId="102" fillId="0" borderId="1" xfId="82" applyFont="1" applyBorder="1" applyAlignment="1" applyProtection="1">
      <alignment horizontal="left" vertical="center" wrapText="1"/>
      <protection locked="0"/>
    </xf>
    <xf numFmtId="0" fontId="102" fillId="0" borderId="1" xfId="82" applyFont="1" applyFill="1" applyBorder="1" applyAlignment="1" applyProtection="1">
      <alignment vertical="center"/>
      <protection locked="0"/>
    </xf>
    <xf numFmtId="167" fontId="106" fillId="0" borderId="1" xfId="14" applyNumberFormat="1" applyFont="1" applyBorder="1" applyAlignment="1" applyProtection="1">
      <alignment vertical="center" wrapText="1"/>
      <protection locked="0"/>
    </xf>
    <xf numFmtId="0" fontId="102" fillId="0" borderId="1" xfId="82" applyFont="1" applyBorder="1" applyAlignment="1" applyProtection="1">
      <alignment horizontal="left" vertical="center"/>
      <protection locked="0"/>
    </xf>
    <xf numFmtId="0" fontId="102" fillId="0" borderId="1" xfId="82" applyFont="1" applyFill="1" applyBorder="1" applyAlignment="1" applyProtection="1">
      <alignment horizontal="left" vertical="center" wrapText="1"/>
      <protection locked="0"/>
    </xf>
    <xf numFmtId="0" fontId="102" fillId="0" borderId="1" xfId="82" applyFont="1" applyBorder="1" applyAlignment="1" applyProtection="1">
      <alignment vertical="center"/>
      <protection locked="0"/>
    </xf>
    <xf numFmtId="0" fontId="106" fillId="0" borderId="1" xfId="0" applyFont="1" applyBorder="1" applyAlignment="1" applyProtection="1">
      <alignment vertical="center"/>
      <protection locked="0"/>
    </xf>
    <xf numFmtId="0" fontId="106" fillId="0" borderId="1" xfId="0" applyFont="1" applyFill="1" applyBorder="1" applyAlignment="1" applyProtection="1">
      <alignment vertical="center"/>
      <protection locked="0"/>
    </xf>
    <xf numFmtId="0" fontId="110" fillId="0" borderId="1" xfId="0" applyFont="1" applyBorder="1" applyAlignment="1" applyProtection="1">
      <alignment vertical="center"/>
      <protection locked="0"/>
    </xf>
    <xf numFmtId="0" fontId="101" fillId="0" borderId="1" xfId="0" applyFont="1" applyBorder="1" applyAlignment="1" applyProtection="1">
      <alignment vertical="center"/>
      <protection locked="0"/>
    </xf>
    <xf numFmtId="0" fontId="102" fillId="0" borderId="1" xfId="0" applyFont="1" applyBorder="1" applyAlignment="1" applyProtection="1">
      <alignment vertical="center"/>
      <protection locked="0"/>
    </xf>
    <xf numFmtId="0" fontId="102" fillId="0" borderId="1" xfId="82" applyFont="1" applyBorder="1" applyAlignment="1" applyProtection="1">
      <alignment vertical="center" wrapText="1"/>
      <protection locked="0"/>
    </xf>
    <xf numFmtId="2" fontId="106" fillId="0" borderId="1" xfId="82" applyNumberFormat="1" applyFont="1" applyBorder="1" applyAlignment="1" applyProtection="1">
      <alignment vertical="center"/>
      <protection locked="0"/>
    </xf>
    <xf numFmtId="0" fontId="102" fillId="0" borderId="1" xfId="82" applyFont="1" applyFill="1" applyBorder="1" applyAlignment="1" applyProtection="1">
      <alignment vertical="center" wrapText="1"/>
      <protection locked="0"/>
    </xf>
    <xf numFmtId="0" fontId="110" fillId="0" borderId="1" xfId="0" applyFont="1" applyFill="1" applyBorder="1" applyAlignment="1" applyProtection="1">
      <alignment vertical="center"/>
      <protection locked="0"/>
    </xf>
    <xf numFmtId="0" fontId="102" fillId="52" borderId="1" xfId="82" applyFont="1" applyFill="1" applyBorder="1" applyAlignment="1" applyProtection="1">
      <alignment horizontal="left" vertical="center"/>
      <protection locked="0"/>
    </xf>
    <xf numFmtId="2" fontId="102" fillId="0" borderId="1" xfId="82" applyNumberFormat="1" applyFont="1" applyBorder="1" applyAlignment="1" applyProtection="1">
      <alignment vertical="center"/>
      <protection locked="0"/>
    </xf>
    <xf numFmtId="0" fontId="102" fillId="13" borderId="1" xfId="87" applyFont="1" applyFill="1" applyBorder="1" applyAlignment="1" applyProtection="1">
      <alignment vertical="center" wrapText="1"/>
      <protection locked="0"/>
    </xf>
    <xf numFmtId="0" fontId="129" fillId="52" borderId="0" xfId="0" applyFont="1" applyFill="1" applyBorder="1" applyAlignment="1" applyProtection="1">
      <alignment horizontal="left" vertical="center" wrapText="1"/>
      <protection locked="0"/>
    </xf>
    <xf numFmtId="1" fontId="102" fillId="0" borderId="1" xfId="109" applyNumberFormat="1" applyFont="1" applyFill="1" applyBorder="1" applyAlignment="1" applyProtection="1">
      <alignment vertical="center" wrapText="1"/>
      <protection locked="0"/>
    </xf>
    <xf numFmtId="2" fontId="106" fillId="0" borderId="1" xfId="109" applyNumberFormat="1" applyFont="1" applyBorder="1" applyAlignment="1" applyProtection="1">
      <alignment vertical="center" wrapText="1"/>
      <protection locked="0"/>
    </xf>
    <xf numFmtId="1" fontId="106" fillId="0" borderId="1" xfId="109" applyNumberFormat="1" applyFont="1" applyFill="1" applyBorder="1" applyAlignment="1" applyProtection="1">
      <alignment vertical="center" wrapText="1"/>
      <protection locked="0"/>
    </xf>
    <xf numFmtId="2" fontId="53" fillId="0" borderId="1" xfId="62" applyNumberFormat="1" applyFont="1" applyFill="1" applyBorder="1" applyAlignment="1" applyProtection="1">
      <alignment horizontal="right" vertical="center"/>
      <protection locked="0"/>
    </xf>
    <xf numFmtId="0" fontId="106" fillId="0" borderId="1" xfId="97" applyFont="1" applyBorder="1" applyAlignment="1" applyProtection="1">
      <alignment vertical="top"/>
      <protection locked="0"/>
    </xf>
    <xf numFmtId="0" fontId="106" fillId="0" borderId="1" xfId="97" applyFont="1" applyBorder="1" applyAlignment="1" applyProtection="1">
      <alignment vertical="top" wrapText="1"/>
      <protection locked="0"/>
    </xf>
    <xf numFmtId="2" fontId="106" fillId="0" borderId="1" xfId="97" applyNumberFormat="1" applyFont="1" applyFill="1" applyBorder="1" applyAlignment="1" applyProtection="1">
      <alignment horizontal="right" vertical="top"/>
      <protection locked="0"/>
    </xf>
    <xf numFmtId="0" fontId="106" fillId="0" borderId="1" xfId="97" applyFont="1" applyFill="1" applyBorder="1" applyAlignment="1" applyProtection="1">
      <alignment vertical="top"/>
      <protection locked="0"/>
    </xf>
    <xf numFmtId="167" fontId="106" fillId="0" borderId="1" xfId="48" applyNumberFormat="1" applyFont="1" applyFill="1" applyBorder="1" applyAlignment="1" applyProtection="1">
      <alignment horizontal="right" vertical="top"/>
      <protection locked="0"/>
    </xf>
    <xf numFmtId="0" fontId="106" fillId="0" borderId="1" xfId="97" applyFont="1" applyFill="1" applyBorder="1" applyAlignment="1" applyProtection="1">
      <alignment vertical="top" wrapText="1"/>
      <protection locked="0"/>
    </xf>
    <xf numFmtId="0" fontId="110" fillId="0" borderId="1" xfId="50" applyFont="1" applyFill="1" applyBorder="1" applyAlignment="1" applyProtection="1">
      <alignment vertical="top" wrapText="1"/>
      <protection locked="0"/>
    </xf>
    <xf numFmtId="0" fontId="101" fillId="0" borderId="1" xfId="50" applyFont="1" applyFill="1" applyBorder="1" applyAlignment="1" applyProtection="1">
      <alignment vertical="top" wrapText="1"/>
      <protection locked="0"/>
    </xf>
    <xf numFmtId="0" fontId="110" fillId="0" borderId="1" xfId="50" applyFont="1" applyBorder="1" applyAlignment="1" applyProtection="1">
      <alignment vertical="top" wrapText="1"/>
      <protection locked="0"/>
    </xf>
    <xf numFmtId="0" fontId="106" fillId="0" borderId="1" xfId="50" applyFont="1" applyBorder="1" applyAlignment="1" applyProtection="1">
      <alignment vertical="top" wrapText="1"/>
      <protection locked="0"/>
    </xf>
    <xf numFmtId="2" fontId="102" fillId="11" borderId="1" xfId="97" applyNumberFormat="1" applyFont="1" applyFill="1" applyBorder="1" applyAlignment="1" applyProtection="1">
      <alignment horizontal="center" vertical="top"/>
      <protection locked="0"/>
    </xf>
    <xf numFmtId="2" fontId="106" fillId="0" borderId="1" xfId="97" applyNumberFormat="1" applyFont="1" applyBorder="1" applyAlignment="1" applyProtection="1">
      <alignment horizontal="right" vertical="top"/>
      <protection locked="0"/>
    </xf>
    <xf numFmtId="0" fontId="106" fillId="0" borderId="1" xfId="97" applyFont="1" applyBorder="1" applyAlignment="1" applyProtection="1">
      <alignment horizontal="center" vertical="top"/>
      <protection locked="0"/>
    </xf>
    <xf numFmtId="0" fontId="102" fillId="0" borderId="1" xfId="97" applyFont="1" applyBorder="1" applyAlignment="1" applyProtection="1">
      <alignment horizontal="center" vertical="top"/>
      <protection locked="0"/>
    </xf>
    <xf numFmtId="0" fontId="102" fillId="0" borderId="1" xfId="97" applyFont="1" applyBorder="1" applyAlignment="1" applyProtection="1">
      <alignment vertical="top"/>
      <protection locked="0"/>
    </xf>
    <xf numFmtId="2" fontId="102" fillId="0" borderId="1" xfId="97" applyNumberFormat="1" applyFont="1" applyFill="1" applyBorder="1" applyAlignment="1" applyProtection="1">
      <alignment horizontal="right" vertical="top"/>
      <protection locked="0"/>
    </xf>
    <xf numFmtId="0" fontId="102" fillId="0" borderId="1" xfId="97" applyFont="1" applyBorder="1" applyAlignment="1" applyProtection="1">
      <alignment vertical="top" wrapText="1"/>
      <protection locked="0"/>
    </xf>
    <xf numFmtId="2" fontId="102" fillId="0" borderId="1" xfId="97" applyNumberFormat="1" applyFont="1" applyBorder="1" applyAlignment="1" applyProtection="1">
      <alignment horizontal="right" vertical="top"/>
      <protection locked="0"/>
    </xf>
    <xf numFmtId="0" fontId="102" fillId="0" borderId="1" xfId="97" applyFont="1" applyFill="1" applyBorder="1" applyAlignment="1" applyProtection="1">
      <alignment vertical="top"/>
      <protection locked="0"/>
    </xf>
    <xf numFmtId="0" fontId="43" fillId="53" borderId="0" xfId="97" applyFont="1" applyFill="1" applyAlignment="1" applyProtection="1">
      <alignment horizontal="center" vertical="center"/>
    </xf>
    <xf numFmtId="0" fontId="72" fillId="53" borderId="1" xfId="50" applyFont="1" applyFill="1" applyBorder="1" applyAlignment="1" applyProtection="1">
      <alignment horizontal="left" vertical="center" wrapText="1"/>
    </xf>
    <xf numFmtId="0" fontId="72" fillId="53" borderId="1" xfId="50" applyFont="1" applyFill="1" applyBorder="1" applyAlignment="1" applyProtection="1">
      <alignment horizontal="center" vertical="center" wrapText="1"/>
    </xf>
    <xf numFmtId="0" fontId="72" fillId="53" borderId="1" xfId="50" applyFont="1" applyFill="1" applyBorder="1" applyAlignment="1" applyProtection="1">
      <alignment horizontal="center" vertical="center" wrapText="1"/>
      <protection locked="0"/>
    </xf>
    <xf numFmtId="43" fontId="72" fillId="53" borderId="1" xfId="1" applyFont="1" applyFill="1" applyBorder="1" applyAlignment="1" applyProtection="1">
      <alignment horizontal="center" vertical="center" wrapText="1"/>
    </xf>
    <xf numFmtId="0" fontId="100" fillId="53" borderId="1" xfId="0" applyFont="1" applyFill="1" applyBorder="1" applyAlignment="1" applyProtection="1">
      <alignment vertical="center" wrapText="1"/>
    </xf>
    <xf numFmtId="0" fontId="110" fillId="6" borderId="1" xfId="50" applyFont="1" applyFill="1" applyBorder="1" applyAlignment="1" applyProtection="1">
      <alignment vertical="top" wrapText="1"/>
      <protection locked="0"/>
    </xf>
    <xf numFmtId="164" fontId="106" fillId="0" borderId="1" xfId="1" applyNumberFormat="1" applyFont="1" applyBorder="1" applyAlignment="1" applyProtection="1">
      <alignment horizontal="center" vertical="top" wrapText="1"/>
      <protection locked="0"/>
    </xf>
    <xf numFmtId="164" fontId="106" fillId="0" borderId="1" xfId="1" applyNumberFormat="1" applyFont="1" applyBorder="1" applyAlignment="1" applyProtection="1">
      <alignment horizontal="center" vertical="top"/>
      <protection locked="0"/>
    </xf>
    <xf numFmtId="2" fontId="101" fillId="0" borderId="1" xfId="50" applyNumberFormat="1" applyFont="1" applyFill="1" applyBorder="1" applyAlignment="1" applyProtection="1">
      <alignment horizontal="right" vertical="top" wrapText="1"/>
      <protection locked="0"/>
    </xf>
    <xf numFmtId="0" fontId="102" fillId="0" borderId="1" xfId="50" applyFont="1" applyFill="1" applyBorder="1" applyAlignment="1" applyProtection="1">
      <alignment vertical="top" wrapText="1"/>
      <protection locked="0"/>
    </xf>
    <xf numFmtId="0" fontId="106" fillId="0" borderId="1" xfId="5" applyFont="1" applyFill="1" applyBorder="1" applyAlignment="1" applyProtection="1">
      <alignment vertical="top" wrapText="1"/>
      <protection locked="0"/>
    </xf>
    <xf numFmtId="2" fontId="102" fillId="0" borderId="1" xfId="50" applyNumberFormat="1" applyFont="1" applyFill="1" applyBorder="1" applyAlignment="1" applyProtection="1">
      <alignment horizontal="right" vertical="top" wrapText="1"/>
      <protection locked="0"/>
    </xf>
    <xf numFmtId="2" fontId="106" fillId="0" borderId="1" xfId="5" applyNumberFormat="1" applyFont="1" applyFill="1" applyBorder="1" applyAlignment="1" applyProtection="1">
      <alignment horizontal="right" vertical="top" wrapText="1"/>
      <protection locked="0"/>
    </xf>
    <xf numFmtId="0" fontId="106" fillId="0" borderId="1" xfId="5" applyFont="1" applyBorder="1" applyAlignment="1" applyProtection="1">
      <alignment vertical="top" wrapText="1"/>
      <protection locked="0"/>
    </xf>
    <xf numFmtId="0" fontId="103" fillId="0" borderId="1" xfId="97" applyFont="1" applyBorder="1" applyAlignment="1" applyProtection="1">
      <alignment vertical="top"/>
      <protection locked="0"/>
    </xf>
    <xf numFmtId="2" fontId="110" fillId="6" borderId="1" xfId="50" applyNumberFormat="1" applyFont="1" applyFill="1" applyBorder="1" applyAlignment="1" applyProtection="1">
      <alignment horizontal="right" vertical="top" wrapText="1"/>
      <protection locked="0"/>
    </xf>
    <xf numFmtId="0" fontId="36" fillId="0" borderId="1" xfId="97" applyFont="1" applyBorder="1" applyAlignment="1" applyProtection="1">
      <alignment horizontal="center" vertical="center"/>
      <protection locked="0"/>
    </xf>
    <xf numFmtId="0" fontId="119" fillId="0" borderId="1" xfId="109" applyFont="1" applyFill="1" applyBorder="1" applyAlignment="1" applyProtection="1">
      <alignment vertical="center" wrapText="1"/>
      <protection locked="0"/>
    </xf>
    <xf numFmtId="0" fontId="119" fillId="0" borderId="1" xfId="109" applyFont="1" applyBorder="1" applyAlignment="1" applyProtection="1">
      <alignment vertical="center" wrapText="1"/>
      <protection locked="0"/>
    </xf>
    <xf numFmtId="1" fontId="102" fillId="0" borderId="1" xfId="109" applyNumberFormat="1" applyFont="1" applyBorder="1" applyAlignment="1" applyProtection="1">
      <alignment vertical="center" wrapText="1"/>
      <protection locked="0"/>
    </xf>
    <xf numFmtId="1" fontId="119" fillId="0" borderId="1" xfId="109" applyNumberFormat="1" applyFont="1" applyFill="1" applyBorder="1" applyAlignment="1" applyProtection="1">
      <alignment vertical="center" wrapText="1"/>
      <protection locked="0"/>
    </xf>
    <xf numFmtId="2" fontId="106" fillId="0" borderId="1" xfId="9" applyNumberFormat="1" applyFont="1" applyBorder="1" applyAlignment="1">
      <alignment vertical="center" wrapText="1"/>
    </xf>
    <xf numFmtId="0" fontId="119" fillId="0" borderId="1" xfId="9" applyFont="1" applyBorder="1" applyAlignment="1" applyProtection="1">
      <alignment vertical="center" wrapText="1"/>
      <protection locked="0"/>
    </xf>
    <xf numFmtId="0" fontId="106" fillId="0" borderId="1" xfId="9" applyFont="1" applyBorder="1" applyAlignment="1" applyProtection="1">
      <alignment vertical="center" wrapText="1"/>
      <protection locked="0"/>
    </xf>
    <xf numFmtId="2" fontId="110" fillId="3" borderId="1" xfId="4" applyNumberFormat="1" applyFont="1" applyFill="1" applyBorder="1" applyAlignment="1">
      <alignment horizontal="right" vertical="center" wrapText="1"/>
    </xf>
    <xf numFmtId="2" fontId="110" fillId="3" borderId="1" xfId="4" applyNumberFormat="1" applyFont="1" applyFill="1" applyBorder="1" applyAlignment="1" applyProtection="1">
      <alignment horizontal="right" vertical="center" wrapText="1"/>
      <protection locked="0"/>
    </xf>
    <xf numFmtId="0" fontId="101" fillId="3" borderId="1" xfId="4" applyFont="1" applyFill="1" applyBorder="1" applyAlignment="1" applyProtection="1">
      <alignment vertical="center" wrapText="1"/>
      <protection locked="0"/>
    </xf>
    <xf numFmtId="0" fontId="102" fillId="0" borderId="1" xfId="9" applyFont="1" applyBorder="1" applyAlignment="1" applyProtection="1">
      <alignment vertical="center" wrapText="1"/>
      <protection locked="0"/>
    </xf>
    <xf numFmtId="1" fontId="101" fillId="0" borderId="1" xfId="109" applyNumberFormat="1" applyFont="1" applyFill="1" applyBorder="1" applyAlignment="1" applyProtection="1">
      <alignment vertical="center" wrapText="1"/>
      <protection locked="0"/>
    </xf>
    <xf numFmtId="9" fontId="102" fillId="0" borderId="1" xfId="109" applyNumberFormat="1" applyFont="1" applyFill="1" applyBorder="1" applyAlignment="1" applyProtection="1">
      <alignment vertical="center" wrapText="1"/>
      <protection locked="0"/>
    </xf>
    <xf numFmtId="2" fontId="110" fillId="4" borderId="1" xfId="109" applyNumberFormat="1" applyFont="1" applyFill="1" applyBorder="1" applyAlignment="1">
      <alignment vertical="center" wrapText="1"/>
    </xf>
    <xf numFmtId="2" fontId="110" fillId="4" borderId="1" xfId="109" applyNumberFormat="1" applyFont="1" applyFill="1" applyBorder="1" applyAlignment="1" applyProtection="1">
      <alignment vertical="center" wrapText="1"/>
      <protection locked="0"/>
    </xf>
    <xf numFmtId="2" fontId="110" fillId="3" borderId="1" xfId="109" applyNumberFormat="1" applyFont="1" applyFill="1" applyBorder="1" applyAlignment="1">
      <alignment vertical="center" wrapText="1"/>
    </xf>
    <xf numFmtId="2" fontId="110" fillId="3" borderId="1" xfId="109" applyNumberFormat="1" applyFont="1" applyFill="1" applyBorder="1" applyAlignment="1" applyProtection="1">
      <alignment vertical="center" wrapText="1"/>
      <protection locked="0"/>
    </xf>
    <xf numFmtId="0" fontId="106" fillId="0" borderId="1" xfId="0" applyFont="1" applyBorder="1" applyAlignment="1" applyProtection="1">
      <alignment horizontal="center" vertical="center"/>
      <protection locked="0"/>
    </xf>
    <xf numFmtId="0" fontId="102" fillId="4" borderId="1" xfId="109" applyFont="1" applyFill="1" applyBorder="1" applyAlignment="1" applyProtection="1">
      <alignment vertical="center" wrapText="1"/>
      <protection locked="0"/>
    </xf>
    <xf numFmtId="0" fontId="102" fillId="3" borderId="1" xfId="109" applyFont="1" applyFill="1" applyBorder="1" applyAlignment="1" applyProtection="1">
      <alignment vertical="center" wrapText="1"/>
      <protection locked="0"/>
    </xf>
    <xf numFmtId="9" fontId="102" fillId="0" borderId="1" xfId="109" applyNumberFormat="1" applyFont="1" applyBorder="1" applyAlignment="1" applyProtection="1">
      <alignment vertical="center" wrapText="1"/>
      <protection locked="0"/>
    </xf>
    <xf numFmtId="0" fontId="106" fillId="20" borderId="1" xfId="109" applyFont="1" applyFill="1" applyBorder="1" applyAlignment="1" applyProtection="1">
      <alignment vertical="center" wrapText="1"/>
    </xf>
    <xf numFmtId="0" fontId="106" fillId="22" borderId="1" xfId="109" applyFont="1" applyFill="1" applyBorder="1" applyAlignment="1" applyProtection="1">
      <alignment vertical="center" wrapText="1"/>
      <protection locked="0"/>
    </xf>
    <xf numFmtId="0" fontId="110" fillId="4" borderId="1" xfId="109" applyFont="1" applyFill="1" applyBorder="1" applyAlignment="1" applyProtection="1">
      <alignment vertical="center" wrapText="1"/>
      <protection locked="0"/>
    </xf>
    <xf numFmtId="2" fontId="106" fillId="0" borderId="1" xfId="109" applyNumberFormat="1" applyFont="1" applyFill="1" applyBorder="1" applyAlignment="1" applyProtection="1">
      <alignment vertical="center" wrapText="1"/>
      <protection locked="0"/>
    </xf>
    <xf numFmtId="1" fontId="119" fillId="0" borderId="1" xfId="109" applyNumberFormat="1" applyFont="1" applyBorder="1" applyAlignment="1" applyProtection="1">
      <alignment vertical="center" wrapText="1"/>
      <protection locked="0"/>
    </xf>
    <xf numFmtId="0" fontId="102" fillId="22" borderId="1" xfId="109" applyFont="1" applyFill="1" applyBorder="1" applyAlignment="1" applyProtection="1">
      <alignment vertical="center" wrapText="1"/>
    </xf>
    <xf numFmtId="2" fontId="101" fillId="4" borderId="1" xfId="109" applyNumberFormat="1" applyFont="1" applyFill="1" applyBorder="1" applyAlignment="1">
      <alignment vertical="center" wrapText="1"/>
    </xf>
    <xf numFmtId="0" fontId="101" fillId="3" borderId="1" xfId="109" applyFont="1" applyFill="1" applyBorder="1" applyAlignment="1" applyProtection="1">
      <alignment vertical="center" wrapText="1"/>
      <protection locked="0"/>
    </xf>
    <xf numFmtId="0" fontId="106" fillId="2" borderId="1" xfId="9" applyFont="1" applyFill="1" applyBorder="1" applyAlignment="1" applyProtection="1">
      <alignment vertical="center" wrapText="1"/>
      <protection locked="0"/>
    </xf>
    <xf numFmtId="2" fontId="101" fillId="2" borderId="1" xfId="109" applyNumberFormat="1" applyFont="1" applyFill="1" applyBorder="1" applyAlignment="1" applyProtection="1">
      <alignment vertical="center" wrapText="1"/>
      <protection locked="0"/>
    </xf>
    <xf numFmtId="0" fontId="110" fillId="2" borderId="1" xfId="109" applyFont="1" applyFill="1" applyBorder="1" applyAlignment="1" applyProtection="1">
      <alignment vertical="center" wrapText="1"/>
      <protection locked="0"/>
    </xf>
    <xf numFmtId="2" fontId="110" fillId="2" borderId="1" xfId="109" applyNumberFormat="1" applyFont="1" applyFill="1" applyBorder="1" applyAlignment="1" applyProtection="1">
      <alignment vertical="center" wrapText="1"/>
      <protection locked="0"/>
    </xf>
    <xf numFmtId="1" fontId="102" fillId="2" borderId="1" xfId="109" applyNumberFormat="1" applyFont="1" applyFill="1" applyBorder="1" applyAlignment="1" applyProtection="1">
      <alignment vertical="center" wrapText="1"/>
      <protection locked="0"/>
    </xf>
    <xf numFmtId="2" fontId="110" fillId="2" borderId="1" xfId="9" applyNumberFormat="1" applyFont="1" applyFill="1" applyBorder="1" applyAlignment="1" applyProtection="1">
      <alignment vertical="center" wrapText="1"/>
      <protection locked="0"/>
    </xf>
    <xf numFmtId="0" fontId="102" fillId="2" borderId="1" xfId="109" applyFont="1" applyFill="1" applyBorder="1" applyAlignment="1" applyProtection="1">
      <alignment vertical="center" wrapText="1"/>
      <protection locked="0"/>
    </xf>
    <xf numFmtId="0" fontId="102" fillId="0" borderId="1" xfId="9" applyFont="1" applyFill="1" applyBorder="1" applyAlignment="1" applyProtection="1">
      <alignment vertical="center" wrapText="1"/>
      <protection locked="0"/>
    </xf>
    <xf numFmtId="2" fontId="110" fillId="0" borderId="1" xfId="109" applyNumberFormat="1" applyFont="1" applyFill="1" applyBorder="1" applyAlignment="1" applyProtection="1">
      <alignment vertical="center" wrapText="1"/>
      <protection locked="0"/>
    </xf>
    <xf numFmtId="0" fontId="106" fillId="34" borderId="1" xfId="9" applyFont="1" applyFill="1" applyBorder="1" applyAlignment="1" applyProtection="1">
      <alignment vertical="center" wrapText="1"/>
      <protection locked="0"/>
    </xf>
    <xf numFmtId="0" fontId="103" fillId="34" borderId="1" xfId="9" applyFont="1" applyFill="1" applyBorder="1" applyAlignment="1" applyProtection="1">
      <alignment horizontal="center" vertical="center" wrapText="1"/>
      <protection locked="0"/>
    </xf>
    <xf numFmtId="167" fontId="117" fillId="34" borderId="1" xfId="9" applyNumberFormat="1" applyFont="1" applyFill="1" applyBorder="1" applyAlignment="1" applyProtection="1">
      <alignment vertical="center" wrapText="1"/>
      <protection locked="0"/>
    </xf>
    <xf numFmtId="0" fontId="106" fillId="0" borderId="1" xfId="9" applyFont="1" applyBorder="1" applyAlignment="1" applyProtection="1">
      <alignment horizontal="center" vertical="center" wrapText="1"/>
      <protection locked="0"/>
    </xf>
    <xf numFmtId="167" fontId="101" fillId="0" borderId="1" xfId="9" applyNumberFormat="1" applyFont="1" applyBorder="1" applyAlignment="1" applyProtection="1">
      <alignment vertical="center" wrapText="1"/>
      <protection locked="0"/>
    </xf>
    <xf numFmtId="0" fontId="103" fillId="34" borderId="1" xfId="9" applyFont="1" applyFill="1" applyBorder="1" applyAlignment="1" applyProtection="1">
      <alignment vertical="center" wrapText="1"/>
      <protection locked="0"/>
    </xf>
    <xf numFmtId="2" fontId="106" fillId="34" borderId="1" xfId="9" applyNumberFormat="1" applyFont="1" applyFill="1" applyBorder="1" applyAlignment="1">
      <alignment vertical="center" wrapText="1"/>
    </xf>
    <xf numFmtId="0" fontId="102" fillId="0" borderId="1" xfId="109" applyFont="1" applyFill="1" applyBorder="1" applyAlignment="1" applyProtection="1">
      <alignment horizontal="left" vertical="center" wrapText="1"/>
      <protection locked="0"/>
    </xf>
    <xf numFmtId="0" fontId="102" fillId="0" borderId="1" xfId="0" applyFont="1" applyFill="1" applyBorder="1" applyAlignment="1" applyProtection="1">
      <alignment horizontal="right" vertical="top"/>
      <protection locked="0"/>
    </xf>
    <xf numFmtId="43" fontId="77" fillId="4" borderId="1" xfId="1" applyFont="1" applyFill="1" applyBorder="1" applyAlignment="1" applyProtection="1">
      <alignment horizontal="right" vertical="center"/>
      <protection locked="0"/>
    </xf>
    <xf numFmtId="0" fontId="51" fillId="0" borderId="1" xfId="8" applyFont="1" applyBorder="1" applyAlignment="1" applyProtection="1">
      <alignment vertical="center" wrapText="1"/>
      <protection locked="0"/>
    </xf>
    <xf numFmtId="0" fontId="53" fillId="0" borderId="1" xfId="0" applyFont="1" applyFill="1" applyBorder="1" applyAlignment="1" applyProtection="1">
      <alignment horizontal="left" vertical="center"/>
      <protection locked="0"/>
    </xf>
    <xf numFmtId="2" fontId="51" fillId="0" borderId="1" xfId="8" applyNumberFormat="1" applyFont="1" applyBorder="1" applyAlignment="1" applyProtection="1">
      <alignment horizontal="right" vertical="center" wrapText="1"/>
      <protection locked="0"/>
    </xf>
    <xf numFmtId="0" fontId="53" fillId="0" borderId="1" xfId="0" applyFont="1" applyFill="1" applyBorder="1" applyAlignment="1" applyProtection="1">
      <alignment horizontal="left" vertical="center" wrapText="1"/>
      <protection locked="0"/>
    </xf>
    <xf numFmtId="0" fontId="51" fillId="0" borderId="1" xfId="0" applyFont="1" applyFill="1" applyBorder="1" applyAlignment="1" applyProtection="1">
      <alignment horizontal="left" vertical="center" wrapText="1"/>
      <protection locked="0"/>
    </xf>
    <xf numFmtId="0" fontId="51" fillId="0" borderId="1" xfId="0" applyFont="1" applyFill="1" applyBorder="1" applyAlignment="1" applyProtection="1">
      <alignment horizontal="left" vertical="center"/>
      <protection locked="0"/>
    </xf>
    <xf numFmtId="2" fontId="51" fillId="0" borderId="1" xfId="0" applyNumberFormat="1" applyFont="1" applyFill="1" applyBorder="1" applyAlignment="1" applyProtection="1">
      <alignment horizontal="right" vertical="center"/>
      <protection locked="0"/>
    </xf>
    <xf numFmtId="0" fontId="130" fillId="0" borderId="1" xfId="8" applyFont="1" applyBorder="1" applyAlignment="1" applyProtection="1">
      <alignment vertical="center" wrapText="1"/>
      <protection locked="0"/>
    </xf>
    <xf numFmtId="0" fontId="130" fillId="0" borderId="1" xfId="0" applyFont="1" applyBorder="1" applyAlignment="1" applyProtection="1">
      <alignment vertical="center"/>
      <protection locked="0"/>
    </xf>
    <xf numFmtId="2" fontId="101" fillId="0" borderId="1" xfId="4" applyNumberFormat="1" applyFont="1" applyFill="1" applyBorder="1" applyAlignment="1" applyProtection="1">
      <alignment vertical="top" wrapText="1"/>
      <protection locked="0"/>
    </xf>
    <xf numFmtId="1" fontId="70" fillId="7" borderId="1" xfId="1" applyNumberFormat="1" applyFont="1" applyFill="1" applyBorder="1" applyAlignment="1" applyProtection="1">
      <alignment horizontal="center" vertical="center" wrapText="1"/>
    </xf>
    <xf numFmtId="1" fontId="77" fillId="4" borderId="1" xfId="1" applyNumberFormat="1" applyFont="1" applyFill="1" applyBorder="1" applyAlignment="1" applyProtection="1">
      <alignment horizontal="center" vertical="center" wrapText="1"/>
    </xf>
    <xf numFmtId="1" fontId="43" fillId="0" borderId="1" xfId="8" applyNumberFormat="1" applyFont="1" applyBorder="1" applyAlignment="1" applyProtection="1">
      <alignment vertical="center" wrapText="1"/>
      <protection locked="0"/>
    </xf>
    <xf numFmtId="1" fontId="72" fillId="4" borderId="1" xfId="1" applyNumberFormat="1" applyFont="1" applyFill="1" applyBorder="1" applyAlignment="1" applyProtection="1">
      <alignment horizontal="center" vertical="center" wrapText="1"/>
      <protection locked="0"/>
    </xf>
    <xf numFmtId="1" fontId="119" fillId="0" borderId="1" xfId="9" applyNumberFormat="1" applyFont="1" applyBorder="1" applyAlignment="1" applyProtection="1">
      <alignment vertical="center" wrapText="1"/>
      <protection locked="0"/>
    </xf>
    <xf numFmtId="1" fontId="106" fillId="0" borderId="1" xfId="9" applyNumberFormat="1" applyFont="1" applyBorder="1" applyAlignment="1" applyProtection="1">
      <alignment vertical="center" wrapText="1"/>
      <protection locked="0"/>
    </xf>
    <xf numFmtId="1" fontId="110" fillId="3" borderId="1" xfId="4" applyNumberFormat="1" applyFont="1" applyFill="1" applyBorder="1" applyAlignment="1">
      <alignment horizontal="right" vertical="center" wrapText="1"/>
    </xf>
    <xf numFmtId="1" fontId="110" fillId="4" borderId="1" xfId="109" applyNumberFormat="1" applyFont="1" applyFill="1" applyBorder="1" applyAlignment="1">
      <alignment vertical="center" wrapText="1"/>
    </xf>
    <xf numFmtId="1" fontId="110" fillId="3" borderId="1" xfId="109" applyNumberFormat="1" applyFont="1" applyFill="1" applyBorder="1" applyAlignment="1">
      <alignment vertical="center" wrapText="1"/>
    </xf>
    <xf numFmtId="1" fontId="106" fillId="20" borderId="1" xfId="109" applyNumberFormat="1" applyFont="1" applyFill="1" applyBorder="1" applyAlignment="1" applyProtection="1">
      <alignment vertical="center" wrapText="1"/>
    </xf>
    <xf numFmtId="1" fontId="106" fillId="0" borderId="1" xfId="109" applyNumberFormat="1" applyFont="1" applyBorder="1" applyAlignment="1" applyProtection="1">
      <alignment vertical="center" wrapText="1"/>
      <protection locked="0"/>
    </xf>
    <xf numFmtId="1" fontId="102" fillId="0" borderId="1" xfId="9" applyNumberFormat="1" applyFont="1" applyBorder="1" applyAlignment="1" applyProtection="1">
      <alignment vertical="center" wrapText="1"/>
      <protection locked="0"/>
    </xf>
    <xf numFmtId="1" fontId="101" fillId="4" borderId="1" xfId="109" applyNumberFormat="1" applyFont="1" applyFill="1" applyBorder="1" applyAlignment="1">
      <alignment vertical="center" wrapText="1"/>
    </xf>
    <xf numFmtId="0" fontId="51" fillId="0" borderId="1" xfId="62" applyFont="1" applyFill="1" applyBorder="1" applyAlignment="1" applyProtection="1">
      <alignment horizontal="right" vertical="center" wrapText="1"/>
      <protection locked="0"/>
    </xf>
    <xf numFmtId="2" fontId="52" fillId="6" borderId="1" xfId="4" applyNumberFormat="1" applyFont="1" applyFill="1" applyBorder="1" applyAlignment="1" applyProtection="1">
      <alignment horizontal="right" vertical="center" wrapText="1"/>
    </xf>
    <xf numFmtId="2" fontId="53" fillId="0" borderId="1" xfId="4" applyNumberFormat="1" applyFont="1" applyBorder="1" applyAlignment="1" applyProtection="1">
      <alignment horizontal="right" vertical="center" wrapText="1"/>
    </xf>
    <xf numFmtId="2" fontId="52" fillId="6" borderId="1" xfId="0" applyNumberFormat="1" applyFont="1" applyFill="1" applyBorder="1" applyAlignment="1" applyProtection="1">
      <alignment horizontal="right" vertical="center" wrapText="1"/>
    </xf>
    <xf numFmtId="165" fontId="53" fillId="0" borderId="1" xfId="4" applyNumberFormat="1" applyFont="1" applyBorder="1" applyAlignment="1" applyProtection="1">
      <alignment horizontal="right" vertical="center" wrapText="1"/>
    </xf>
    <xf numFmtId="2" fontId="53" fillId="0" borderId="1" xfId="0" applyNumberFormat="1" applyFont="1" applyBorder="1" applyAlignment="1" applyProtection="1">
      <alignment horizontal="right" vertical="center" wrapText="1"/>
    </xf>
    <xf numFmtId="2" fontId="52" fillId="0" borderId="1" xfId="0" applyNumberFormat="1" applyFont="1" applyBorder="1" applyAlignment="1" applyProtection="1">
      <alignment horizontal="right" vertical="center" wrapText="1"/>
    </xf>
    <xf numFmtId="0" fontId="35" fillId="0" borderId="1" xfId="8" applyFont="1" applyBorder="1" applyAlignment="1" applyProtection="1">
      <alignment vertical="center"/>
      <protection locked="0"/>
    </xf>
    <xf numFmtId="2" fontId="53" fillId="6" borderId="1" xfId="0" applyNumberFormat="1" applyFont="1" applyFill="1" applyBorder="1" applyAlignment="1" applyProtection="1">
      <alignment horizontal="center" vertical="center" wrapText="1"/>
    </xf>
    <xf numFmtId="2" fontId="61" fillId="6" borderId="1" xfId="0" applyNumberFormat="1" applyFont="1" applyFill="1" applyBorder="1" applyAlignment="1" applyProtection="1">
      <alignment horizontal="center" vertical="center"/>
    </xf>
    <xf numFmtId="43" fontId="101" fillId="6" borderId="1" xfId="1" applyFont="1" applyFill="1" applyBorder="1" applyAlignment="1" applyProtection="1">
      <alignment horizontal="center" vertical="center" wrapText="1"/>
      <protection locked="0"/>
    </xf>
    <xf numFmtId="0" fontId="35" fillId="0" borderId="1" xfId="8" applyFont="1" applyBorder="1" applyAlignment="1" applyProtection="1">
      <alignment horizontal="center" vertical="center"/>
      <protection locked="0"/>
    </xf>
    <xf numFmtId="0" fontId="75" fillId="52" borderId="1" xfId="8" applyFont="1" applyFill="1" applyBorder="1" applyAlignment="1" applyProtection="1">
      <alignment horizontal="left" vertical="center"/>
      <protection locked="0"/>
    </xf>
    <xf numFmtId="0" fontId="86" fillId="52" borderId="1" xfId="0" applyFont="1" applyFill="1" applyBorder="1" applyAlignment="1" applyProtection="1">
      <alignment horizontal="left" vertical="center" wrapText="1"/>
      <protection locked="0"/>
    </xf>
    <xf numFmtId="0" fontId="75" fillId="0" borderId="1" xfId="8" applyFont="1" applyFill="1" applyBorder="1" applyAlignment="1" applyProtection="1">
      <alignment horizontal="right" vertical="center" wrapText="1"/>
      <protection locked="0"/>
    </xf>
    <xf numFmtId="0" fontId="34" fillId="11" borderId="1" xfId="87" applyFont="1" applyFill="1" applyBorder="1" applyAlignment="1" applyProtection="1">
      <alignment vertical="center" wrapText="1"/>
    </xf>
    <xf numFmtId="43" fontId="43" fillId="0" borderId="0" xfId="62" applyNumberFormat="1" applyFont="1" applyAlignment="1" applyProtection="1">
      <alignment horizontal="right" vertical="center"/>
    </xf>
    <xf numFmtId="43" fontId="43" fillId="0" borderId="0" xfId="8" applyNumberFormat="1" applyFont="1" applyAlignment="1" applyProtection="1">
      <alignment vertical="center"/>
    </xf>
    <xf numFmtId="2" fontId="43" fillId="0" borderId="0" xfId="8" applyNumberFormat="1" applyFont="1" applyAlignment="1" applyProtection="1">
      <alignment vertical="center"/>
    </xf>
    <xf numFmtId="0" fontId="75" fillId="0" borderId="1" xfId="0" applyFont="1" applyBorder="1" applyAlignment="1" applyProtection="1">
      <alignment horizontal="right" vertical="center" wrapText="1"/>
    </xf>
    <xf numFmtId="0" fontId="77" fillId="0" borderId="1" xfId="0" applyFont="1" applyBorder="1" applyAlignment="1" applyProtection="1">
      <alignment vertical="center" wrapText="1"/>
    </xf>
    <xf numFmtId="2" fontId="75" fillId="0" borderId="1" xfId="0" applyNumberFormat="1" applyFont="1" applyBorder="1" applyAlignment="1" applyProtection="1">
      <alignment vertical="center" wrapText="1"/>
    </xf>
    <xf numFmtId="2" fontId="75" fillId="0" borderId="0" xfId="0" applyNumberFormat="1" applyFont="1" applyAlignment="1" applyProtection="1">
      <alignment vertical="center" wrapText="1"/>
    </xf>
    <xf numFmtId="0" fontId="33" fillId="0" borderId="1" xfId="8" applyFont="1" applyBorder="1" applyAlignment="1" applyProtection="1">
      <alignment vertical="center"/>
      <protection locked="0"/>
    </xf>
    <xf numFmtId="2" fontId="33" fillId="0" borderId="1" xfId="4" applyNumberFormat="1" applyFont="1" applyBorder="1" applyAlignment="1" applyProtection="1">
      <alignment horizontal="left" vertical="center" wrapText="1"/>
      <protection locked="0"/>
    </xf>
    <xf numFmtId="2" fontId="71" fillId="0" borderId="1" xfId="9" applyNumberFormat="1" applyFont="1" applyBorder="1" applyAlignment="1" applyProtection="1">
      <alignment vertical="center" wrapText="1"/>
    </xf>
    <xf numFmtId="0" fontId="32" fillId="0" borderId="1" xfId="4" applyFont="1" applyBorder="1" applyAlignment="1" applyProtection="1">
      <alignment vertical="center" wrapText="1"/>
      <protection locked="0"/>
    </xf>
    <xf numFmtId="0" fontId="75" fillId="13" borderId="1" xfId="0" applyFont="1" applyFill="1" applyBorder="1" applyAlignment="1" applyProtection="1">
      <alignment horizontal="left" vertical="center" wrapText="1"/>
      <protection locked="0"/>
    </xf>
    <xf numFmtId="0" fontId="32" fillId="0" borderId="1" xfId="4" applyFont="1" applyBorder="1" applyAlignment="1" applyProtection="1">
      <alignment vertical="center" wrapText="1"/>
    </xf>
    <xf numFmtId="1" fontId="43" fillId="0" borderId="1" xfId="8" applyNumberFormat="1" applyFont="1" applyBorder="1" applyAlignment="1" applyProtection="1">
      <alignment horizontal="center" vertical="center" wrapText="1"/>
      <protection locked="0"/>
    </xf>
    <xf numFmtId="2" fontId="43" fillId="0" borderId="0" xfId="62" applyNumberFormat="1" applyFont="1" applyAlignment="1" applyProtection="1">
      <alignment horizontal="right" vertical="center"/>
    </xf>
    <xf numFmtId="0" fontId="43" fillId="52" borderId="1" xfId="9" applyFont="1" applyFill="1" applyBorder="1" applyAlignment="1" applyProtection="1">
      <alignment horizontal="left" vertical="center" wrapText="1"/>
    </xf>
    <xf numFmtId="0" fontId="121" fillId="52" borderId="1" xfId="9" applyFont="1" applyFill="1" applyBorder="1" applyAlignment="1" applyProtection="1">
      <alignment horizontal="left" vertical="center" wrapText="1"/>
      <protection locked="0"/>
    </xf>
    <xf numFmtId="0" fontId="132" fillId="0" borderId="1" xfId="0" applyFont="1" applyFill="1" applyBorder="1" applyAlignment="1">
      <alignment vertical="center"/>
    </xf>
    <xf numFmtId="0" fontId="132" fillId="0" borderId="1" xfId="0" applyFont="1" applyFill="1" applyBorder="1" applyAlignment="1">
      <alignment horizontal="center" vertical="center"/>
    </xf>
    <xf numFmtId="1" fontId="102" fillId="0" borderId="1" xfId="4" applyNumberFormat="1" applyFont="1" applyBorder="1" applyAlignment="1" applyProtection="1">
      <alignment vertical="center" wrapText="1"/>
      <protection locked="0"/>
    </xf>
    <xf numFmtId="0" fontId="103" fillId="52" borderId="1" xfId="0" applyFont="1" applyFill="1" applyBorder="1" applyAlignment="1" applyProtection="1">
      <alignment horizontal="left" vertical="center" wrapText="1"/>
      <protection locked="0"/>
    </xf>
    <xf numFmtId="0" fontId="31" fillId="0" borderId="1" xfId="4" applyFont="1" applyBorder="1" applyAlignment="1" applyProtection="1">
      <alignment vertical="center" wrapText="1"/>
    </xf>
    <xf numFmtId="2" fontId="71" fillId="0" borderId="1" xfId="87" applyNumberFormat="1" applyFont="1" applyBorder="1" applyAlignment="1" applyProtection="1">
      <alignment horizontal="right" vertical="center"/>
    </xf>
    <xf numFmtId="0" fontId="43" fillId="54" borderId="1" xfId="4" applyFont="1" applyFill="1" applyBorder="1" applyAlignment="1" applyProtection="1">
      <alignment vertical="center" wrapText="1"/>
    </xf>
    <xf numFmtId="0" fontId="43" fillId="55" borderId="1" xfId="8" applyFont="1" applyFill="1" applyBorder="1" applyAlignment="1" applyProtection="1">
      <alignment horizontal="left" vertical="center" wrapText="1"/>
    </xf>
    <xf numFmtId="0" fontId="75" fillId="13" borderId="5" xfId="62" applyFont="1" applyFill="1" applyBorder="1" applyAlignment="1" applyProtection="1">
      <alignment horizontal="left" vertical="center" wrapText="1"/>
      <protection locked="0"/>
    </xf>
    <xf numFmtId="0" fontId="30" fillId="0" borderId="1" xfId="8" applyFont="1" applyBorder="1" applyAlignment="1" applyProtection="1">
      <alignment vertical="center"/>
      <protection locked="0"/>
    </xf>
    <xf numFmtId="0" fontId="102" fillId="13" borderId="1" xfId="109" applyFont="1" applyFill="1" applyBorder="1" applyAlignment="1" applyProtection="1">
      <alignment vertical="center" wrapText="1"/>
      <protection locked="0"/>
    </xf>
    <xf numFmtId="0" fontId="30" fillId="0" borderId="1" xfId="9" applyFont="1" applyBorder="1" applyAlignment="1" applyProtection="1">
      <alignment vertical="center" wrapText="1"/>
      <protection locked="0"/>
    </xf>
    <xf numFmtId="0" fontId="86" fillId="13" borderId="1" xfId="0" applyFont="1" applyFill="1" applyBorder="1" applyAlignment="1" applyProtection="1">
      <alignment horizontal="left" vertical="center" wrapText="1"/>
      <protection locked="0"/>
    </xf>
    <xf numFmtId="0" fontId="102" fillId="13" borderId="1" xfId="109" applyFont="1" applyFill="1" applyBorder="1" applyAlignment="1" applyProtection="1">
      <alignment horizontal="left" vertical="top" wrapText="1"/>
      <protection locked="0"/>
    </xf>
    <xf numFmtId="0" fontId="29" fillId="0" borderId="1" xfId="97" applyFont="1" applyFill="1" applyBorder="1" applyAlignment="1" applyProtection="1">
      <alignment horizontal="center" vertical="center"/>
      <protection locked="0"/>
    </xf>
    <xf numFmtId="0" fontId="29" fillId="0" borderId="1" xfId="9" applyFont="1" applyFill="1" applyBorder="1" applyAlignment="1" applyProtection="1">
      <alignment horizontal="left" vertical="center" wrapText="1"/>
    </xf>
    <xf numFmtId="0" fontId="75" fillId="13" borderId="1" xfId="9" applyFont="1" applyFill="1" applyBorder="1" applyAlignment="1" applyProtection="1">
      <alignment horizontal="left" vertical="center" wrapText="1"/>
      <protection locked="0"/>
    </xf>
    <xf numFmtId="0" fontId="51" fillId="0" borderId="1" xfId="75" applyFont="1" applyFill="1" applyBorder="1" applyAlignment="1" applyProtection="1">
      <alignment horizontal="left" vertical="center" wrapText="1"/>
      <protection locked="0"/>
    </xf>
    <xf numFmtId="0" fontId="102" fillId="13" borderId="1" xfId="109" applyFont="1" applyFill="1" applyBorder="1" applyAlignment="1" applyProtection="1">
      <alignment vertical="top" wrapText="1"/>
      <protection locked="0"/>
    </xf>
    <xf numFmtId="2" fontId="75" fillId="0" borderId="0" xfId="0" applyNumberFormat="1" applyFont="1" applyAlignment="1" applyProtection="1">
      <alignment horizontal="right" vertical="center" wrapText="1"/>
    </xf>
    <xf numFmtId="2" fontId="75" fillId="0" borderId="1" xfId="0" applyNumberFormat="1" applyFont="1" applyBorder="1" applyAlignment="1" applyProtection="1">
      <alignment horizontal="right" vertical="center" wrapText="1"/>
    </xf>
    <xf numFmtId="2" fontId="75" fillId="0" borderId="0" xfId="0" applyNumberFormat="1" applyFont="1" applyAlignment="1" applyProtection="1">
      <alignment horizontal="left" vertical="center" wrapText="1"/>
    </xf>
    <xf numFmtId="0" fontId="28" fillId="0" borderId="1" xfId="82" applyFont="1" applyBorder="1" applyAlignment="1" applyProtection="1">
      <alignment vertical="center"/>
      <protection locked="0"/>
    </xf>
    <xf numFmtId="0" fontId="28" fillId="52" borderId="5" xfId="82" applyFont="1" applyFill="1" applyBorder="1" applyAlignment="1" applyProtection="1">
      <alignment horizontal="left" vertical="center" wrapText="1"/>
      <protection locked="0"/>
    </xf>
    <xf numFmtId="0" fontId="28" fillId="0" borderId="1" xfId="82" applyFont="1" applyBorder="1" applyAlignment="1" applyProtection="1">
      <alignment vertical="center" wrapText="1"/>
      <protection locked="0"/>
    </xf>
    <xf numFmtId="2" fontId="75" fillId="0" borderId="1" xfId="0" applyNumberFormat="1" applyFont="1" applyBorder="1" applyAlignment="1" applyProtection="1">
      <alignment horizontal="right" vertical="center" wrapText="1"/>
      <protection locked="0"/>
    </xf>
    <xf numFmtId="0" fontId="28" fillId="0" borderId="1" xfId="8" applyFont="1" applyBorder="1" applyAlignment="1" applyProtection="1">
      <alignment horizontal="left" vertical="center" wrapText="1"/>
      <protection locked="0"/>
    </xf>
    <xf numFmtId="0" fontId="28" fillId="0" borderId="1" xfId="9" applyFont="1" applyBorder="1" applyAlignment="1" applyProtection="1">
      <alignment horizontal="left" vertical="center" wrapText="1"/>
      <protection locked="0"/>
    </xf>
    <xf numFmtId="0" fontId="28" fillId="0" borderId="1" xfId="9" applyFont="1" applyFill="1" applyBorder="1" applyAlignment="1" applyProtection="1">
      <alignment horizontal="left" vertical="center" wrapText="1"/>
      <protection locked="0"/>
    </xf>
    <xf numFmtId="0" fontId="28" fillId="0" borderId="1" xfId="8" applyFont="1" applyBorder="1" applyAlignment="1" applyProtection="1">
      <alignment vertical="center" wrapText="1"/>
      <protection locked="0"/>
    </xf>
    <xf numFmtId="0" fontId="28" fillId="0" borderId="1" xfId="9" applyFont="1" applyBorder="1" applyAlignment="1" applyProtection="1">
      <alignment vertical="center" wrapText="1"/>
      <protection locked="0"/>
    </xf>
    <xf numFmtId="0" fontId="28" fillId="0" borderId="1" xfId="9" applyFont="1" applyFill="1" applyBorder="1" applyAlignment="1" applyProtection="1">
      <alignment vertical="center" wrapText="1"/>
      <protection locked="0"/>
    </xf>
    <xf numFmtId="167" fontId="28" fillId="0" borderId="1" xfId="9" applyNumberFormat="1" applyFont="1" applyBorder="1" applyAlignment="1" applyProtection="1">
      <alignment vertical="center" wrapText="1"/>
    </xf>
    <xf numFmtId="2" fontId="28" fillId="0" borderId="1" xfId="4" applyNumberFormat="1" applyFont="1" applyBorder="1" applyAlignment="1" applyProtection="1">
      <alignment horizontal="left" vertical="center" wrapText="1"/>
    </xf>
    <xf numFmtId="0" fontId="28" fillId="0" borderId="1" xfId="9" applyFont="1" applyBorder="1" applyAlignment="1" applyProtection="1">
      <alignment horizontal="left" vertical="center" wrapText="1"/>
    </xf>
    <xf numFmtId="0" fontId="28" fillId="0" borderId="1" xfId="9" applyFont="1" applyFill="1" applyBorder="1" applyAlignment="1" applyProtection="1">
      <alignment horizontal="left" vertical="center" wrapText="1"/>
    </xf>
    <xf numFmtId="167" fontId="28" fillId="0" borderId="1" xfId="14" applyNumberFormat="1" applyFont="1" applyBorder="1" applyAlignment="1" applyProtection="1">
      <alignment vertical="center" wrapText="1"/>
      <protection locked="0"/>
    </xf>
    <xf numFmtId="0" fontId="28" fillId="0" borderId="1" xfId="8" applyFont="1" applyFill="1" applyBorder="1" applyAlignment="1" applyProtection="1">
      <alignment vertical="center"/>
      <protection locked="0"/>
    </xf>
    <xf numFmtId="0" fontId="28" fillId="0" borderId="1" xfId="8" applyFont="1" applyBorder="1" applyAlignment="1" applyProtection="1">
      <alignment vertical="center"/>
      <protection locked="0"/>
    </xf>
    <xf numFmtId="167" fontId="28" fillId="0" borderId="1" xfId="8" applyNumberFormat="1" applyFont="1" applyBorder="1" applyAlignment="1" applyProtection="1">
      <alignment horizontal="right" vertical="center" wrapText="1"/>
      <protection locked="0"/>
    </xf>
    <xf numFmtId="167" fontId="28" fillId="0" borderId="1" xfId="8" applyNumberFormat="1" applyFont="1" applyFill="1" applyBorder="1" applyAlignment="1" applyProtection="1">
      <alignment horizontal="right" vertical="center" wrapText="1"/>
      <protection locked="0"/>
    </xf>
    <xf numFmtId="2" fontId="28" fillId="0" borderId="1" xfId="4" applyNumberFormat="1" applyFont="1" applyBorder="1" applyAlignment="1" applyProtection="1">
      <alignment horizontal="center" vertical="center" wrapText="1"/>
      <protection locked="0"/>
    </xf>
    <xf numFmtId="165" fontId="28" fillId="0" borderId="1" xfId="0" applyNumberFormat="1" applyFont="1" applyBorder="1" applyAlignment="1" applyProtection="1">
      <alignment horizontal="center" vertical="center"/>
      <protection locked="0"/>
    </xf>
    <xf numFmtId="0" fontId="28" fillId="0" borderId="1" xfId="4" applyFont="1" applyBorder="1" applyAlignment="1" applyProtection="1">
      <alignment horizontal="center" vertical="center" wrapText="1"/>
      <protection locked="0"/>
    </xf>
    <xf numFmtId="0" fontId="28" fillId="0" borderId="1" xfId="8" applyFont="1" applyFill="1" applyBorder="1" applyAlignment="1" applyProtection="1">
      <alignment vertical="center" wrapText="1"/>
      <protection locked="0"/>
    </xf>
    <xf numFmtId="2" fontId="28" fillId="0" borderId="1" xfId="4" applyNumberFormat="1" applyFont="1" applyFill="1" applyBorder="1" applyAlignment="1" applyProtection="1">
      <alignment horizontal="center" vertical="center" wrapText="1"/>
      <protection locked="0"/>
    </xf>
    <xf numFmtId="2" fontId="28" fillId="41" borderId="1" xfId="4" applyNumberFormat="1" applyFont="1" applyFill="1" applyBorder="1" applyAlignment="1" applyProtection="1">
      <alignment horizontal="center" vertical="center" wrapText="1"/>
      <protection locked="0"/>
    </xf>
    <xf numFmtId="0" fontId="134" fillId="0" borderId="0" xfId="0" applyFont="1" applyBorder="1" applyAlignment="1">
      <alignment horizontal="center"/>
    </xf>
    <xf numFmtId="0" fontId="133" fillId="57" borderId="1" xfId="112" applyFont="1" applyFill="1" applyBorder="1" applyAlignment="1" applyProtection="1">
      <alignment horizontal="center" vertical="center"/>
    </xf>
    <xf numFmtId="0" fontId="133" fillId="57" borderId="1" xfId="112" applyFont="1" applyFill="1" applyBorder="1" applyAlignment="1" applyProtection="1">
      <alignment horizontal="center" vertical="center" wrapText="1"/>
    </xf>
    <xf numFmtId="0" fontId="75" fillId="13" borderId="1" xfId="113" applyFont="1" applyFill="1" applyBorder="1" applyAlignment="1" applyProtection="1">
      <alignment horizontal="center" vertical="center"/>
    </xf>
    <xf numFmtId="0" fontId="75" fillId="0" borderId="0" xfId="0" applyFont="1" applyBorder="1" applyAlignment="1">
      <alignment horizontal="center"/>
    </xf>
    <xf numFmtId="0" fontId="75" fillId="13" borderId="1" xfId="114" applyFont="1" applyFill="1" applyBorder="1" applyAlignment="1" applyProtection="1">
      <alignment horizontal="center" vertical="center"/>
    </xf>
    <xf numFmtId="0" fontId="75" fillId="0" borderId="1" xfId="114" applyFont="1" applyBorder="1" applyAlignment="1" applyProtection="1">
      <alignment horizontal="center" vertical="center"/>
    </xf>
    <xf numFmtId="0" fontId="91" fillId="43" borderId="1" xfId="112" applyFont="1" applyFill="1" applyBorder="1" applyAlignment="1" applyProtection="1">
      <alignment horizontal="center" vertical="center" wrapText="1"/>
    </xf>
    <xf numFmtId="0" fontId="91" fillId="43" borderId="1" xfId="112" applyFont="1" applyFill="1" applyBorder="1" applyAlignment="1" applyProtection="1">
      <alignment horizontal="center" vertical="center" wrapText="1"/>
      <protection locked="0"/>
    </xf>
    <xf numFmtId="10" fontId="91" fillId="43" borderId="1" xfId="112" applyNumberFormat="1" applyFont="1" applyFill="1" applyBorder="1" applyAlignment="1" applyProtection="1">
      <alignment horizontal="center" vertical="center" wrapText="1"/>
      <protection locked="0"/>
    </xf>
    <xf numFmtId="0" fontId="75" fillId="13" borderId="1" xfId="0" applyFont="1" applyFill="1" applyBorder="1" applyAlignment="1" applyProtection="1">
      <alignment horizontal="center" vertical="center"/>
    </xf>
    <xf numFmtId="9" fontId="75" fillId="0" borderId="1" xfId="112" applyNumberFormat="1" applyFont="1" applyBorder="1" applyAlignment="1" applyProtection="1">
      <alignment horizontal="center" vertical="center" wrapText="1"/>
      <protection locked="0"/>
    </xf>
    <xf numFmtId="0" fontId="75" fillId="13" borderId="1" xfId="112" applyFont="1" applyFill="1" applyBorder="1" applyAlignment="1" applyProtection="1">
      <alignment horizontal="center" vertical="center" wrapText="1"/>
    </xf>
    <xf numFmtId="0" fontId="91" fillId="0" borderId="1" xfId="0" applyFont="1" applyBorder="1" applyAlignment="1">
      <alignment horizontal="center" vertical="center" wrapText="1"/>
    </xf>
    <xf numFmtId="9" fontId="91" fillId="0" borderId="1" xfId="112" applyNumberFormat="1" applyFont="1" applyBorder="1" applyAlignment="1" applyProtection="1">
      <alignment horizontal="center" vertical="center"/>
      <protection locked="0"/>
    </xf>
    <xf numFmtId="9" fontId="91" fillId="0" borderId="1" xfId="112" applyNumberFormat="1" applyFont="1" applyBorder="1" applyAlignment="1" applyProtection="1">
      <alignment horizontal="center" vertical="center"/>
    </xf>
    <xf numFmtId="0" fontId="91" fillId="0" borderId="1" xfId="112" applyFont="1" applyBorder="1" applyAlignment="1" applyProtection="1">
      <alignment horizontal="center" vertical="center"/>
    </xf>
    <xf numFmtId="0" fontId="75" fillId="0" borderId="1" xfId="113" applyFont="1" applyBorder="1" applyAlignment="1" applyProtection="1">
      <alignment horizontal="center" vertical="center" wrapText="1"/>
      <protection locked="0"/>
    </xf>
    <xf numFmtId="0" fontId="75" fillId="0" borderId="1" xfId="113" applyFont="1" applyBorder="1" applyAlignment="1" applyProtection="1">
      <alignment horizontal="center" vertical="center"/>
      <protection locked="0"/>
    </xf>
    <xf numFmtId="0" fontId="75" fillId="13" borderId="1" xfId="113" applyFont="1" applyFill="1" applyBorder="1" applyAlignment="1" applyProtection="1">
      <alignment horizontal="left" vertical="center"/>
    </xf>
    <xf numFmtId="0" fontId="75" fillId="0" borderId="1" xfId="113" applyFont="1" applyBorder="1" applyAlignment="1" applyProtection="1">
      <alignment horizontal="left" vertical="center" wrapText="1"/>
    </xf>
    <xf numFmtId="0" fontId="75" fillId="0" borderId="1" xfId="114" applyFont="1" applyBorder="1" applyAlignment="1" applyProtection="1">
      <alignment horizontal="center" vertical="top" wrapText="1"/>
      <protection locked="0"/>
    </xf>
    <xf numFmtId="0" fontId="75" fillId="0" borderId="1" xfId="114" applyFont="1" applyBorder="1" applyAlignment="1" applyProtection="1">
      <alignment horizontal="center" vertical="top" wrapText="1"/>
    </xf>
    <xf numFmtId="0" fontId="75" fillId="0" borderId="1" xfId="113" applyFont="1" applyBorder="1" applyAlignment="1" applyProtection="1">
      <alignment horizontal="center" vertical="top" wrapText="1"/>
      <protection locked="0"/>
    </xf>
    <xf numFmtId="9" fontId="75" fillId="0" borderId="1" xfId="113" applyNumberFormat="1" applyFont="1" applyBorder="1" applyAlignment="1" applyProtection="1">
      <alignment horizontal="center" vertical="center"/>
      <protection locked="0"/>
    </xf>
    <xf numFmtId="9" fontId="75" fillId="0" borderId="1" xfId="113" applyNumberFormat="1" applyFont="1" applyBorder="1" applyAlignment="1" applyProtection="1">
      <alignment horizontal="center" vertical="center"/>
    </xf>
    <xf numFmtId="0" fontId="75" fillId="0" borderId="4" xfId="0" applyFont="1" applyBorder="1" applyAlignment="1">
      <alignment horizontal="center"/>
    </xf>
    <xf numFmtId="0" fontId="75" fillId="0" borderId="0" xfId="0" applyFont="1" applyBorder="1" applyAlignment="1">
      <alignment horizontal="left" vertical="center"/>
    </xf>
    <xf numFmtId="0" fontId="121" fillId="0" borderId="1" xfId="9" applyFont="1" applyFill="1" applyBorder="1" applyAlignment="1" applyProtection="1">
      <alignment horizontal="left" vertical="center" wrapText="1"/>
      <protection locked="0"/>
    </xf>
    <xf numFmtId="0" fontId="72" fillId="0" borderId="1" xfId="87" applyFont="1" applyFill="1" applyBorder="1" applyAlignment="1" applyProtection="1">
      <alignment horizontal="center" vertical="center"/>
    </xf>
    <xf numFmtId="0" fontId="75" fillId="13" borderId="1" xfId="0" applyFont="1" applyFill="1" applyBorder="1" applyAlignment="1" applyProtection="1">
      <alignment vertical="center" wrapText="1"/>
      <protection locked="0"/>
    </xf>
    <xf numFmtId="0" fontId="75" fillId="0" borderId="1" xfId="113" applyFont="1" applyBorder="1" applyAlignment="1" applyProtection="1">
      <alignment horizontal="left" vertical="center"/>
    </xf>
    <xf numFmtId="0" fontId="75" fillId="0" borderId="1" xfId="113" applyFont="1" applyBorder="1" applyAlignment="1" applyProtection="1">
      <alignment horizontal="center" vertical="center"/>
    </xf>
    <xf numFmtId="0" fontId="91" fillId="0" borderId="1" xfId="112" applyFont="1" applyBorder="1" applyAlignment="1" applyProtection="1">
      <alignment horizontal="left" vertical="center" wrapText="1"/>
    </xf>
    <xf numFmtId="0" fontId="91" fillId="0" borderId="1" xfId="112" applyFont="1" applyBorder="1" applyAlignment="1" applyProtection="1">
      <alignment horizontal="center" vertical="center" wrapText="1"/>
    </xf>
    <xf numFmtId="0" fontId="75" fillId="0" borderId="1" xfId="113" applyFont="1" applyBorder="1" applyAlignment="1" applyProtection="1">
      <alignment horizontal="center" vertical="center" wrapText="1"/>
    </xf>
    <xf numFmtId="0" fontId="91" fillId="0" borderId="1" xfId="112" applyFont="1" applyBorder="1" applyAlignment="1" applyProtection="1">
      <alignment horizontal="center" vertical="center" wrapText="1"/>
      <protection locked="0"/>
    </xf>
    <xf numFmtId="0" fontId="75" fillId="0" borderId="1" xfId="112" applyFont="1" applyBorder="1" applyAlignment="1" applyProtection="1">
      <alignment horizontal="center" vertical="center" wrapText="1"/>
      <protection locked="0"/>
    </xf>
    <xf numFmtId="0" fontId="75" fillId="0" borderId="1" xfId="112" applyFont="1" applyBorder="1" applyAlignment="1" applyProtection="1">
      <alignment horizontal="left" vertical="center" wrapText="1"/>
    </xf>
    <xf numFmtId="0" fontId="43" fillId="0" borderId="1" xfId="9" applyFont="1" applyFill="1" applyBorder="1" applyAlignment="1" applyProtection="1">
      <alignment horizontal="left" vertical="center"/>
    </xf>
    <xf numFmtId="2" fontId="27" fillId="13" borderId="1" xfId="4" applyNumberFormat="1" applyFont="1" applyFill="1" applyBorder="1" applyAlignment="1" applyProtection="1">
      <alignment horizontal="left" vertical="center" wrapText="1"/>
      <protection locked="0"/>
    </xf>
    <xf numFmtId="0" fontId="133" fillId="57" borderId="1" xfId="112" applyFont="1" applyFill="1" applyBorder="1" applyAlignment="1" applyProtection="1">
      <alignment vertical="center"/>
    </xf>
    <xf numFmtId="0" fontId="133" fillId="57" borderId="1" xfId="112" applyFont="1" applyFill="1" applyBorder="1" applyAlignment="1" applyProtection="1">
      <alignment horizontal="left" vertical="center"/>
    </xf>
    <xf numFmtId="0" fontId="26" fillId="0" borderId="1" xfId="0" applyFont="1" applyBorder="1" applyAlignment="1">
      <alignment horizontal="center"/>
    </xf>
    <xf numFmtId="0" fontId="26" fillId="0" borderId="1" xfId="112" applyFont="1" applyBorder="1" applyAlignment="1" applyProtection="1">
      <alignment vertical="center" wrapText="1"/>
    </xf>
    <xf numFmtId="0" fontId="26" fillId="0" borderId="1" xfId="112" applyFont="1" applyBorder="1" applyAlignment="1" applyProtection="1">
      <alignment horizontal="left" vertical="center" wrapText="1"/>
    </xf>
    <xf numFmtId="165" fontId="26" fillId="0" borderId="1" xfId="112" applyNumberFormat="1" applyFont="1" applyBorder="1" applyAlignment="1" applyProtection="1">
      <alignment horizontal="center" vertical="center" wrapText="1"/>
      <protection locked="0"/>
    </xf>
    <xf numFmtId="0" fontId="26" fillId="0" borderId="1" xfId="112" applyFont="1" applyBorder="1" applyAlignment="1" applyProtection="1">
      <alignment horizontal="center" vertical="center" wrapText="1"/>
    </xf>
    <xf numFmtId="0" fontId="26" fillId="0" borderId="1" xfId="0" applyFont="1" applyBorder="1" applyAlignment="1">
      <alignment horizontal="center" wrapText="1"/>
    </xf>
    <xf numFmtId="0" fontId="26" fillId="0" borderId="1" xfId="112" applyFont="1" applyBorder="1" applyAlignment="1" applyProtection="1">
      <alignment horizontal="center" vertical="center"/>
    </xf>
    <xf numFmtId="0" fontId="75" fillId="0" borderId="1" xfId="0" applyFont="1" applyBorder="1" applyAlignment="1">
      <alignment horizontal="center" wrapText="1"/>
    </xf>
    <xf numFmtId="9" fontId="26" fillId="0" borderId="1" xfId="99" applyFont="1" applyBorder="1" applyAlignment="1" applyProtection="1">
      <alignment horizontal="center" vertical="center" wrapText="1"/>
      <protection locked="0"/>
    </xf>
    <xf numFmtId="0" fontId="26" fillId="0" borderId="1" xfId="112" applyFont="1" applyBorder="1" applyAlignment="1" applyProtection="1">
      <alignment horizontal="center" vertical="center" wrapText="1"/>
      <protection locked="0"/>
    </xf>
    <xf numFmtId="0" fontId="26" fillId="0" borderId="1" xfId="0" applyFont="1" applyBorder="1" applyAlignment="1">
      <alignment horizontal="center" vertical="center" wrapText="1"/>
    </xf>
    <xf numFmtId="0" fontId="72" fillId="13" borderId="5" xfId="112" applyFont="1" applyFill="1" applyBorder="1" applyAlignment="1" applyProtection="1">
      <alignment vertical="center" wrapText="1"/>
    </xf>
    <xf numFmtId="0" fontId="72" fillId="13" borderId="6" xfId="112" applyFont="1" applyFill="1" applyBorder="1" applyAlignment="1" applyProtection="1">
      <alignment vertical="center" wrapText="1"/>
    </xf>
    <xf numFmtId="0" fontId="72" fillId="13" borderId="6" xfId="112" applyFont="1" applyFill="1" applyBorder="1" applyAlignment="1" applyProtection="1">
      <alignment horizontal="left" vertical="center" wrapText="1"/>
    </xf>
    <xf numFmtId="0" fontId="72" fillId="13" borderId="2" xfId="112" applyFont="1" applyFill="1" applyBorder="1" applyAlignment="1" applyProtection="1">
      <alignment vertical="center" wrapText="1"/>
    </xf>
    <xf numFmtId="0" fontId="91" fillId="43" borderId="1" xfId="112" applyFont="1" applyFill="1" applyBorder="1" applyAlignment="1" applyProtection="1">
      <alignment vertical="center" wrapText="1"/>
    </xf>
    <xf numFmtId="0" fontId="26" fillId="0" borderId="1" xfId="115" applyFont="1" applyBorder="1" applyAlignment="1">
      <alignment horizontal="left" vertical="top" wrapText="1"/>
    </xf>
    <xf numFmtId="0" fontId="26" fillId="43" borderId="1" xfId="112" applyFont="1" applyFill="1" applyBorder="1" applyAlignment="1" applyProtection="1">
      <alignment horizontal="center" vertical="center" wrapText="1"/>
    </xf>
    <xf numFmtId="0" fontId="91" fillId="43" borderId="1" xfId="112" applyFont="1" applyFill="1" applyBorder="1" applyAlignment="1" applyProtection="1">
      <alignment horizontal="left" vertical="top" wrapText="1"/>
    </xf>
    <xf numFmtId="9" fontId="26" fillId="0" borderId="1" xfId="112" applyNumberFormat="1" applyFont="1" applyBorder="1" applyAlignment="1" applyProtection="1">
      <alignment horizontal="center" vertical="center" wrapText="1"/>
    </xf>
    <xf numFmtId="0" fontId="91" fillId="0" borderId="1" xfId="112" applyFont="1" applyBorder="1" applyAlignment="1" applyProtection="1">
      <alignment vertical="center" wrapText="1"/>
    </xf>
    <xf numFmtId="0" fontId="26" fillId="0" borderId="1" xfId="115" applyFont="1" applyBorder="1" applyAlignment="1">
      <alignment horizontal="left"/>
    </xf>
    <xf numFmtId="9" fontId="26" fillId="0" borderId="1" xfId="112" applyNumberFormat="1" applyFont="1" applyBorder="1" applyAlignment="1" applyProtection="1">
      <alignment horizontal="center" vertical="center" wrapText="1"/>
      <protection locked="0"/>
    </xf>
    <xf numFmtId="0" fontId="77" fillId="0" borderId="1" xfId="112" applyFont="1" applyBorder="1" applyAlignment="1" applyProtection="1">
      <alignment horizontal="left" vertical="center" wrapText="1"/>
    </xf>
    <xf numFmtId="9" fontId="26" fillId="0" borderId="1" xfId="99" applyFont="1" applyBorder="1" applyAlignment="1">
      <alignment horizontal="center"/>
    </xf>
    <xf numFmtId="0" fontId="75" fillId="0" borderId="1" xfId="0" applyFont="1" applyBorder="1" applyAlignment="1">
      <alignment horizontal="center"/>
    </xf>
    <xf numFmtId="0" fontId="26" fillId="0" borderId="1" xfId="0" applyFont="1" applyBorder="1" applyAlignment="1">
      <alignment horizontal="left" vertical="center"/>
    </xf>
    <xf numFmtId="0" fontId="89" fillId="0" borderId="1" xfId="112" applyFont="1" applyBorder="1" applyAlignment="1" applyProtection="1">
      <alignment horizontal="left" vertical="center" wrapText="1"/>
    </xf>
    <xf numFmtId="1" fontId="75" fillId="0" borderId="1" xfId="0" applyNumberFormat="1" applyFont="1" applyBorder="1" applyAlignment="1">
      <alignment horizontal="center"/>
    </xf>
    <xf numFmtId="1" fontId="75" fillId="0" borderId="7" xfId="0" applyNumberFormat="1" applyFont="1" applyBorder="1" applyAlignment="1">
      <alignment horizontal="center" vertical="center"/>
    </xf>
    <xf numFmtId="1" fontId="75" fillId="0" borderId="11" xfId="0" applyNumberFormat="1" applyFont="1" applyBorder="1" applyAlignment="1">
      <alignment horizontal="center" vertical="center"/>
    </xf>
    <xf numFmtId="0" fontId="75" fillId="0" borderId="2" xfId="0" applyFont="1" applyBorder="1" applyAlignment="1">
      <alignment horizontal="center"/>
    </xf>
    <xf numFmtId="0" fontId="26" fillId="0" borderId="5" xfId="112" applyFont="1" applyBorder="1" applyAlignment="1" applyProtection="1">
      <alignment horizontal="center" vertical="center" wrapText="1"/>
      <protection locked="0"/>
    </xf>
    <xf numFmtId="1" fontId="26" fillId="0" borderId="1" xfId="99" applyNumberFormat="1" applyFont="1" applyBorder="1" applyAlignment="1">
      <alignment horizontal="center" vertical="center"/>
    </xf>
    <xf numFmtId="1" fontId="26" fillId="0" borderId="1" xfId="99" applyNumberFormat="1" applyFont="1" applyBorder="1" applyAlignment="1">
      <alignment vertical="center"/>
    </xf>
    <xf numFmtId="0" fontId="26" fillId="0" borderId="1" xfId="0" applyFont="1" applyBorder="1" applyAlignment="1">
      <alignment horizontal="center" vertical="center"/>
    </xf>
    <xf numFmtId="0" fontId="26" fillId="0" borderId="1" xfId="112" applyFont="1" applyBorder="1" applyAlignment="1" applyProtection="1">
      <alignment horizontal="left" vertical="center"/>
    </xf>
    <xf numFmtId="0" fontId="91" fillId="0" borderId="1" xfId="0" applyFont="1" applyBorder="1" applyAlignment="1">
      <alignment vertical="center" wrapText="1"/>
    </xf>
    <xf numFmtId="0" fontId="91" fillId="0" borderId="1" xfId="0" applyFont="1" applyBorder="1" applyAlignment="1">
      <alignment horizontal="left" vertical="center" wrapText="1"/>
    </xf>
    <xf numFmtId="0" fontId="0" fillId="0" borderId="1" xfId="107" applyFont="1" applyBorder="1" applyAlignment="1" applyProtection="1">
      <alignment horizontal="center" vertical="center"/>
      <protection locked="0"/>
    </xf>
    <xf numFmtId="0" fontId="0" fillId="0" borderId="1" xfId="107" applyFont="1" applyBorder="1" applyAlignment="1" applyProtection="1">
      <alignment horizontal="center" vertical="center"/>
    </xf>
    <xf numFmtId="0" fontId="0" fillId="0" borderId="1" xfId="107" applyFont="1" applyBorder="1" applyAlignment="1" applyProtection="1">
      <alignment horizontal="center" vertical="center" wrapText="1"/>
    </xf>
    <xf numFmtId="0" fontId="0" fillId="0" borderId="1" xfId="107" applyFont="1" applyBorder="1" applyAlignment="1" applyProtection="1">
      <alignment horizontal="center" vertical="center" wrapText="1"/>
      <protection locked="0"/>
    </xf>
    <xf numFmtId="0" fontId="0" fillId="11" borderId="1" xfId="107" applyFont="1" applyFill="1" applyBorder="1" applyAlignment="1" applyProtection="1">
      <alignment horizontal="center" vertical="center"/>
      <protection locked="0"/>
    </xf>
    <xf numFmtId="0" fontId="0" fillId="11" borderId="1" xfId="107" applyFont="1" applyFill="1" applyBorder="1" applyAlignment="1" applyProtection="1">
      <alignment horizontal="center" vertical="center"/>
    </xf>
    <xf numFmtId="0" fontId="26" fillId="52" borderId="1" xfId="112" applyFont="1" applyFill="1" applyBorder="1" applyAlignment="1" applyProtection="1">
      <alignment horizontal="center" vertical="center" wrapText="1"/>
    </xf>
    <xf numFmtId="0" fontId="26" fillId="13" borderId="1" xfId="0" applyFont="1" applyFill="1" applyBorder="1" applyAlignment="1">
      <alignment horizontal="center"/>
    </xf>
    <xf numFmtId="9" fontId="91" fillId="0" borderId="1" xfId="112" applyNumberFormat="1" applyFont="1" applyBorder="1" applyAlignment="1" applyProtection="1">
      <alignment horizontal="left" vertical="center" wrapText="1"/>
    </xf>
    <xf numFmtId="0" fontId="89" fillId="0" borderId="1" xfId="112" applyFont="1" applyBorder="1" applyAlignment="1" applyProtection="1">
      <alignment vertical="center" wrapText="1"/>
    </xf>
    <xf numFmtId="9" fontId="26" fillId="0" borderId="1" xfId="112" applyNumberFormat="1" applyFont="1" applyBorder="1" applyAlignment="1" applyProtection="1">
      <alignment horizontal="center" vertical="center"/>
      <protection locked="0"/>
    </xf>
    <xf numFmtId="9" fontId="26" fillId="0" borderId="1" xfId="112" applyNumberFormat="1" applyFont="1" applyBorder="1" applyAlignment="1" applyProtection="1">
      <alignment horizontal="center" vertical="center"/>
    </xf>
    <xf numFmtId="0" fontId="26" fillId="0" borderId="1" xfId="112" applyFont="1" applyBorder="1" applyAlignment="1" applyProtection="1">
      <alignment vertical="center"/>
    </xf>
    <xf numFmtId="0" fontId="75" fillId="0" borderId="1" xfId="113" applyFont="1" applyBorder="1" applyAlignment="1" applyProtection="1">
      <alignment vertical="center" wrapText="1"/>
    </xf>
    <xf numFmtId="0" fontId="75" fillId="0" borderId="1" xfId="113" applyFont="1" applyBorder="1" applyAlignment="1" applyProtection="1">
      <alignment vertical="center"/>
    </xf>
    <xf numFmtId="0" fontId="75" fillId="13" borderId="1" xfId="113" applyFont="1" applyFill="1" applyBorder="1" applyAlignment="1" applyProtection="1">
      <alignment vertical="center"/>
    </xf>
    <xf numFmtId="0" fontId="26" fillId="0" borderId="1" xfId="0" applyFont="1" applyBorder="1" applyAlignment="1">
      <alignment vertical="center" wrapText="1"/>
    </xf>
    <xf numFmtId="0" fontId="26" fillId="0" borderId="1" xfId="0" applyFont="1" applyBorder="1" applyAlignment="1">
      <alignment horizontal="left" vertical="center" wrapText="1"/>
    </xf>
    <xf numFmtId="0" fontId="91" fillId="0" borderId="1" xfId="113" applyFont="1" applyBorder="1" applyAlignment="1" applyProtection="1">
      <alignment wrapText="1"/>
    </xf>
    <xf numFmtId="0" fontId="91" fillId="0" borderId="1" xfId="113" applyFont="1" applyBorder="1" applyAlignment="1" applyProtection="1">
      <alignment horizontal="left" wrapText="1"/>
    </xf>
    <xf numFmtId="0" fontId="91" fillId="0" borderId="1" xfId="114" applyFont="1" applyBorder="1" applyAlignment="1" applyProtection="1">
      <alignment vertical="top" wrapText="1"/>
    </xf>
    <xf numFmtId="0" fontId="91" fillId="0" borderId="1" xfId="114" applyFont="1" applyBorder="1" applyAlignment="1" applyProtection="1">
      <alignment horizontal="left" vertical="top" wrapText="1"/>
    </xf>
    <xf numFmtId="0" fontId="75" fillId="0" borderId="0" xfId="0" applyFont="1" applyBorder="1" applyAlignment="1"/>
    <xf numFmtId="0" fontId="75" fillId="0" borderId="0" xfId="0" applyFont="1" applyBorder="1" applyAlignment="1">
      <alignment horizontal="left"/>
    </xf>
    <xf numFmtId="0" fontId="102" fillId="0" borderId="5" xfId="87" applyFont="1" applyFill="1" applyBorder="1" applyAlignment="1" applyProtection="1">
      <alignment horizontal="left" vertical="center" wrapText="1"/>
      <protection locked="0"/>
    </xf>
    <xf numFmtId="0" fontId="25" fillId="0" borderId="1" xfId="8" applyFont="1" applyFill="1" applyBorder="1" applyAlignment="1" applyProtection="1">
      <alignment vertical="center" wrapText="1"/>
      <protection locked="0"/>
    </xf>
    <xf numFmtId="0" fontId="102" fillId="13" borderId="1" xfId="9" applyFont="1" applyFill="1" applyBorder="1" applyAlignment="1" applyProtection="1">
      <alignment vertical="center" wrapText="1"/>
      <protection locked="0"/>
    </xf>
    <xf numFmtId="0" fontId="102" fillId="13" borderId="1" xfId="82" applyFont="1" applyFill="1" applyBorder="1" applyAlignment="1" applyProtection="1">
      <alignment vertical="center" wrapText="1"/>
      <protection locked="0"/>
    </xf>
    <xf numFmtId="0" fontId="24" fillId="0" borderId="1" xfId="5" applyFont="1" applyBorder="1" applyAlignment="1" applyProtection="1">
      <alignment horizontal="center" vertical="center" wrapText="1"/>
      <protection locked="0"/>
    </xf>
    <xf numFmtId="0" fontId="136" fillId="4" borderId="1" xfId="8" applyFont="1" applyFill="1" applyBorder="1" applyAlignment="1" applyProtection="1">
      <alignment horizontal="left" vertical="top" wrapText="1"/>
      <protection locked="0"/>
    </xf>
    <xf numFmtId="0" fontId="133" fillId="2" borderId="1" xfId="38" applyFont="1" applyFill="1" applyBorder="1" applyAlignment="1" applyProtection="1">
      <alignment horizontal="left" vertical="top" wrapText="1"/>
      <protection locked="0"/>
    </xf>
    <xf numFmtId="0" fontId="75" fillId="0" borderId="1" xfId="8" applyFont="1" applyFill="1" applyBorder="1" applyAlignment="1" applyProtection="1">
      <alignment horizontal="center" vertical="center" wrapText="1"/>
      <protection locked="0"/>
    </xf>
    <xf numFmtId="0" fontId="23" fillId="0" borderId="1" xfId="8" applyFont="1" applyBorder="1" applyAlignment="1" applyProtection="1">
      <alignment horizontal="center" vertical="center" wrapText="1"/>
      <protection locked="0"/>
    </xf>
    <xf numFmtId="43" fontId="23" fillId="0" borderId="1" xfId="1" applyFont="1" applyBorder="1" applyAlignment="1" applyProtection="1">
      <alignment horizontal="right" vertical="center" wrapText="1"/>
    </xf>
    <xf numFmtId="0" fontId="138" fillId="13" borderId="5" xfId="4" applyFont="1" applyFill="1" applyBorder="1" applyAlignment="1" applyProtection="1">
      <alignment horizontal="left" vertical="center" wrapText="1"/>
      <protection locked="0"/>
    </xf>
    <xf numFmtId="0" fontId="138" fillId="13" borderId="1" xfId="0" applyFont="1" applyFill="1" applyBorder="1" applyAlignment="1" applyProtection="1">
      <alignment horizontal="left" vertical="center" wrapText="1"/>
      <protection locked="0"/>
    </xf>
    <xf numFmtId="0" fontId="103" fillId="52" borderId="1" xfId="0" applyFont="1" applyFill="1" applyBorder="1" applyAlignment="1" applyProtection="1">
      <alignment vertical="center" wrapText="1"/>
      <protection locked="0"/>
    </xf>
    <xf numFmtId="0" fontId="124" fillId="13" borderId="1" xfId="9" applyFont="1" applyFill="1" applyBorder="1" applyAlignment="1" applyProtection="1">
      <alignment horizontal="left" vertical="center" wrapText="1"/>
      <protection locked="0"/>
    </xf>
    <xf numFmtId="0" fontId="22" fillId="0" borderId="1" xfId="8" applyFont="1" applyFill="1" applyBorder="1" applyAlignment="1" applyProtection="1">
      <alignment horizontal="center" vertical="center"/>
      <protection locked="0"/>
    </xf>
    <xf numFmtId="0" fontId="71" fillId="13" borderId="1" xfId="8" applyFont="1" applyFill="1" applyBorder="1" applyAlignment="1" applyProtection="1">
      <alignment horizontal="left" vertical="center" wrapText="1"/>
      <protection locked="0"/>
    </xf>
    <xf numFmtId="0" fontId="71" fillId="13" borderId="5" xfId="62" applyFont="1" applyFill="1" applyBorder="1" applyAlignment="1" applyProtection="1">
      <alignment horizontal="left" vertical="center" wrapText="1"/>
      <protection locked="0"/>
    </xf>
    <xf numFmtId="0" fontId="22" fillId="0" borderId="1" xfId="82" applyFont="1" applyBorder="1" applyAlignment="1" applyProtection="1">
      <alignment vertical="center" wrapText="1"/>
      <protection locked="0"/>
    </xf>
    <xf numFmtId="0" fontId="71" fillId="13" borderId="5" xfId="82" applyFont="1" applyFill="1" applyBorder="1" applyAlignment="1" applyProtection="1">
      <alignment horizontal="left" vertical="center" wrapText="1"/>
      <protection locked="0"/>
    </xf>
    <xf numFmtId="0" fontId="22" fillId="0" borderId="1" xfId="9" applyFont="1" applyBorder="1" applyAlignment="1" applyProtection="1">
      <alignment horizontal="left" vertical="center" wrapText="1"/>
    </xf>
    <xf numFmtId="0" fontId="71" fillId="13" borderId="1" xfId="9" applyFont="1" applyFill="1" applyBorder="1" applyAlignment="1" applyProtection="1">
      <alignment horizontal="left" vertical="center" wrapText="1"/>
      <protection locked="0"/>
    </xf>
    <xf numFmtId="0" fontId="22" fillId="0" borderId="1" xfId="9" applyFont="1" applyFill="1" applyBorder="1" applyAlignment="1" applyProtection="1">
      <alignment vertical="center" wrapText="1"/>
      <protection locked="0"/>
    </xf>
    <xf numFmtId="0" fontId="22" fillId="0" borderId="1" xfId="9" applyFont="1" applyBorder="1" applyAlignment="1" applyProtection="1">
      <alignment vertical="center" wrapText="1"/>
      <protection locked="0"/>
    </xf>
    <xf numFmtId="0" fontId="71" fillId="13" borderId="1" xfId="0" applyFont="1" applyFill="1" applyBorder="1" applyAlignment="1" applyProtection="1">
      <alignment horizontal="left" vertical="center" wrapText="1"/>
      <protection locked="0"/>
    </xf>
    <xf numFmtId="0" fontId="75" fillId="0" borderId="1" xfId="0" applyFont="1" applyBorder="1" applyAlignment="1" applyProtection="1">
      <alignment horizontal="center" vertical="center" wrapText="1"/>
    </xf>
    <xf numFmtId="0" fontId="75" fillId="0" borderId="1" xfId="0" applyFont="1" applyBorder="1" applyAlignment="1" applyProtection="1">
      <alignment horizontal="left" vertical="center" wrapText="1"/>
    </xf>
    <xf numFmtId="0" fontId="103" fillId="13" borderId="1" xfId="0" applyFont="1" applyFill="1" applyBorder="1" applyAlignment="1" applyProtection="1">
      <alignment vertical="center" wrapText="1"/>
      <protection locked="0"/>
    </xf>
    <xf numFmtId="0" fontId="122" fillId="0" borderId="1" xfId="109" applyFont="1" applyBorder="1" applyAlignment="1" applyProtection="1">
      <alignment vertical="center"/>
      <protection locked="0"/>
    </xf>
    <xf numFmtId="0" fontId="103" fillId="0" borderId="1" xfId="109" applyFont="1" applyFill="1" applyBorder="1" applyAlignment="1" applyProtection="1">
      <alignment vertical="center" wrapText="1"/>
      <protection locked="0"/>
    </xf>
    <xf numFmtId="0" fontId="103" fillId="13" borderId="1" xfId="0" applyFont="1" applyFill="1" applyBorder="1" applyAlignment="1" applyProtection="1">
      <alignment horizontal="left" vertical="center" wrapText="1"/>
      <protection locked="0"/>
    </xf>
    <xf numFmtId="0" fontId="71" fillId="52" borderId="1" xfId="0" applyFont="1" applyFill="1" applyBorder="1" applyAlignment="1" applyProtection="1">
      <alignment horizontal="left" vertical="center" wrapText="1"/>
      <protection locked="0"/>
    </xf>
    <xf numFmtId="0" fontId="103" fillId="52" borderId="1" xfId="82" applyFont="1" applyFill="1" applyBorder="1" applyAlignment="1" applyProtection="1">
      <alignment vertical="center" wrapText="1"/>
      <protection locked="0"/>
    </xf>
    <xf numFmtId="0" fontId="43" fillId="0" borderId="1" xfId="8" applyFont="1" applyBorder="1" applyAlignment="1" applyProtection="1">
      <alignment horizontal="right" vertical="center" wrapText="1"/>
      <protection locked="0"/>
    </xf>
    <xf numFmtId="0" fontId="103" fillId="52" borderId="1" xfId="9" applyFont="1" applyFill="1" applyBorder="1" applyAlignment="1" applyProtection="1">
      <alignment horizontal="left" vertical="top" wrapText="1"/>
      <protection locked="0"/>
    </xf>
    <xf numFmtId="0" fontId="121" fillId="0" borderId="1" xfId="0" applyFont="1" applyFill="1" applyBorder="1" applyAlignment="1" applyProtection="1">
      <alignment horizontal="left" vertical="top" wrapText="1"/>
      <protection locked="0"/>
    </xf>
    <xf numFmtId="0" fontId="21" fillId="0" borderId="1" xfId="4" applyFont="1" applyFill="1" applyBorder="1" applyAlignment="1" applyProtection="1">
      <alignment vertical="center" wrapText="1"/>
      <protection locked="0"/>
    </xf>
    <xf numFmtId="0" fontId="21" fillId="13" borderId="1" xfId="8" applyFont="1" applyFill="1" applyBorder="1" applyAlignment="1" applyProtection="1">
      <alignment horizontal="left" vertical="center" wrapText="1"/>
      <protection locked="0"/>
    </xf>
    <xf numFmtId="0" fontId="103" fillId="13" borderId="1" xfId="9" applyFont="1" applyFill="1" applyBorder="1" applyAlignment="1" applyProtection="1">
      <alignment vertical="center" wrapText="1"/>
      <protection locked="0"/>
    </xf>
    <xf numFmtId="0" fontId="131" fillId="52" borderId="1" xfId="62" applyFont="1" applyFill="1" applyBorder="1" applyAlignment="1" applyProtection="1">
      <alignment horizontal="left" vertical="center" wrapText="1"/>
      <protection locked="0"/>
    </xf>
    <xf numFmtId="0" fontId="21" fillId="0" borderId="1" xfId="9" applyFont="1" applyBorder="1" applyAlignment="1" applyProtection="1">
      <alignment horizontal="left" vertical="center" wrapText="1"/>
      <protection locked="0"/>
    </xf>
    <xf numFmtId="0" fontId="21" fillId="0" borderId="1" xfId="97" applyFont="1" applyFill="1" applyBorder="1" applyAlignment="1" applyProtection="1">
      <alignment horizontal="center" vertical="center" wrapText="1"/>
      <protection locked="0"/>
    </xf>
    <xf numFmtId="43" fontId="21" fillId="2" borderId="1" xfId="1" applyFont="1" applyFill="1" applyBorder="1" applyAlignment="1" applyProtection="1">
      <alignment horizontal="center" vertical="center" wrapText="1"/>
    </xf>
    <xf numFmtId="43" fontId="21" fillId="4" borderId="1" xfId="1" applyFont="1" applyFill="1" applyBorder="1" applyAlignment="1" applyProtection="1">
      <alignment horizontal="center" vertical="center" wrapText="1"/>
    </xf>
    <xf numFmtId="43" fontId="21" fillId="4" borderId="1" xfId="1" applyFont="1" applyFill="1" applyBorder="1" applyAlignment="1" applyProtection="1">
      <alignment horizontal="center" vertical="center" wrapText="1"/>
      <protection locked="0"/>
    </xf>
    <xf numFmtId="0" fontId="21" fillId="0" borderId="1" xfId="9" applyFont="1" applyBorder="1" applyAlignment="1" applyProtection="1">
      <alignment horizontal="center" vertical="center" wrapText="1"/>
      <protection locked="0"/>
    </xf>
    <xf numFmtId="0" fontId="21" fillId="0" borderId="1" xfId="8" applyFont="1" applyBorder="1" applyAlignment="1" applyProtection="1">
      <alignment horizontal="center" vertical="center" wrapText="1"/>
      <protection locked="0"/>
    </xf>
    <xf numFmtId="43" fontId="21" fillId="0" borderId="1" xfId="1" applyFont="1" applyBorder="1" applyAlignment="1" applyProtection="1">
      <alignment horizontal="center" vertical="center" wrapText="1"/>
      <protection locked="0"/>
    </xf>
    <xf numFmtId="0" fontId="77" fillId="3" borderId="1" xfId="8" applyFont="1" applyFill="1" applyBorder="1" applyAlignment="1" applyProtection="1">
      <alignment horizontal="center" vertical="center" wrapText="1"/>
      <protection locked="0"/>
    </xf>
    <xf numFmtId="2" fontId="72" fillId="3" borderId="1" xfId="48" applyNumberFormat="1" applyFont="1" applyFill="1" applyBorder="1" applyAlignment="1" applyProtection="1">
      <alignment horizontal="right" vertical="center" wrapText="1"/>
      <protection locked="0"/>
    </xf>
    <xf numFmtId="2" fontId="72" fillId="4" borderId="1" xfId="48" applyNumberFormat="1" applyFont="1" applyFill="1" applyBorder="1" applyAlignment="1" applyProtection="1">
      <alignment horizontal="right" vertical="center" wrapText="1"/>
      <protection locked="0"/>
    </xf>
    <xf numFmtId="0" fontId="103" fillId="13" borderId="1" xfId="69" applyFont="1" applyFill="1" applyBorder="1" applyAlignment="1" applyProtection="1">
      <alignment horizontal="left" vertical="center" wrapText="1"/>
      <protection locked="0"/>
    </xf>
    <xf numFmtId="0" fontId="72" fillId="0" borderId="1" xfId="48" applyFont="1" applyBorder="1" applyAlignment="1" applyProtection="1">
      <alignment horizontal="left" vertical="center" wrapText="1"/>
      <protection locked="0"/>
    </xf>
    <xf numFmtId="0" fontId="72" fillId="6" borderId="1" xfId="48" applyFont="1" applyFill="1" applyBorder="1" applyAlignment="1" applyProtection="1">
      <alignment horizontal="left" vertical="center" wrapText="1"/>
      <protection locked="0"/>
    </xf>
    <xf numFmtId="0" fontId="134" fillId="0" borderId="0" xfId="0" applyFont="1" applyAlignment="1" applyProtection="1">
      <alignment vertical="top" wrapText="1"/>
    </xf>
    <xf numFmtId="0" fontId="140" fillId="7" borderId="1" xfId="38" applyFont="1" applyFill="1" applyBorder="1" applyAlignment="1" applyProtection="1">
      <alignment horizontal="left" vertical="top" wrapText="1"/>
    </xf>
    <xf numFmtId="2" fontId="140" fillId="7" borderId="1" xfId="38" applyNumberFormat="1" applyFont="1" applyFill="1" applyBorder="1" applyAlignment="1" applyProtection="1">
      <alignment horizontal="right" vertical="top" wrapText="1"/>
    </xf>
    <xf numFmtId="0" fontId="133" fillId="2" borderId="1" xfId="38" applyFont="1" applyFill="1" applyBorder="1" applyAlignment="1" applyProtection="1">
      <alignment horizontal="left" vertical="top" wrapText="1"/>
    </xf>
    <xf numFmtId="2" fontId="133" fillId="2" borderId="1" xfId="38" applyNumberFormat="1" applyFont="1" applyFill="1" applyBorder="1" applyAlignment="1" applyProtection="1">
      <alignment horizontal="right" vertical="top" wrapText="1"/>
    </xf>
    <xf numFmtId="0" fontId="134" fillId="0" borderId="1" xfId="0" applyFont="1" applyBorder="1" applyAlignment="1" applyProtection="1">
      <alignment horizontal="left" vertical="top" wrapText="1"/>
    </xf>
    <xf numFmtId="0" fontId="135" fillId="0" borderId="1" xfId="0" applyFont="1" applyBorder="1" applyAlignment="1" applyProtection="1">
      <alignment vertical="top" wrapText="1"/>
    </xf>
    <xf numFmtId="0" fontId="135" fillId="0" borderId="1" xfId="0" applyFont="1" applyBorder="1" applyAlignment="1" applyProtection="1">
      <alignment vertical="top" wrapText="1"/>
      <protection locked="0"/>
    </xf>
    <xf numFmtId="0" fontId="137" fillId="0" borderId="1" xfId="8" applyFont="1" applyBorder="1" applyAlignment="1" applyProtection="1">
      <alignment horizontal="center" vertical="top" wrapText="1"/>
      <protection locked="0"/>
    </xf>
    <xf numFmtId="43" fontId="137" fillId="0" borderId="1" xfId="1" applyFont="1" applyBorder="1" applyAlignment="1" applyProtection="1">
      <alignment horizontal="right" vertical="top" wrapText="1"/>
    </xf>
    <xf numFmtId="2" fontId="134" fillId="0" borderId="1" xfId="8" applyNumberFormat="1" applyFont="1" applyBorder="1" applyAlignment="1" applyProtection="1">
      <alignment horizontal="right" vertical="top" wrapText="1"/>
    </xf>
    <xf numFmtId="2" fontId="134" fillId="0" borderId="1" xfId="8" applyNumberFormat="1" applyFont="1" applyBorder="1" applyAlignment="1" applyProtection="1">
      <alignment horizontal="right" vertical="top" wrapText="1"/>
      <protection locked="0"/>
    </xf>
    <xf numFmtId="2" fontId="136" fillId="2" borderId="1" xfId="8" applyNumberFormat="1" applyFont="1" applyFill="1" applyBorder="1" applyAlignment="1" applyProtection="1">
      <alignment horizontal="right" vertical="top" wrapText="1"/>
    </xf>
    <xf numFmtId="0" fontId="137" fillId="0" borderId="1" xfId="0" applyFont="1" applyBorder="1" applyAlignment="1" applyProtection="1">
      <alignment horizontal="left" vertical="top" wrapText="1"/>
    </xf>
    <xf numFmtId="0" fontId="137" fillId="0" borderId="1" xfId="0" applyFont="1" applyBorder="1" applyAlignment="1" applyProtection="1">
      <alignment horizontal="center" vertical="top" wrapText="1"/>
    </xf>
    <xf numFmtId="0" fontId="137" fillId="0" borderId="1" xfId="0" applyFont="1" applyBorder="1" applyAlignment="1" applyProtection="1">
      <alignment vertical="top" wrapText="1"/>
    </xf>
    <xf numFmtId="0" fontId="142" fillId="0" borderId="1" xfId="0" applyFont="1" applyFill="1" applyBorder="1" applyAlignment="1" applyProtection="1">
      <alignment horizontal="center" vertical="top" wrapText="1"/>
      <protection locked="0"/>
    </xf>
    <xf numFmtId="0" fontId="142" fillId="0" borderId="1" xfId="0" applyFont="1" applyFill="1" applyBorder="1" applyAlignment="1" applyProtection="1">
      <alignment horizontal="left" vertical="top" wrapText="1"/>
      <protection locked="0"/>
    </xf>
    <xf numFmtId="2" fontId="134" fillId="0" borderId="1" xfId="8" applyNumberFormat="1" applyFont="1" applyFill="1" applyBorder="1" applyAlignment="1" applyProtection="1">
      <alignment horizontal="right" vertical="top" wrapText="1"/>
      <protection locked="0"/>
    </xf>
    <xf numFmtId="0" fontId="134" fillId="0" borderId="1" xfId="8" applyFont="1" applyBorder="1" applyAlignment="1" applyProtection="1">
      <alignment vertical="top" wrapText="1"/>
      <protection locked="0"/>
    </xf>
    <xf numFmtId="0" fontId="134" fillId="0" borderId="1" xfId="0" applyFont="1" applyFill="1" applyBorder="1" applyAlignment="1" applyProtection="1">
      <alignment horizontal="left" vertical="top"/>
      <protection locked="0"/>
    </xf>
    <xf numFmtId="0" fontId="134" fillId="0" borderId="1" xfId="0" applyFont="1" applyFill="1" applyBorder="1" applyAlignment="1" applyProtection="1">
      <alignment horizontal="left" vertical="top" wrapText="1"/>
      <protection locked="0"/>
    </xf>
    <xf numFmtId="0" fontId="134" fillId="0" borderId="1" xfId="0" applyFont="1" applyBorder="1" applyAlignment="1" applyProtection="1">
      <alignment horizontal="left" vertical="top" wrapText="1"/>
      <protection locked="0"/>
    </xf>
    <xf numFmtId="0" fontId="134" fillId="0" borderId="1" xfId="0" applyFont="1" applyBorder="1" applyAlignment="1" applyProtection="1">
      <alignment horizontal="center" vertical="top" wrapText="1"/>
    </xf>
    <xf numFmtId="0" fontId="134" fillId="0" borderId="1" xfId="0" applyFont="1" applyBorder="1" applyAlignment="1" applyProtection="1">
      <alignment horizontal="center" vertical="top" wrapText="1"/>
      <protection locked="0"/>
    </xf>
    <xf numFmtId="0" fontId="140" fillId="7" borderId="1" xfId="38" applyFont="1" applyFill="1" applyBorder="1" applyAlignment="1" applyProtection="1">
      <alignment horizontal="left" vertical="top" wrapText="1"/>
      <protection locked="0"/>
    </xf>
    <xf numFmtId="2" fontId="143" fillId="0" borderId="1" xfId="8" applyNumberFormat="1" applyFont="1" applyBorder="1" applyAlignment="1" applyProtection="1">
      <alignment horizontal="right" vertical="top" wrapText="1"/>
      <protection locked="0"/>
    </xf>
    <xf numFmtId="0" fontId="134" fillId="0" borderId="1" xfId="0" applyFont="1" applyFill="1" applyBorder="1" applyAlignment="1" applyProtection="1">
      <alignment horizontal="center" vertical="top" wrapText="1"/>
      <protection locked="0"/>
    </xf>
    <xf numFmtId="2" fontId="136" fillId="0" borderId="1" xfId="8" applyNumberFormat="1" applyFont="1" applyFill="1" applyBorder="1" applyAlignment="1" applyProtection="1">
      <alignment horizontal="right" vertical="top" wrapText="1"/>
      <protection locked="0"/>
    </xf>
    <xf numFmtId="0" fontId="134" fillId="0" borderId="1" xfId="0" applyFont="1" applyFill="1" applyBorder="1" applyAlignment="1" applyProtection="1">
      <alignment horizontal="left" vertical="top" wrapText="1"/>
    </xf>
    <xf numFmtId="1" fontId="137" fillId="0" borderId="1" xfId="8" applyNumberFormat="1" applyFont="1" applyBorder="1" applyAlignment="1" applyProtection="1">
      <alignment horizontal="center" vertical="top" wrapText="1"/>
      <protection locked="0"/>
    </xf>
    <xf numFmtId="2" fontId="134" fillId="0" borderId="1" xfId="8" applyNumberFormat="1" applyFont="1" applyFill="1" applyBorder="1" applyAlignment="1" applyProtection="1">
      <alignment horizontal="right" vertical="top" wrapText="1"/>
    </xf>
    <xf numFmtId="0" fontId="136" fillId="4" borderId="1" xfId="8" applyFont="1" applyFill="1" applyBorder="1" applyAlignment="1" applyProtection="1">
      <alignment horizontal="left" vertical="top" wrapText="1"/>
    </xf>
    <xf numFmtId="2" fontId="136" fillId="4" borderId="1" xfId="8" applyNumberFormat="1" applyFont="1" applyFill="1" applyBorder="1" applyAlignment="1" applyProtection="1">
      <alignment horizontal="right" vertical="top" wrapText="1"/>
    </xf>
    <xf numFmtId="0" fontId="136" fillId="4" borderId="1" xfId="8" applyFont="1" applyFill="1" applyBorder="1" applyAlignment="1" applyProtection="1">
      <alignment horizontal="center" vertical="top" wrapText="1"/>
      <protection locked="0"/>
    </xf>
    <xf numFmtId="0" fontId="134" fillId="40" borderId="1" xfId="8" applyFont="1" applyFill="1" applyBorder="1" applyAlignment="1" applyProtection="1">
      <alignment horizontal="left" vertical="top" wrapText="1"/>
    </xf>
    <xf numFmtId="0" fontId="134" fillId="0" borderId="1" xfId="8" applyFont="1" applyFill="1" applyBorder="1" applyAlignment="1" applyProtection="1">
      <alignment horizontal="left" vertical="top" wrapText="1"/>
    </xf>
    <xf numFmtId="0" fontId="134" fillId="0" borderId="1" xfId="8" applyFont="1" applyFill="1" applyBorder="1" applyAlignment="1" applyProtection="1">
      <alignment horizontal="left" vertical="top" wrapText="1"/>
      <protection locked="0"/>
    </xf>
    <xf numFmtId="0" fontId="134" fillId="0" borderId="1" xfId="8" applyFont="1" applyBorder="1" applyAlignment="1" applyProtection="1">
      <alignment horizontal="left" vertical="top" wrapText="1"/>
    </xf>
    <xf numFmtId="0" fontId="134" fillId="0" borderId="1" xfId="4" applyFont="1" applyBorder="1" applyAlignment="1" applyProtection="1">
      <alignment vertical="top" wrapText="1"/>
    </xf>
    <xf numFmtId="0" fontId="134" fillId="0" borderId="1" xfId="4" applyFont="1" applyBorder="1" applyAlignment="1" applyProtection="1">
      <alignment vertical="top" wrapText="1"/>
      <protection locked="0"/>
    </xf>
    <xf numFmtId="0" fontId="143" fillId="0" borderId="1" xfId="4" applyFont="1" applyBorder="1" applyAlignment="1" applyProtection="1">
      <alignment vertical="top" wrapText="1"/>
      <protection locked="0"/>
    </xf>
    <xf numFmtId="0" fontId="134" fillId="0" borderId="1" xfId="4" applyFont="1" applyBorder="1" applyAlignment="1" applyProtection="1">
      <alignment horizontal="left" vertical="top" wrapText="1"/>
      <protection locked="0"/>
    </xf>
    <xf numFmtId="0" fontId="143" fillId="0" borderId="1" xfId="0" applyFont="1" applyBorder="1" applyAlignment="1" applyProtection="1">
      <alignment horizontal="left" vertical="top" wrapText="1"/>
      <protection locked="0"/>
    </xf>
    <xf numFmtId="0" fontId="137" fillId="0" borderId="1" xfId="38" applyFont="1" applyFill="1" applyBorder="1" applyAlignment="1" applyProtection="1">
      <alignment horizontal="left" vertical="top" wrapText="1"/>
    </xf>
    <xf numFmtId="0" fontId="144" fillId="0" borderId="1" xfId="0" applyFont="1" applyFill="1" applyBorder="1" applyAlignment="1" applyProtection="1">
      <alignment horizontal="left" vertical="top" wrapText="1"/>
      <protection locked="0"/>
    </xf>
    <xf numFmtId="0" fontId="137" fillId="0" borderId="1" xfId="38" applyFont="1" applyBorder="1" applyAlignment="1" applyProtection="1">
      <alignment horizontal="left" vertical="top" wrapText="1"/>
    </xf>
    <xf numFmtId="0" fontId="133" fillId="0" borderId="1" xfId="38" applyFont="1" applyFill="1" applyBorder="1" applyAlignment="1" applyProtection="1">
      <alignment horizontal="left" vertical="top" wrapText="1"/>
    </xf>
    <xf numFmtId="0" fontId="137" fillId="2" borderId="1" xfId="38" applyFont="1" applyFill="1" applyBorder="1" applyAlignment="1" applyProtection="1">
      <alignment horizontal="left" vertical="top" wrapText="1"/>
    </xf>
    <xf numFmtId="2" fontId="133" fillId="2" borderId="1" xfId="38" applyNumberFormat="1" applyFont="1" applyFill="1" applyBorder="1" applyAlignment="1" applyProtection="1">
      <alignment horizontal="right" vertical="top" wrapText="1"/>
      <protection locked="0"/>
    </xf>
    <xf numFmtId="0" fontId="136" fillId="0" borderId="1" xfId="0" applyFont="1" applyBorder="1" applyAlignment="1" applyProtection="1">
      <alignment horizontal="center" vertical="top" wrapText="1"/>
    </xf>
    <xf numFmtId="0" fontId="133" fillId="0" borderId="1" xfId="38" applyFont="1" applyFill="1" applyBorder="1" applyAlignment="1" applyProtection="1">
      <alignment horizontal="left" vertical="top" wrapText="1"/>
      <protection locked="0"/>
    </xf>
    <xf numFmtId="2" fontId="133" fillId="0" borderId="1" xfId="38" applyNumberFormat="1" applyFont="1" applyFill="1" applyBorder="1" applyAlignment="1" applyProtection="1">
      <alignment horizontal="right" vertical="top" wrapText="1"/>
      <protection locked="0"/>
    </xf>
    <xf numFmtId="0" fontId="141" fillId="0" borderId="1" xfId="0" applyFont="1" applyFill="1" applyBorder="1" applyAlignment="1" applyProtection="1">
      <alignment horizontal="center" vertical="top" wrapText="1"/>
      <protection locked="0"/>
    </xf>
    <xf numFmtId="0" fontId="136" fillId="0" borderId="1" xfId="8" applyFont="1" applyFill="1" applyBorder="1" applyAlignment="1" applyProtection="1">
      <alignment vertical="top" wrapText="1"/>
      <protection locked="0"/>
    </xf>
    <xf numFmtId="2" fontId="136" fillId="0" borderId="1" xfId="8" applyNumberFormat="1" applyFont="1" applyFill="1" applyBorder="1" applyAlignment="1" applyProtection="1">
      <alignment horizontal="right" vertical="top" wrapText="1"/>
    </xf>
    <xf numFmtId="0" fontId="141" fillId="0" borderId="1" xfId="0" applyFont="1" applyFill="1" applyBorder="1" applyAlignment="1" applyProtection="1">
      <alignment horizontal="left" vertical="top" wrapText="1"/>
      <protection locked="0"/>
    </xf>
    <xf numFmtId="0" fontId="134" fillId="0" borderId="1" xfId="0" applyFont="1" applyBorder="1" applyAlignment="1" applyProtection="1">
      <alignment vertical="top" wrapText="1"/>
      <protection locked="0"/>
    </xf>
    <xf numFmtId="0" fontId="136" fillId="0" borderId="1" xfId="0" applyFont="1" applyFill="1" applyBorder="1" applyAlignment="1" applyProtection="1">
      <alignment horizontal="left" vertical="top" wrapText="1"/>
    </xf>
    <xf numFmtId="0" fontId="136" fillId="0" borderId="1" xfId="0" applyFont="1" applyFill="1" applyBorder="1" applyAlignment="1" applyProtection="1">
      <alignment horizontal="left" vertical="top" wrapText="1"/>
      <protection locked="0"/>
    </xf>
    <xf numFmtId="0" fontId="134" fillId="0" borderId="1" xfId="8" applyFont="1" applyFill="1" applyBorder="1" applyAlignment="1" applyProtection="1">
      <alignment vertical="top" wrapText="1"/>
      <protection locked="0"/>
    </xf>
    <xf numFmtId="0" fontId="134" fillId="0" borderId="1" xfId="0" applyFont="1" applyFill="1" applyBorder="1" applyAlignment="1" applyProtection="1">
      <alignment vertical="top"/>
      <protection locked="0"/>
    </xf>
    <xf numFmtId="0" fontId="137" fillId="0" borderId="1" xfId="0" applyFont="1" applyFill="1" applyBorder="1" applyAlignment="1" applyProtection="1">
      <alignment horizontal="center" vertical="top" wrapText="1"/>
      <protection locked="0"/>
    </xf>
    <xf numFmtId="0" fontId="136" fillId="27" borderId="1" xfId="0" applyFont="1" applyFill="1" applyBorder="1" applyAlignment="1" applyProtection="1">
      <alignment horizontal="left" vertical="top" wrapText="1"/>
    </xf>
    <xf numFmtId="0" fontId="136" fillId="27" borderId="1" xfId="4" applyFont="1" applyFill="1" applyBorder="1" applyAlignment="1" applyProtection="1">
      <alignment vertical="top" wrapText="1"/>
    </xf>
    <xf numFmtId="0" fontId="136" fillId="27" borderId="1" xfId="0" applyFont="1" applyFill="1" applyBorder="1" applyAlignment="1" applyProtection="1">
      <alignment horizontal="left" vertical="top" wrapText="1"/>
      <protection locked="0"/>
    </xf>
    <xf numFmtId="2" fontId="136" fillId="27" borderId="1" xfId="8" applyNumberFormat="1" applyFont="1" applyFill="1" applyBorder="1" applyAlignment="1" applyProtection="1">
      <alignment horizontal="right" vertical="top" wrapText="1"/>
    </xf>
    <xf numFmtId="0" fontId="136" fillId="27" borderId="1" xfId="8" applyFont="1" applyFill="1" applyBorder="1" applyAlignment="1" applyProtection="1">
      <alignment vertical="top" wrapText="1"/>
      <protection locked="0"/>
    </xf>
    <xf numFmtId="0" fontId="134" fillId="12" borderId="1" xfId="0" applyFont="1" applyFill="1" applyBorder="1" applyAlignment="1" applyProtection="1">
      <alignment horizontal="left" vertical="top" wrapText="1"/>
    </xf>
    <xf numFmtId="0" fontId="136" fillId="0" borderId="1" xfId="0" applyFont="1" applyBorder="1" applyAlignment="1" applyProtection="1">
      <alignment horizontal="left" vertical="top" wrapText="1"/>
    </xf>
    <xf numFmtId="0" fontId="133" fillId="0" borderId="1" xfId="0" applyFont="1" applyFill="1" applyBorder="1" applyAlignment="1" applyProtection="1">
      <alignment horizontal="center" vertical="top" wrapText="1"/>
      <protection locked="0"/>
    </xf>
    <xf numFmtId="2" fontId="134" fillId="11" borderId="1" xfId="8" applyNumberFormat="1" applyFont="1" applyFill="1" applyBorder="1" applyAlignment="1" applyProtection="1">
      <alignment horizontal="right" vertical="top" wrapText="1"/>
      <protection locked="0"/>
    </xf>
    <xf numFmtId="2" fontId="136" fillId="0" borderId="1" xfId="8" applyNumberFormat="1" applyFont="1" applyBorder="1" applyAlignment="1" applyProtection="1">
      <alignment horizontal="right" vertical="top" wrapText="1"/>
    </xf>
    <xf numFmtId="0" fontId="136" fillId="0" borderId="1" xfId="0" applyFont="1" applyBorder="1" applyAlignment="1" applyProtection="1">
      <alignment horizontal="left" vertical="top" wrapText="1"/>
      <protection locked="0"/>
    </xf>
    <xf numFmtId="2" fontId="136" fillId="0" borderId="1" xfId="8" applyNumberFormat="1" applyFont="1" applyBorder="1" applyAlignment="1" applyProtection="1">
      <alignment horizontal="right" vertical="top" wrapText="1"/>
      <protection locked="0"/>
    </xf>
    <xf numFmtId="0" fontId="136" fillId="3" borderId="1" xfId="0" applyFont="1" applyFill="1" applyBorder="1" applyAlignment="1" applyProtection="1">
      <alignment horizontal="left" vertical="top" wrapText="1"/>
    </xf>
    <xf numFmtId="0" fontId="134" fillId="3" borderId="1" xfId="0" applyFont="1" applyFill="1" applyBorder="1" applyAlignment="1" applyProtection="1">
      <alignment horizontal="left" vertical="top" wrapText="1"/>
    </xf>
    <xf numFmtId="0" fontId="136" fillId="3" borderId="1" xfId="4" applyFont="1" applyFill="1" applyBorder="1" applyAlignment="1" applyProtection="1">
      <alignment vertical="top" wrapText="1"/>
    </xf>
    <xf numFmtId="0" fontId="134" fillId="3" borderId="1" xfId="0" applyFont="1" applyFill="1" applyBorder="1" applyAlignment="1" applyProtection="1">
      <alignment horizontal="left" vertical="top" wrapText="1"/>
      <protection locked="0"/>
    </xf>
    <xf numFmtId="2" fontId="136" fillId="3" borderId="1" xfId="8" applyNumberFormat="1" applyFont="1" applyFill="1" applyBorder="1" applyAlignment="1" applyProtection="1">
      <alignment horizontal="right" vertical="top" wrapText="1"/>
    </xf>
    <xf numFmtId="0" fontId="136" fillId="3" borderId="1" xfId="8" applyFont="1" applyFill="1" applyBorder="1" applyAlignment="1" applyProtection="1">
      <alignment vertical="top" wrapText="1"/>
      <protection locked="0"/>
    </xf>
    <xf numFmtId="0" fontId="143" fillId="0" borderId="1" xfId="8" applyFont="1" applyFill="1" applyBorder="1" applyAlignment="1" applyProtection="1">
      <alignment vertical="top" wrapText="1"/>
      <protection locked="0"/>
    </xf>
    <xf numFmtId="0" fontId="143" fillId="0" borderId="1" xfId="0" applyFont="1" applyFill="1" applyBorder="1" applyAlignment="1" applyProtection="1">
      <alignment horizontal="left" vertical="top" wrapText="1"/>
      <protection locked="0"/>
    </xf>
    <xf numFmtId="0" fontId="143" fillId="0" borderId="1" xfId="0" applyFont="1" applyFill="1" applyBorder="1" applyAlignment="1" applyProtection="1">
      <alignment horizontal="center" vertical="top" wrapText="1"/>
      <protection locked="0"/>
    </xf>
    <xf numFmtId="0" fontId="136" fillId="12" borderId="1" xfId="0" applyFont="1" applyFill="1" applyBorder="1" applyAlignment="1" applyProtection="1">
      <alignment horizontal="left" vertical="top" wrapText="1"/>
    </xf>
    <xf numFmtId="0" fontId="137" fillId="0" borderId="1" xfId="0" applyFont="1" applyFill="1" applyBorder="1" applyAlignment="1" applyProtection="1">
      <alignment horizontal="left" vertical="top" wrapText="1"/>
    </xf>
    <xf numFmtId="0" fontId="137" fillId="0" borderId="1" xfId="0" applyFont="1" applyBorder="1" applyAlignment="1" applyProtection="1">
      <alignment horizontal="center" vertical="top" wrapText="1"/>
      <protection locked="0"/>
    </xf>
    <xf numFmtId="0" fontId="137" fillId="0" borderId="1" xfId="0" applyFont="1" applyBorder="1" applyAlignment="1" applyProtection="1">
      <alignment horizontal="left" vertical="top" wrapText="1"/>
      <protection locked="0"/>
    </xf>
    <xf numFmtId="2" fontId="134" fillId="0" borderId="1" xfId="8" applyNumberFormat="1" applyFont="1" applyBorder="1" applyAlignment="1" applyProtection="1">
      <alignment vertical="top" wrapText="1"/>
      <protection locked="0"/>
    </xf>
    <xf numFmtId="0" fontId="136" fillId="0" borderId="1" xfId="8" applyFont="1" applyBorder="1" applyAlignment="1" applyProtection="1">
      <alignment vertical="top" wrapText="1"/>
    </xf>
    <xf numFmtId="0" fontId="136" fillId="0" borderId="1" xfId="8" applyFont="1" applyBorder="1" applyAlignment="1" applyProtection="1">
      <alignment vertical="top" wrapText="1"/>
      <protection locked="0"/>
    </xf>
    <xf numFmtId="0" fontId="136" fillId="0" borderId="1" xfId="8" applyFont="1" applyBorder="1" applyAlignment="1" applyProtection="1">
      <alignment horizontal="left" vertical="top" wrapText="1"/>
      <protection locked="0"/>
    </xf>
    <xf numFmtId="1" fontId="133" fillId="2" borderId="1" xfId="38" applyNumberFormat="1" applyFont="1" applyFill="1" applyBorder="1" applyAlignment="1" applyProtection="1">
      <alignment horizontal="center" vertical="top" wrapText="1"/>
      <protection locked="0"/>
    </xf>
    <xf numFmtId="0" fontId="134" fillId="0" borderId="1" xfId="0" applyFont="1" applyBorder="1" applyAlignment="1" applyProtection="1">
      <alignment vertical="top" wrapText="1"/>
    </xf>
    <xf numFmtId="2" fontId="140" fillId="7" borderId="1" xfId="38" applyNumberFormat="1" applyFont="1" applyFill="1" applyBorder="1" applyAlignment="1" applyProtection="1">
      <alignment horizontal="right" vertical="top" wrapText="1"/>
      <protection locked="0"/>
    </xf>
    <xf numFmtId="0" fontId="142" fillId="0" borderId="1" xfId="0" applyFont="1" applyBorder="1" applyAlignment="1" applyProtection="1">
      <alignment horizontal="center" vertical="top" wrapText="1"/>
    </xf>
    <xf numFmtId="0" fontId="142" fillId="0" borderId="1" xfId="0" applyFont="1" applyBorder="1" applyAlignment="1" applyProtection="1">
      <alignment horizontal="center" vertical="top" wrapText="1"/>
      <protection locked="0"/>
    </xf>
    <xf numFmtId="0" fontId="142" fillId="0" borderId="1" xfId="0" applyFont="1" applyBorder="1" applyAlignment="1" applyProtection="1">
      <alignment horizontal="left" vertical="top" wrapText="1"/>
      <protection locked="0"/>
    </xf>
    <xf numFmtId="0" fontId="142" fillId="14" borderId="1" xfId="0" applyFont="1" applyFill="1" applyBorder="1" applyAlignment="1" applyProtection="1">
      <alignment horizontal="center" vertical="top" wrapText="1"/>
      <protection locked="0"/>
    </xf>
    <xf numFmtId="2" fontId="134" fillId="14" borderId="1" xfId="8" applyNumberFormat="1" applyFont="1" applyFill="1" applyBorder="1" applyAlignment="1" applyProtection="1">
      <alignment horizontal="right" vertical="top" wrapText="1"/>
    </xf>
    <xf numFmtId="0" fontId="134" fillId="14" borderId="1" xfId="8" applyFont="1" applyFill="1" applyBorder="1" applyAlignment="1" applyProtection="1">
      <alignment vertical="top" wrapText="1"/>
      <protection locked="0"/>
    </xf>
    <xf numFmtId="0" fontId="142" fillId="14" borderId="1" xfId="0" applyFont="1" applyFill="1" applyBorder="1" applyAlignment="1" applyProtection="1">
      <alignment horizontal="left" vertical="top" wrapText="1"/>
      <protection locked="0"/>
    </xf>
    <xf numFmtId="0" fontId="144" fillId="14" borderId="1" xfId="0" applyFont="1" applyFill="1" applyBorder="1" applyAlignment="1" applyProtection="1">
      <alignment horizontal="left" vertical="top" wrapText="1"/>
      <protection locked="0"/>
    </xf>
    <xf numFmtId="2" fontId="134" fillId="14" borderId="1" xfId="8" applyNumberFormat="1" applyFont="1" applyFill="1" applyBorder="1" applyAlignment="1" applyProtection="1">
      <alignment horizontal="right" vertical="top" wrapText="1"/>
      <protection locked="0"/>
    </xf>
    <xf numFmtId="0" fontId="136" fillId="0" borderId="1" xfId="0" applyFont="1" applyBorder="1" applyAlignment="1" applyProtection="1">
      <alignment horizontal="center" vertical="top" wrapText="1"/>
      <protection locked="0"/>
    </xf>
    <xf numFmtId="0" fontId="136" fillId="0" borderId="1" xfId="0" applyFont="1" applyFill="1" applyBorder="1" applyAlignment="1" applyProtection="1">
      <alignment horizontal="center" vertical="top" wrapText="1"/>
      <protection locked="0"/>
    </xf>
    <xf numFmtId="0" fontId="134" fillId="0" borderId="1" xfId="4" applyFont="1" applyBorder="1" applyAlignment="1" applyProtection="1">
      <alignment horizontal="left" vertical="top" wrapText="1"/>
    </xf>
    <xf numFmtId="0" fontId="134" fillId="0" borderId="1" xfId="8" applyFont="1" applyBorder="1" applyAlignment="1" applyProtection="1">
      <alignment vertical="top" wrapText="1"/>
    </xf>
    <xf numFmtId="2" fontId="134" fillId="0" borderId="1" xfId="8" applyNumberFormat="1" applyFont="1" applyBorder="1" applyAlignment="1" applyProtection="1">
      <alignment vertical="top" wrapText="1"/>
    </xf>
    <xf numFmtId="0" fontId="133" fillId="2" borderId="1" xfId="38" applyFont="1" applyFill="1" applyBorder="1" applyAlignment="1" applyProtection="1">
      <alignment horizontal="center" vertical="top" wrapText="1"/>
      <protection locked="0"/>
    </xf>
    <xf numFmtId="0" fontId="136" fillId="2" borderId="1" xfId="8" applyFont="1" applyFill="1" applyBorder="1" applyAlignment="1" applyProtection="1">
      <alignment horizontal="center" vertical="top" wrapText="1"/>
      <protection locked="0"/>
    </xf>
    <xf numFmtId="2" fontId="136" fillId="2" borderId="1" xfId="8" applyNumberFormat="1" applyFont="1" applyFill="1" applyBorder="1" applyAlignment="1" applyProtection="1">
      <alignment horizontal="right" vertical="top" wrapText="1"/>
      <protection locked="0"/>
    </xf>
    <xf numFmtId="0" fontId="133" fillId="2" borderId="1" xfId="48" applyFont="1" applyFill="1" applyBorder="1" applyAlignment="1" applyProtection="1">
      <alignment horizontal="left" vertical="top" wrapText="1"/>
    </xf>
    <xf numFmtId="2" fontId="136" fillId="4" borderId="1" xfId="8" applyNumberFormat="1" applyFont="1" applyFill="1" applyBorder="1" applyAlignment="1" applyProtection="1">
      <alignment vertical="top" wrapText="1"/>
    </xf>
    <xf numFmtId="2" fontId="136" fillId="4" borderId="1" xfId="8" applyNumberFormat="1" applyFont="1" applyFill="1" applyBorder="1" applyAlignment="1" applyProtection="1">
      <alignment horizontal="right" vertical="top" wrapText="1"/>
      <protection locked="0"/>
    </xf>
    <xf numFmtId="0" fontId="134" fillId="0" borderId="0" xfId="0" applyFont="1" applyBorder="1" applyAlignment="1" applyProtection="1">
      <alignment horizontal="left" vertical="top" wrapText="1"/>
    </xf>
    <xf numFmtId="0" fontId="136" fillId="19" borderId="1" xfId="0" applyFont="1" applyFill="1" applyBorder="1" applyAlignment="1" applyProtection="1">
      <alignment horizontal="left" vertical="top" wrapText="1"/>
    </xf>
    <xf numFmtId="0" fontId="133" fillId="19" borderId="1" xfId="50" applyFont="1" applyFill="1" applyBorder="1" applyAlignment="1" applyProtection="1">
      <alignment vertical="top" wrapText="1"/>
    </xf>
    <xf numFmtId="0" fontId="136" fillId="19" borderId="1" xfId="8" applyFont="1" applyFill="1" applyBorder="1" applyAlignment="1" applyProtection="1">
      <alignment vertical="top" wrapText="1"/>
      <protection locked="0"/>
    </xf>
    <xf numFmtId="2" fontId="136" fillId="19" borderId="1" xfId="8" applyNumberFormat="1" applyFont="1" applyFill="1" applyBorder="1" applyAlignment="1" applyProtection="1">
      <alignment horizontal="right" vertical="top" wrapText="1"/>
      <protection locked="0"/>
    </xf>
    <xf numFmtId="2" fontId="136" fillId="19" borderId="1" xfId="8" applyNumberFormat="1" applyFont="1" applyFill="1" applyBorder="1" applyAlignment="1" applyProtection="1">
      <alignment horizontal="right" vertical="top" wrapText="1"/>
    </xf>
    <xf numFmtId="0" fontId="136" fillId="19" borderId="1" xfId="0" applyFont="1" applyFill="1" applyBorder="1" applyAlignment="1" applyProtection="1">
      <alignment horizontal="left" vertical="top" wrapText="1"/>
      <protection locked="0"/>
    </xf>
    <xf numFmtId="0" fontId="137" fillId="0" borderId="1" xfId="5" applyFont="1" applyFill="1" applyBorder="1" applyAlignment="1" applyProtection="1">
      <alignment vertical="top" wrapText="1"/>
    </xf>
    <xf numFmtId="2" fontId="136" fillId="4" borderId="1" xfId="8" applyNumberFormat="1" applyFont="1" applyFill="1" applyBorder="1" applyAlignment="1" applyProtection="1">
      <alignment horizontal="left" vertical="top" wrapText="1"/>
      <protection locked="0"/>
    </xf>
    <xf numFmtId="0" fontId="134" fillId="0" borderId="1" xfId="0" applyFont="1" applyFill="1" applyBorder="1" applyAlignment="1" applyProtection="1">
      <alignment horizontal="center" vertical="top" wrapText="1"/>
    </xf>
    <xf numFmtId="0" fontId="135" fillId="0" borderId="1" xfId="0" applyFont="1" applyFill="1" applyBorder="1" applyAlignment="1" applyProtection="1">
      <alignment vertical="top" wrapText="1"/>
    </xf>
    <xf numFmtId="0" fontId="136" fillId="0" borderId="1" xfId="8" applyFont="1" applyFill="1" applyBorder="1" applyAlignment="1" applyProtection="1">
      <alignment horizontal="left" vertical="top" wrapText="1"/>
    </xf>
    <xf numFmtId="0" fontId="136" fillId="0" borderId="1" xfId="8" applyFont="1" applyFill="1" applyBorder="1" applyAlignment="1" applyProtection="1">
      <alignment horizontal="left" vertical="top" wrapText="1"/>
      <protection locked="0"/>
    </xf>
    <xf numFmtId="0" fontId="134" fillId="14" borderId="1" xfId="0" applyFont="1" applyFill="1" applyBorder="1" applyAlignment="1" applyProtection="1">
      <alignment horizontal="center" vertical="top" wrapText="1"/>
      <protection locked="0"/>
    </xf>
    <xf numFmtId="0" fontId="134" fillId="14" borderId="1" xfId="0" applyFont="1" applyFill="1" applyBorder="1" applyAlignment="1" applyProtection="1">
      <alignment horizontal="left" vertical="top" wrapText="1"/>
      <protection locked="0"/>
    </xf>
    <xf numFmtId="0" fontId="134" fillId="4" borderId="1" xfId="8" applyFont="1" applyFill="1" applyBorder="1" applyAlignment="1" applyProtection="1">
      <alignment horizontal="left" vertical="top" wrapText="1"/>
    </xf>
    <xf numFmtId="0" fontId="137" fillId="0" borderId="1" xfId="4" applyFont="1" applyBorder="1" applyAlignment="1" applyProtection="1">
      <alignment vertical="top" wrapText="1"/>
    </xf>
    <xf numFmtId="0" fontId="134" fillId="0" borderId="1" xfId="0" applyFont="1" applyBorder="1" applyAlignment="1" applyProtection="1">
      <alignment vertical="top"/>
      <protection locked="0"/>
    </xf>
    <xf numFmtId="0" fontId="143" fillId="0" borderId="1" xfId="0" applyFont="1" applyBorder="1" applyAlignment="1" applyProtection="1">
      <alignment vertical="top" wrapText="1"/>
      <protection locked="0"/>
    </xf>
    <xf numFmtId="43" fontId="137" fillId="0" borderId="1" xfId="1" applyFont="1" applyBorder="1" applyAlignment="1" applyProtection="1">
      <alignment horizontal="right" vertical="top" wrapText="1"/>
      <protection locked="0"/>
    </xf>
    <xf numFmtId="170" fontId="137" fillId="0" borderId="1" xfId="1" applyNumberFormat="1" applyFont="1" applyBorder="1" applyAlignment="1" applyProtection="1">
      <alignment horizontal="right" vertical="top" wrapText="1"/>
      <protection locked="0"/>
    </xf>
    <xf numFmtId="43" fontId="140" fillId="7" borderId="1" xfId="1" applyFont="1" applyFill="1" applyBorder="1" applyAlignment="1" applyProtection="1">
      <alignment horizontal="right" vertical="top" wrapText="1"/>
    </xf>
    <xf numFmtId="43" fontId="133" fillId="2" borderId="1" xfId="1" applyFont="1" applyFill="1" applyBorder="1" applyAlignment="1" applyProtection="1">
      <alignment horizontal="right" vertical="top" wrapText="1"/>
    </xf>
    <xf numFmtId="2" fontId="134" fillId="0" borderId="1" xfId="0" applyNumberFormat="1" applyFont="1" applyFill="1" applyBorder="1" applyAlignment="1" applyProtection="1">
      <alignment horizontal="right" vertical="top" wrapText="1"/>
      <protection locked="0"/>
    </xf>
    <xf numFmtId="43" fontId="134" fillId="0" borderId="1" xfId="1" applyFont="1" applyBorder="1" applyAlignment="1" applyProtection="1">
      <alignment horizontal="right" vertical="top" wrapText="1"/>
      <protection locked="0"/>
    </xf>
    <xf numFmtId="2" fontId="133" fillId="11" borderId="1" xfId="38" applyNumberFormat="1" applyFont="1" applyFill="1" applyBorder="1" applyAlignment="1" applyProtection="1">
      <alignment horizontal="right" vertical="top" wrapText="1"/>
      <protection locked="0"/>
    </xf>
    <xf numFmtId="43" fontId="134" fillId="0" borderId="1" xfId="1" applyFont="1" applyFill="1" applyBorder="1" applyAlignment="1" applyProtection="1">
      <alignment horizontal="right" vertical="top" wrapText="1"/>
      <protection locked="0"/>
    </xf>
    <xf numFmtId="43" fontId="136" fillId="4" borderId="1" xfId="1" applyFont="1" applyFill="1" applyBorder="1" applyAlignment="1" applyProtection="1">
      <alignment horizontal="right" vertical="top" wrapText="1"/>
    </xf>
    <xf numFmtId="0" fontId="143" fillId="0" borderId="1" xfId="8" applyFont="1" applyBorder="1" applyAlignment="1" applyProtection="1">
      <alignment vertical="top" wrapText="1"/>
      <protection locked="0"/>
    </xf>
    <xf numFmtId="0" fontId="143" fillId="0" borderId="1" xfId="0" applyFont="1" applyFill="1" applyBorder="1" applyAlignment="1" applyProtection="1">
      <alignment horizontal="right" vertical="top" wrapText="1"/>
      <protection locked="0"/>
    </xf>
    <xf numFmtId="0" fontId="136" fillId="0" borderId="1" xfId="8" applyFont="1" applyFill="1" applyBorder="1" applyAlignment="1" applyProtection="1">
      <alignment horizontal="right" vertical="top" wrapText="1"/>
      <protection locked="0"/>
    </xf>
    <xf numFmtId="43" fontId="136" fillId="4" borderId="1" xfId="1" applyFont="1" applyFill="1" applyBorder="1" applyAlignment="1" applyProtection="1">
      <alignment horizontal="right" vertical="top" wrapText="1"/>
      <protection locked="0"/>
    </xf>
    <xf numFmtId="0" fontId="134" fillId="0" borderId="1" xfId="4" applyFont="1" applyFill="1" applyBorder="1" applyAlignment="1" applyProtection="1">
      <alignment horizontal="left" vertical="top" wrapText="1"/>
      <protection locked="0"/>
    </xf>
    <xf numFmtId="43" fontId="133" fillId="2" borderId="1" xfId="1" applyFont="1" applyFill="1" applyBorder="1" applyAlignment="1" applyProtection="1">
      <alignment horizontal="right" vertical="top" wrapText="1"/>
      <protection locked="0"/>
    </xf>
    <xf numFmtId="43" fontId="140" fillId="7" borderId="1" xfId="1" applyFont="1" applyFill="1" applyBorder="1" applyAlignment="1" applyProtection="1">
      <alignment horizontal="right" vertical="top" wrapText="1"/>
      <protection locked="0"/>
    </xf>
    <xf numFmtId="0" fontId="134" fillId="0" borderId="1" xfId="0" applyFont="1" applyFill="1" applyBorder="1" applyAlignment="1" applyProtection="1">
      <alignment horizontal="right" vertical="top" wrapText="1"/>
      <protection locked="0"/>
    </xf>
    <xf numFmtId="0" fontId="134" fillId="0" borderId="1" xfId="0" applyFont="1" applyBorder="1" applyAlignment="1" applyProtection="1">
      <alignment horizontal="left" vertical="top"/>
      <protection locked="0"/>
    </xf>
    <xf numFmtId="0" fontId="134" fillId="0" borderId="1" xfId="0" applyFont="1" applyFill="1" applyBorder="1" applyAlignment="1" applyProtection="1">
      <alignment horizontal="right" vertical="top"/>
      <protection locked="0"/>
    </xf>
    <xf numFmtId="43" fontId="133" fillId="0" borderId="1" xfId="1" applyFont="1" applyFill="1" applyBorder="1" applyAlignment="1" applyProtection="1">
      <alignment horizontal="right" vertical="top" wrapText="1"/>
      <protection locked="0"/>
    </xf>
    <xf numFmtId="0" fontId="134" fillId="0" borderId="0" xfId="0" applyFont="1" applyAlignment="1" applyProtection="1">
      <alignment vertical="top" wrapText="1"/>
      <protection locked="0"/>
    </xf>
    <xf numFmtId="43" fontId="136" fillId="0" borderId="1" xfId="1" applyFont="1" applyFill="1" applyBorder="1" applyAlignment="1" applyProtection="1">
      <alignment horizontal="right" vertical="top" wrapText="1"/>
      <protection locked="0"/>
    </xf>
    <xf numFmtId="1" fontId="134" fillId="0" borderId="1" xfId="0" applyNumberFormat="1" applyFont="1" applyFill="1" applyBorder="1" applyAlignment="1" applyProtection="1">
      <alignment vertical="top" wrapText="1"/>
      <protection locked="0"/>
    </xf>
    <xf numFmtId="0" fontId="134" fillId="54" borderId="1" xfId="0" applyFont="1" applyFill="1" applyBorder="1" applyAlignment="1" applyProtection="1">
      <alignment horizontal="left" vertical="top" wrapText="1"/>
      <protection locked="0"/>
    </xf>
    <xf numFmtId="2" fontId="136" fillId="27" borderId="1" xfId="8" applyNumberFormat="1" applyFont="1" applyFill="1" applyBorder="1" applyAlignment="1" applyProtection="1">
      <alignment horizontal="right" vertical="top" wrapText="1"/>
      <protection locked="0"/>
    </xf>
    <xf numFmtId="43" fontId="136" fillId="27" borderId="1" xfId="1" applyFont="1" applyFill="1" applyBorder="1" applyAlignment="1" applyProtection="1">
      <alignment horizontal="right" vertical="top" wrapText="1"/>
      <protection locked="0"/>
    </xf>
    <xf numFmtId="43" fontId="136" fillId="0" borderId="1" xfId="1" applyFont="1" applyBorder="1" applyAlignment="1" applyProtection="1">
      <alignment horizontal="right" vertical="top" wrapText="1"/>
      <protection locked="0"/>
    </xf>
    <xf numFmtId="2" fontId="136" fillId="3" borderId="1" xfId="8" applyNumberFormat="1" applyFont="1" applyFill="1" applyBorder="1" applyAlignment="1" applyProtection="1">
      <alignment horizontal="right" vertical="top" wrapText="1"/>
      <protection locked="0"/>
    </xf>
    <xf numFmtId="43" fontId="136" fillId="3" borderId="1" xfId="1" applyFont="1" applyFill="1" applyBorder="1" applyAlignment="1" applyProtection="1">
      <alignment horizontal="right" vertical="top" wrapText="1"/>
      <protection locked="0"/>
    </xf>
    <xf numFmtId="0" fontId="134" fillId="0" borderId="1" xfId="0" applyFont="1" applyBorder="1" applyAlignment="1" applyProtection="1">
      <alignment horizontal="right" vertical="top"/>
      <protection locked="0"/>
    </xf>
    <xf numFmtId="2" fontId="134" fillId="0" borderId="1" xfId="0" applyNumberFormat="1" applyFont="1" applyFill="1" applyBorder="1" applyAlignment="1" applyProtection="1">
      <alignment horizontal="right" vertical="top"/>
      <protection locked="0"/>
    </xf>
    <xf numFmtId="0" fontId="143" fillId="0" borderId="1" xfId="0" applyFont="1" applyFill="1" applyBorder="1" applyAlignment="1" applyProtection="1">
      <alignment horizontal="left" vertical="top"/>
      <protection locked="0"/>
    </xf>
    <xf numFmtId="2" fontId="143" fillId="0" borderId="1" xfId="0" applyNumberFormat="1" applyFont="1" applyFill="1" applyBorder="1" applyAlignment="1" applyProtection="1">
      <alignment horizontal="right" vertical="top"/>
      <protection locked="0"/>
    </xf>
    <xf numFmtId="0" fontId="143" fillId="0" borderId="1" xfId="0" applyFont="1" applyBorder="1" applyAlignment="1" applyProtection="1">
      <alignment horizontal="left" vertical="top"/>
      <protection locked="0"/>
    </xf>
    <xf numFmtId="0" fontId="134" fillId="0" borderId="1" xfId="8" applyFont="1" applyBorder="1" applyAlignment="1" applyProtection="1">
      <alignment horizontal="center" vertical="top" wrapText="1"/>
      <protection locked="0"/>
    </xf>
    <xf numFmtId="2" fontId="134" fillId="10" borderId="1" xfId="8" applyNumberFormat="1" applyFont="1" applyFill="1" applyBorder="1" applyAlignment="1" applyProtection="1">
      <alignment horizontal="right" vertical="top" wrapText="1"/>
      <protection locked="0"/>
    </xf>
    <xf numFmtId="2" fontId="134" fillId="0" borderId="1" xfId="0" applyNumberFormat="1" applyFont="1" applyFill="1" applyBorder="1" applyAlignment="1" applyProtection="1">
      <alignment vertical="top"/>
      <protection locked="0"/>
    </xf>
    <xf numFmtId="0" fontId="143" fillId="0" borderId="1" xfId="0" applyFont="1" applyFill="1" applyBorder="1" applyAlignment="1" applyProtection="1">
      <alignment horizontal="right" vertical="top"/>
      <protection locked="0"/>
    </xf>
    <xf numFmtId="0" fontId="142" fillId="0" borderId="1" xfId="8" applyFont="1" applyFill="1" applyBorder="1" applyAlignment="1" applyProtection="1">
      <alignment horizontal="center" vertical="top" wrapText="1"/>
      <protection locked="0"/>
    </xf>
    <xf numFmtId="2" fontId="133" fillId="5" borderId="1" xfId="38" applyNumberFormat="1" applyFont="1" applyFill="1" applyBorder="1" applyAlignment="1" applyProtection="1">
      <alignment horizontal="right" vertical="top" wrapText="1"/>
      <protection locked="0"/>
    </xf>
    <xf numFmtId="43" fontId="134" fillId="14" borderId="1" xfId="1" applyFont="1" applyFill="1" applyBorder="1" applyAlignment="1" applyProtection="1">
      <alignment horizontal="right" vertical="top" wrapText="1"/>
      <protection locked="0"/>
    </xf>
    <xf numFmtId="0" fontId="134" fillId="0" borderId="1" xfId="0" applyFont="1" applyBorder="1" applyAlignment="1" applyProtection="1">
      <alignment horizontal="right" vertical="top" wrapText="1"/>
      <protection locked="0"/>
    </xf>
    <xf numFmtId="2" fontId="134" fillId="0" borderId="1" xfId="0" applyNumberFormat="1" applyFont="1" applyBorder="1" applyAlignment="1" applyProtection="1">
      <alignment horizontal="right" vertical="top" wrapText="1"/>
      <protection locked="0"/>
    </xf>
    <xf numFmtId="43" fontId="136" fillId="2" borderId="1" xfId="1" applyFont="1" applyFill="1" applyBorder="1" applyAlignment="1" applyProtection="1">
      <alignment horizontal="right" vertical="top" wrapText="1"/>
      <protection locked="0"/>
    </xf>
    <xf numFmtId="2" fontId="136" fillId="4" borderId="1" xfId="8" applyNumberFormat="1" applyFont="1" applyFill="1" applyBorder="1" applyAlignment="1" applyProtection="1">
      <alignment vertical="top" wrapText="1"/>
      <protection locked="0"/>
    </xf>
    <xf numFmtId="43" fontId="136" fillId="19" borderId="1" xfId="1" applyFont="1" applyFill="1" applyBorder="1" applyAlignment="1" applyProtection="1">
      <alignment horizontal="right" vertical="top" wrapText="1"/>
      <protection locked="0"/>
    </xf>
    <xf numFmtId="2" fontId="21" fillId="13" borderId="5" xfId="48" applyNumberFormat="1" applyFont="1" applyFill="1" applyBorder="1" applyAlignment="1" applyProtection="1">
      <alignment horizontal="left" vertical="center" wrapText="1"/>
      <protection locked="0"/>
    </xf>
    <xf numFmtId="0" fontId="145" fillId="13" borderId="1" xfId="62" applyFont="1" applyFill="1" applyBorder="1" applyAlignment="1" applyProtection="1">
      <alignment horizontal="left" vertical="center" wrapText="1"/>
      <protection locked="0"/>
    </xf>
    <xf numFmtId="0" fontId="124" fillId="52" borderId="1" xfId="109" applyFont="1" applyFill="1" applyBorder="1" applyAlignment="1" applyProtection="1">
      <alignment vertical="top" wrapText="1"/>
      <protection locked="0"/>
    </xf>
    <xf numFmtId="0" fontId="103" fillId="52" borderId="1" xfId="109" applyFont="1" applyFill="1" applyBorder="1" applyAlignment="1" applyProtection="1">
      <alignment vertical="center" wrapText="1"/>
      <protection locked="0"/>
    </xf>
    <xf numFmtId="2" fontId="71" fillId="13" borderId="5" xfId="48" applyNumberFormat="1" applyFont="1" applyFill="1" applyBorder="1" applyAlignment="1" applyProtection="1">
      <alignment horizontal="left" vertical="center" wrapText="1"/>
      <protection locked="0"/>
    </xf>
    <xf numFmtId="0" fontId="146" fillId="4" borderId="1" xfId="8" applyFont="1" applyFill="1" applyBorder="1" applyAlignment="1" applyProtection="1">
      <alignment horizontal="left" vertical="top" wrapText="1"/>
      <protection locked="0"/>
    </xf>
    <xf numFmtId="0" fontId="119" fillId="52" borderId="1" xfId="0" applyFont="1" applyFill="1" applyBorder="1" applyAlignment="1" applyProtection="1">
      <alignment vertical="center" wrapText="1"/>
      <protection locked="0"/>
    </xf>
    <xf numFmtId="0" fontId="138" fillId="0" borderId="1" xfId="62" applyFont="1" applyBorder="1" applyAlignment="1" applyProtection="1">
      <alignment horizontal="left" vertical="center" wrapText="1"/>
      <protection locked="0"/>
    </xf>
    <xf numFmtId="0" fontId="147" fillId="52" borderId="1" xfId="62" applyFont="1" applyFill="1" applyBorder="1" applyAlignment="1" applyProtection="1">
      <alignment horizontal="left" vertical="center" wrapText="1"/>
      <protection locked="0"/>
    </xf>
    <xf numFmtId="0" fontId="148" fillId="52" borderId="1" xfId="109" applyFont="1" applyFill="1" applyBorder="1" applyAlignment="1" applyProtection="1">
      <alignment vertical="center" wrapText="1"/>
      <protection locked="0"/>
    </xf>
    <xf numFmtId="0" fontId="138" fillId="0" borderId="1" xfId="87" applyFont="1" applyFill="1" applyBorder="1" applyAlignment="1" applyProtection="1">
      <alignment horizontal="left" vertical="center" wrapText="1"/>
      <protection locked="0"/>
    </xf>
    <xf numFmtId="0" fontId="119" fillId="52" borderId="1" xfId="8" applyFont="1" applyFill="1" applyBorder="1" applyAlignment="1" applyProtection="1">
      <alignment horizontal="left" vertical="center" wrapText="1"/>
      <protection locked="0"/>
    </xf>
    <xf numFmtId="0" fontId="148" fillId="52" borderId="1" xfId="109" applyFont="1" applyFill="1" applyBorder="1" applyAlignment="1" applyProtection="1">
      <alignment horizontal="left" vertical="center" wrapText="1"/>
      <protection locked="0"/>
    </xf>
    <xf numFmtId="0" fontId="119" fillId="52" borderId="1" xfId="82" applyFont="1" applyFill="1" applyBorder="1" applyAlignment="1" applyProtection="1">
      <alignment vertical="center" wrapText="1"/>
      <protection locked="0"/>
    </xf>
    <xf numFmtId="0" fontId="138" fillId="0" borderId="1" xfId="87" applyFont="1" applyBorder="1" applyAlignment="1" applyProtection="1">
      <alignment horizontal="center" vertical="center"/>
    </xf>
    <xf numFmtId="0" fontId="138" fillId="0" borderId="1" xfId="87" applyFont="1" applyFill="1" applyBorder="1" applyAlignment="1" applyProtection="1">
      <alignment vertical="center"/>
    </xf>
    <xf numFmtId="0" fontId="138" fillId="0" borderId="1" xfId="4" applyFont="1" applyFill="1" applyBorder="1" applyAlignment="1" applyProtection="1">
      <alignment vertical="center" wrapText="1"/>
    </xf>
    <xf numFmtId="0" fontId="138" fillId="0" borderId="1" xfId="4" applyFont="1" applyBorder="1" applyAlignment="1" applyProtection="1">
      <alignment vertical="center" wrapText="1"/>
    </xf>
    <xf numFmtId="0" fontId="139" fillId="30" borderId="1" xfId="0" applyFont="1" applyFill="1" applyBorder="1" applyAlignment="1" applyProtection="1">
      <alignment horizontal="center" vertical="center" wrapText="1"/>
    </xf>
    <xf numFmtId="0" fontId="138" fillId="0" borderId="1" xfId="87" applyFont="1" applyFill="1" applyBorder="1" applyAlignment="1" applyProtection="1">
      <alignment horizontal="center" vertical="center" wrapText="1"/>
    </xf>
    <xf numFmtId="0" fontId="119" fillId="0" borderId="1" xfId="87" applyFont="1" applyBorder="1" applyAlignment="1" applyProtection="1">
      <alignment vertical="center"/>
      <protection locked="0"/>
    </xf>
    <xf numFmtId="0" fontId="119" fillId="0" borderId="1" xfId="0" applyFont="1" applyFill="1" applyBorder="1" applyAlignment="1" applyProtection="1">
      <alignment vertical="center" wrapText="1"/>
      <protection locked="0"/>
    </xf>
    <xf numFmtId="2" fontId="119" fillId="0" borderId="1" xfId="87" applyNumberFormat="1" applyFont="1" applyFill="1" applyBorder="1" applyAlignment="1" applyProtection="1">
      <alignment horizontal="right" vertical="center"/>
      <protection locked="0"/>
    </xf>
    <xf numFmtId="0" fontId="120" fillId="0" borderId="1" xfId="0" applyFont="1" applyBorder="1" applyAlignment="1" applyProtection="1">
      <alignment vertical="center" wrapText="1"/>
      <protection locked="0"/>
    </xf>
    <xf numFmtId="0" fontId="119" fillId="0" borderId="1" xfId="87" applyFont="1" applyFill="1" applyBorder="1" applyAlignment="1" applyProtection="1">
      <alignment vertical="center" wrapText="1"/>
      <protection locked="0"/>
    </xf>
    <xf numFmtId="0" fontId="119" fillId="0" borderId="1" xfId="87" applyFont="1" applyFill="1" applyBorder="1" applyAlignment="1" applyProtection="1">
      <alignment vertical="center"/>
      <protection locked="0"/>
    </xf>
    <xf numFmtId="2" fontId="138" fillId="0" borderId="1" xfId="0" applyNumberFormat="1" applyFont="1" applyBorder="1" applyAlignment="1" applyProtection="1">
      <alignment horizontal="right" vertical="center" wrapText="1"/>
    </xf>
    <xf numFmtId="0" fontId="138" fillId="0" borderId="1" xfId="8" applyFont="1" applyBorder="1" applyAlignment="1" applyProtection="1">
      <alignment horizontal="center" vertical="center" wrapText="1"/>
      <protection locked="0"/>
    </xf>
    <xf numFmtId="2" fontId="138" fillId="0" borderId="1" xfId="87" applyNumberFormat="1" applyFont="1" applyBorder="1" applyAlignment="1" applyProtection="1">
      <alignment horizontal="right" vertical="center"/>
    </xf>
    <xf numFmtId="0" fontId="138" fillId="0" borderId="0" xfId="87" applyFont="1" applyAlignment="1" applyProtection="1">
      <alignment vertical="center"/>
    </xf>
    <xf numFmtId="0" fontId="119" fillId="52" borderId="1" xfId="82" applyFont="1" applyFill="1" applyBorder="1" applyAlignment="1" applyProtection="1">
      <alignment horizontal="left" vertical="top" wrapText="1"/>
      <protection locked="0"/>
    </xf>
    <xf numFmtId="0" fontId="103" fillId="52" borderId="1" xfId="8" applyFont="1" applyFill="1" applyBorder="1" applyAlignment="1" applyProtection="1">
      <alignment vertical="center" wrapText="1"/>
      <protection locked="0"/>
    </xf>
    <xf numFmtId="0" fontId="134" fillId="0" borderId="1" xfId="0" applyNumberFormat="1" applyFont="1" applyBorder="1" applyAlignment="1" applyProtection="1">
      <alignment horizontal="right" vertical="top" wrapText="1"/>
      <protection locked="0"/>
    </xf>
    <xf numFmtId="0" fontId="134" fillId="0" borderId="1" xfId="0" applyNumberFormat="1" applyFont="1" applyBorder="1" applyAlignment="1" applyProtection="1">
      <alignment horizontal="right" vertical="top"/>
      <protection locked="0"/>
    </xf>
    <xf numFmtId="0" fontId="43" fillId="0" borderId="1" xfId="1" applyNumberFormat="1" applyFont="1" applyBorder="1" applyAlignment="1" applyProtection="1">
      <alignment horizontal="right" vertical="center" wrapText="1"/>
    </xf>
    <xf numFmtId="1" fontId="103" fillId="0" borderId="1" xfId="9" applyNumberFormat="1" applyFont="1" applyBorder="1" applyAlignment="1" applyProtection="1">
      <alignment vertical="top" wrapText="1"/>
      <protection locked="0"/>
    </xf>
    <xf numFmtId="0" fontId="103" fillId="13" borderId="1" xfId="109" applyFont="1" applyFill="1" applyBorder="1" applyAlignment="1" applyProtection="1">
      <alignment vertical="center" wrapText="1"/>
      <protection locked="0"/>
    </xf>
    <xf numFmtId="0" fontId="103" fillId="52" borderId="1" xfId="109" applyFont="1" applyFill="1" applyBorder="1" applyAlignment="1" applyProtection="1">
      <alignment vertical="top" wrapText="1"/>
      <protection locked="0"/>
    </xf>
    <xf numFmtId="0" fontId="150" fillId="52" borderId="1" xfId="0" applyFont="1" applyFill="1" applyBorder="1" applyAlignment="1" applyProtection="1">
      <alignment horizontal="left" vertical="center" wrapText="1"/>
      <protection locked="0"/>
    </xf>
    <xf numFmtId="0" fontId="94" fillId="54" borderId="1" xfId="0" applyFont="1" applyFill="1" applyBorder="1" applyAlignment="1" applyProtection="1">
      <alignment horizontal="left" vertical="center" wrapText="1"/>
      <protection locked="0"/>
    </xf>
    <xf numFmtId="0" fontId="75" fillId="54" borderId="1" xfId="4" applyFont="1" applyFill="1" applyBorder="1" applyAlignment="1" applyProtection="1">
      <alignment horizontal="left" vertical="center" wrapText="1"/>
      <protection locked="0"/>
    </xf>
    <xf numFmtId="43" fontId="75" fillId="54" borderId="1" xfId="1" applyFont="1" applyFill="1" applyBorder="1" applyAlignment="1" applyProtection="1">
      <alignment horizontal="right" vertical="center" wrapText="1"/>
      <protection locked="0"/>
    </xf>
    <xf numFmtId="0" fontId="94" fillId="54" borderId="1" xfId="0" applyFont="1" applyFill="1" applyBorder="1" applyAlignment="1" applyProtection="1">
      <alignment vertical="center" wrapText="1"/>
      <protection locked="0"/>
    </xf>
    <xf numFmtId="0" fontId="94" fillId="28" borderId="1" xfId="0" applyFont="1" applyFill="1" applyBorder="1" applyAlignment="1" applyProtection="1">
      <alignment horizontal="left" vertical="center" wrapText="1"/>
      <protection locked="0"/>
    </xf>
    <xf numFmtId="0" fontId="75" fillId="0" borderId="1" xfId="38" applyFont="1" applyFill="1" applyBorder="1" applyAlignment="1" applyProtection="1">
      <alignment horizontal="left" vertical="center" wrapText="1"/>
    </xf>
    <xf numFmtId="0" fontId="75" fillId="0" borderId="1" xfId="38" applyFont="1" applyFill="1" applyBorder="1" applyAlignment="1" applyProtection="1">
      <alignment horizontal="center" vertical="center" wrapText="1"/>
      <protection locked="0"/>
    </xf>
    <xf numFmtId="0" fontId="75" fillId="0" borderId="1" xfId="38" applyFont="1" applyFill="1" applyBorder="1" applyAlignment="1" applyProtection="1">
      <alignment horizontal="left" vertical="center" wrapText="1"/>
    </xf>
    <xf numFmtId="0" fontId="0" fillId="0" borderId="1" xfId="0" applyFont="1" applyFill="1" applyBorder="1" applyAlignment="1" applyProtection="1">
      <alignment horizontal="center" vertical="center"/>
      <protection locked="0"/>
    </xf>
    <xf numFmtId="0" fontId="0" fillId="0" borderId="1" xfId="0" applyFill="1" applyBorder="1" applyAlignment="1" applyProtection="1">
      <alignment vertical="center" wrapText="1"/>
      <protection locked="0"/>
    </xf>
    <xf numFmtId="2" fontId="0" fillId="0" borderId="1" xfId="0" applyNumberFormat="1" applyFont="1" applyFill="1" applyBorder="1" applyAlignment="1" applyProtection="1">
      <alignment horizontal="center" vertical="center"/>
      <protection locked="0"/>
    </xf>
    <xf numFmtId="0" fontId="51" fillId="0" borderId="1" xfId="0" applyFont="1" applyFill="1" applyBorder="1" applyAlignment="1" applyProtection="1">
      <alignment vertical="center" wrapText="1"/>
      <protection locked="0"/>
    </xf>
    <xf numFmtId="0" fontId="75" fillId="0" borderId="1" xfId="0" applyFont="1" applyFill="1" applyBorder="1" applyAlignment="1" applyProtection="1">
      <alignment horizontal="left" vertical="top" wrapText="1"/>
      <protection locked="0"/>
    </xf>
    <xf numFmtId="43" fontId="75" fillId="0" borderId="1" xfId="116" applyFont="1" applyFill="1" applyBorder="1" applyAlignment="1" applyProtection="1">
      <alignment horizontal="center" vertical="center" wrapText="1"/>
      <protection locked="0"/>
    </xf>
    <xf numFmtId="0" fontId="77" fillId="0" borderId="1" xfId="0" applyFont="1" applyFill="1" applyBorder="1" applyAlignment="1" applyProtection="1">
      <alignment horizontal="left" vertical="top" wrapText="1"/>
      <protection locked="0"/>
    </xf>
    <xf numFmtId="0" fontId="20" fillId="0" borderId="1" xfId="0" applyFont="1" applyFill="1" applyBorder="1" applyAlignment="1" applyProtection="1">
      <alignment horizontal="left" vertical="center" wrapText="1"/>
      <protection locked="0"/>
    </xf>
    <xf numFmtId="2" fontId="75" fillId="0" borderId="1" xfId="0" applyNumberFormat="1" applyFont="1" applyFill="1" applyBorder="1" applyAlignment="1" applyProtection="1">
      <alignment horizontal="center" vertical="center" wrapText="1"/>
      <protection locked="0"/>
    </xf>
    <xf numFmtId="0" fontId="75" fillId="0" borderId="1" xfId="0" applyFont="1" applyBorder="1" applyAlignment="1" applyProtection="1">
      <alignment horizontal="left" vertical="center" wrapText="1"/>
    </xf>
    <xf numFmtId="0" fontId="19" fillId="0" borderId="1" xfId="0" applyFont="1" applyFill="1" applyBorder="1" applyAlignment="1" applyProtection="1">
      <alignment horizontal="left" vertical="center" wrapText="1"/>
      <protection locked="0"/>
    </xf>
    <xf numFmtId="2" fontId="53" fillId="0" borderId="1" xfId="0" applyNumberFormat="1" applyFont="1" applyFill="1" applyBorder="1" applyAlignment="1" applyProtection="1">
      <alignment horizontal="center" vertical="center" wrapText="1"/>
      <protection locked="0"/>
    </xf>
    <xf numFmtId="43" fontId="84" fillId="0" borderId="1" xfId="1" applyFont="1" applyFill="1" applyBorder="1" applyAlignment="1" applyProtection="1">
      <alignment horizontal="center" vertical="center" wrapText="1"/>
      <protection locked="0"/>
    </xf>
    <xf numFmtId="0" fontId="51" fillId="0" borderId="1" xfId="0" applyFont="1" applyFill="1" applyBorder="1" applyAlignment="1" applyProtection="1">
      <alignment wrapText="1"/>
      <protection locked="0"/>
    </xf>
    <xf numFmtId="0" fontId="152" fillId="0" borderId="0" xfId="0" applyFont="1" applyFill="1" applyAlignment="1">
      <alignment wrapText="1"/>
    </xf>
    <xf numFmtId="43" fontId="75" fillId="0" borderId="1" xfId="1" applyFont="1" applyFill="1" applyBorder="1" applyAlignment="1" applyProtection="1">
      <alignment vertical="center" wrapText="1"/>
      <protection locked="0"/>
    </xf>
    <xf numFmtId="1" fontId="75" fillId="0" borderId="1" xfId="0" applyNumberFormat="1" applyFont="1" applyFill="1" applyBorder="1" applyAlignment="1" applyProtection="1">
      <alignment horizontal="left" vertical="center" wrapText="1"/>
      <protection locked="0"/>
    </xf>
    <xf numFmtId="0" fontId="72" fillId="2" borderId="1" xfId="40" applyFont="1" applyFill="1" applyBorder="1" applyAlignment="1" applyProtection="1">
      <alignment horizontal="left" vertical="center" wrapText="1"/>
    </xf>
    <xf numFmtId="0" fontId="75" fillId="0" borderId="1" xfId="0" applyFont="1" applyBorder="1" applyAlignment="1" applyProtection="1">
      <alignment horizontal="left" vertical="center" wrapText="1"/>
    </xf>
    <xf numFmtId="0" fontId="75" fillId="10" borderId="1" xfId="11" applyFont="1" applyFill="1" applyBorder="1" applyAlignment="1" applyProtection="1">
      <alignment horizontal="left" wrapText="1"/>
      <protection locked="0"/>
    </xf>
    <xf numFmtId="0" fontId="84" fillId="10" borderId="1" xfId="0" applyFont="1" applyFill="1" applyBorder="1" applyAlignment="1" applyProtection="1">
      <alignment horizontal="left" vertical="center" wrapText="1"/>
      <protection locked="0"/>
    </xf>
    <xf numFmtId="0" fontId="75" fillId="0" borderId="0" xfId="8" applyNumberFormat="1" applyFont="1" applyAlignment="1" applyProtection="1">
      <alignment horizontal="left" vertical="center" wrapText="1"/>
    </xf>
    <xf numFmtId="0" fontId="18" fillId="10" borderId="1" xfId="8" applyFont="1" applyFill="1" applyBorder="1" applyAlignment="1" applyProtection="1">
      <alignment horizontal="left" vertical="center" wrapText="1"/>
      <protection locked="0"/>
    </xf>
    <xf numFmtId="0" fontId="75" fillId="58" borderId="1" xfId="0" applyFont="1" applyFill="1" applyBorder="1" applyAlignment="1" applyProtection="1">
      <alignment horizontal="left" vertical="center" wrapText="1"/>
      <protection locked="0"/>
    </xf>
    <xf numFmtId="43" fontId="75" fillId="0" borderId="0" xfId="0" applyNumberFormat="1" applyFont="1" applyAlignment="1" applyProtection="1">
      <alignment vertical="center" wrapText="1"/>
    </xf>
    <xf numFmtId="43" fontId="75" fillId="0" borderId="0" xfId="0" applyNumberFormat="1" applyFont="1" applyFill="1" applyAlignment="1" applyProtection="1">
      <alignment vertical="center" wrapText="1"/>
    </xf>
    <xf numFmtId="2" fontId="75" fillId="0" borderId="0" xfId="0" applyNumberFormat="1" applyFont="1" applyFill="1" applyAlignment="1" applyProtection="1">
      <alignment vertical="center" wrapText="1"/>
    </xf>
    <xf numFmtId="43" fontId="77" fillId="0" borderId="0" xfId="0" applyNumberFormat="1" applyFont="1" applyFill="1" applyAlignment="1" applyProtection="1">
      <alignment vertical="center" wrapText="1"/>
    </xf>
    <xf numFmtId="171" fontId="75" fillId="0" borderId="0" xfId="0" applyNumberFormat="1" applyFont="1" applyFill="1" applyAlignment="1" applyProtection="1">
      <alignment vertical="center" wrapText="1"/>
    </xf>
    <xf numFmtId="172" fontId="75" fillId="0" borderId="0" xfId="0" applyNumberFormat="1" applyFont="1" applyFill="1" applyAlignment="1" applyProtection="1">
      <alignment vertical="center" wrapText="1"/>
    </xf>
    <xf numFmtId="0" fontId="43" fillId="0" borderId="0" xfId="87" applyFont="1" applyAlignment="1" applyProtection="1">
      <alignment horizontal="left" vertical="center" wrapText="1"/>
    </xf>
    <xf numFmtId="0" fontId="75" fillId="0" borderId="1" xfId="38" applyFont="1" applyFill="1" applyBorder="1" applyAlignment="1" applyProtection="1">
      <alignment horizontal="left" vertical="center" wrapText="1"/>
    </xf>
    <xf numFmtId="0" fontId="75" fillId="0" borderId="1" xfId="38" applyFont="1" applyBorder="1" applyAlignment="1" applyProtection="1">
      <alignment horizontal="left" vertical="center" wrapText="1"/>
    </xf>
    <xf numFmtId="2" fontId="0" fillId="0" borderId="1" xfId="0" applyNumberFormat="1" applyFill="1" applyBorder="1" applyAlignment="1" applyProtection="1">
      <alignment horizontal="center" vertical="center"/>
      <protection locked="0"/>
    </xf>
    <xf numFmtId="0" fontId="17" fillId="0" borderId="1" xfId="0" applyFont="1" applyFill="1" applyBorder="1" applyAlignment="1" applyProtection="1">
      <alignment horizontal="left" vertical="center" wrapText="1"/>
      <protection locked="0"/>
    </xf>
    <xf numFmtId="171" fontId="75" fillId="0" borderId="1" xfId="1" applyNumberFormat="1" applyFont="1" applyFill="1" applyBorder="1" applyAlignment="1" applyProtection="1">
      <alignment horizontal="center" vertical="center" wrapText="1"/>
      <protection locked="0"/>
    </xf>
    <xf numFmtId="0" fontId="51" fillId="11" borderId="1" xfId="0" applyFont="1" applyFill="1" applyBorder="1" applyAlignment="1" applyProtection="1">
      <alignment horizontal="left" vertical="center" wrapText="1"/>
      <protection locked="0"/>
    </xf>
    <xf numFmtId="43" fontId="75" fillId="11" borderId="1" xfId="1" applyFont="1" applyFill="1" applyBorder="1" applyAlignment="1" applyProtection="1">
      <alignment horizontal="center" vertical="center" wrapText="1"/>
      <protection locked="0"/>
    </xf>
    <xf numFmtId="43" fontId="75" fillId="58" borderId="1" xfId="1" applyFont="1" applyFill="1" applyBorder="1" applyAlignment="1" applyProtection="1">
      <alignment horizontal="center" vertical="center" wrapText="1"/>
      <protection locked="0"/>
    </xf>
    <xf numFmtId="0" fontId="75" fillId="11" borderId="1" xfId="0" applyFont="1" applyFill="1" applyBorder="1" applyAlignment="1" applyProtection="1">
      <alignment horizontal="left" vertical="top" wrapText="1"/>
      <protection locked="0"/>
    </xf>
    <xf numFmtId="43" fontId="75" fillId="11" borderId="1" xfId="1" applyNumberFormat="1" applyFont="1" applyFill="1" applyBorder="1" applyAlignment="1" applyProtection="1">
      <alignment horizontal="center" vertical="center" wrapText="1"/>
      <protection locked="0"/>
    </xf>
    <xf numFmtId="0" fontId="75" fillId="11" borderId="1" xfId="38" applyFont="1" applyFill="1" applyBorder="1" applyAlignment="1" applyProtection="1">
      <alignment horizontal="left" vertical="top" wrapText="1"/>
      <protection locked="0"/>
    </xf>
    <xf numFmtId="0" fontId="75" fillId="11" borderId="0" xfId="0" applyFont="1" applyFill="1" applyAlignment="1" applyProtection="1">
      <alignment vertical="center" wrapText="1"/>
    </xf>
    <xf numFmtId="0" fontId="75" fillId="11" borderId="1" xfId="38" applyFont="1" applyFill="1" applyBorder="1" applyAlignment="1" applyProtection="1">
      <alignment horizontal="left" vertical="center" wrapText="1"/>
      <protection locked="0"/>
    </xf>
    <xf numFmtId="0" fontId="84" fillId="11" borderId="1" xfId="0" applyFont="1" applyFill="1" applyBorder="1" applyAlignment="1" applyProtection="1">
      <alignment horizontal="left" vertical="center" wrapText="1"/>
      <protection locked="0"/>
    </xf>
    <xf numFmtId="43" fontId="84" fillId="11" borderId="1" xfId="1" applyFont="1" applyFill="1" applyBorder="1" applyAlignment="1" applyProtection="1">
      <alignment horizontal="center" vertical="center" wrapText="1"/>
      <protection locked="0"/>
    </xf>
    <xf numFmtId="0" fontId="77" fillId="58" borderId="1" xfId="0" applyFont="1" applyFill="1" applyBorder="1" applyAlignment="1" applyProtection="1">
      <alignment horizontal="left" vertical="center" wrapText="1"/>
      <protection locked="0"/>
    </xf>
    <xf numFmtId="0" fontId="77" fillId="58" borderId="1" xfId="0" applyFont="1" applyFill="1" applyBorder="1" applyAlignment="1" applyProtection="1">
      <alignment horizontal="left" vertical="top" wrapText="1"/>
      <protection locked="0"/>
    </xf>
    <xf numFmtId="2" fontId="75" fillId="11" borderId="1" xfId="0" applyNumberFormat="1" applyFont="1" applyFill="1" applyBorder="1" applyAlignment="1" applyProtection="1">
      <alignment horizontal="center" vertical="center" wrapText="1"/>
      <protection locked="0"/>
    </xf>
    <xf numFmtId="0" fontId="75" fillId="11" borderId="1" xfId="38" applyFont="1" applyFill="1" applyBorder="1" applyAlignment="1" applyProtection="1">
      <alignment horizontal="center" vertical="center" wrapText="1"/>
    </xf>
    <xf numFmtId="0" fontId="77" fillId="38" borderId="1" xfId="0" applyFont="1" applyFill="1" applyBorder="1" applyAlignment="1" applyProtection="1">
      <alignment horizontal="left" vertical="center" wrapText="1"/>
      <protection locked="0"/>
    </xf>
    <xf numFmtId="0" fontId="75" fillId="2" borderId="1" xfId="0" applyFont="1" applyFill="1" applyBorder="1" applyAlignment="1" applyProtection="1">
      <alignment vertical="center" wrapText="1"/>
    </xf>
    <xf numFmtId="0" fontId="75" fillId="2" borderId="1" xfId="0" applyFont="1" applyFill="1" applyBorder="1" applyAlignment="1" applyProtection="1">
      <alignment vertical="center" wrapText="1"/>
      <protection locked="0"/>
    </xf>
    <xf numFmtId="0" fontId="75" fillId="0" borderId="1" xfId="0" applyFont="1" applyBorder="1" applyAlignment="1" applyProtection="1">
      <alignment horizontal="left" vertical="center" wrapText="1"/>
      <protection locked="0"/>
    </xf>
    <xf numFmtId="0" fontId="75" fillId="0" borderId="1" xfId="0" applyFont="1" applyBorder="1" applyAlignment="1" applyProtection="1">
      <alignment vertical="center" wrapText="1"/>
      <protection locked="0"/>
    </xf>
    <xf numFmtId="0" fontId="75" fillId="0" borderId="1" xfId="0" applyFont="1" applyBorder="1" applyAlignment="1" applyProtection="1">
      <alignment horizontal="left" vertical="center" wrapText="1"/>
    </xf>
    <xf numFmtId="0" fontId="75" fillId="0" borderId="1" xfId="4" applyFont="1" applyFill="1" applyBorder="1" applyAlignment="1" applyProtection="1">
      <alignment horizontal="left" vertical="center" wrapText="1"/>
      <protection locked="0"/>
    </xf>
    <xf numFmtId="0" fontId="75" fillId="0" borderId="1" xfId="0" applyFont="1" applyFill="1" applyBorder="1" applyAlignment="1" applyProtection="1">
      <alignment vertical="center" wrapText="1"/>
      <protection locked="0"/>
    </xf>
    <xf numFmtId="0" fontId="75" fillId="0" borderId="1" xfId="4" applyFont="1" applyBorder="1" applyAlignment="1" applyProtection="1">
      <alignment horizontal="left" vertical="center" wrapText="1"/>
    </xf>
    <xf numFmtId="0" fontId="75" fillId="0" borderId="0" xfId="0" applyFont="1" applyAlignment="1" applyProtection="1">
      <alignment vertical="center" wrapText="1"/>
    </xf>
    <xf numFmtId="0" fontId="75" fillId="0" borderId="0" xfId="0" applyFont="1" applyAlignment="1" applyProtection="1">
      <alignment horizontal="center" vertical="center" wrapText="1"/>
    </xf>
    <xf numFmtId="0" fontId="75" fillId="0" borderId="0" xfId="0" applyFont="1" applyFill="1" applyAlignment="1" applyProtection="1">
      <alignment horizontal="center" vertical="center" wrapText="1"/>
    </xf>
    <xf numFmtId="0" fontId="75" fillId="0" borderId="0" xfId="0" applyFont="1" applyAlignment="1" applyProtection="1">
      <alignment horizontal="left" vertical="center" wrapText="1"/>
    </xf>
    <xf numFmtId="0" fontId="17" fillId="51" borderId="1" xfId="4" applyFont="1" applyFill="1" applyBorder="1" applyAlignment="1" applyProtection="1">
      <alignment horizontal="left" vertical="center" wrapText="1"/>
      <protection locked="0"/>
    </xf>
    <xf numFmtId="0" fontId="75" fillId="2" borderId="1" xfId="0" applyFont="1" applyFill="1" applyBorder="1" applyAlignment="1" applyProtection="1">
      <alignment horizontal="left" vertical="center" wrapText="1"/>
    </xf>
    <xf numFmtId="0" fontId="75" fillId="2" borderId="1" xfId="0" applyFont="1" applyFill="1" applyBorder="1" applyAlignment="1" applyProtection="1">
      <alignment horizontal="left" vertical="center" wrapText="1"/>
      <protection locked="0"/>
    </xf>
    <xf numFmtId="1" fontId="75" fillId="0" borderId="1" xfId="0" applyNumberFormat="1" applyFont="1" applyBorder="1" applyAlignment="1" applyProtection="1">
      <alignment horizontal="left" vertical="center" wrapText="1"/>
    </xf>
    <xf numFmtId="0" fontId="75" fillId="0" borderId="0" xfId="0" applyFont="1" applyFill="1" applyAlignment="1" applyProtection="1">
      <alignment horizontal="left" vertical="center" wrapText="1"/>
    </xf>
    <xf numFmtId="0" fontId="75" fillId="11" borderId="1" xfId="0" applyFont="1" applyFill="1" applyBorder="1" applyAlignment="1" applyProtection="1">
      <alignment horizontal="left" vertical="center" wrapText="1"/>
      <protection locked="0"/>
    </xf>
    <xf numFmtId="0" fontId="75" fillId="0" borderId="0" xfId="0" applyFont="1" applyFill="1" applyBorder="1" applyAlignment="1" applyProtection="1">
      <alignment horizontal="left" vertical="center" wrapText="1"/>
    </xf>
    <xf numFmtId="0" fontId="75" fillId="0" borderId="0" xfId="0" applyFont="1" applyBorder="1" applyAlignment="1" applyProtection="1">
      <alignment vertical="center" wrapText="1"/>
      <protection locked="0"/>
    </xf>
    <xf numFmtId="0" fontId="41" fillId="2" borderId="1" xfId="0" applyFont="1" applyFill="1" applyBorder="1" applyAlignment="1" applyProtection="1">
      <alignment vertical="center" wrapText="1"/>
      <protection locked="0"/>
    </xf>
    <xf numFmtId="0" fontId="72" fillId="2" borderId="1" xfId="0" applyFont="1" applyFill="1" applyBorder="1" applyAlignment="1" applyProtection="1">
      <alignment horizontal="left" wrapText="1"/>
    </xf>
    <xf numFmtId="0" fontId="72" fillId="2" borderId="1" xfId="0" applyFont="1" applyFill="1" applyBorder="1" applyAlignment="1" applyProtection="1">
      <alignment horizontal="left" wrapText="1"/>
      <protection locked="0"/>
    </xf>
    <xf numFmtId="0" fontId="75" fillId="0" borderId="1" xfId="38" applyFont="1" applyBorder="1" applyAlignment="1" applyProtection="1">
      <alignment horizontal="left" vertical="center" wrapText="1"/>
      <protection locked="0"/>
    </xf>
    <xf numFmtId="2" fontId="75" fillId="0" borderId="1" xfId="0" applyNumberFormat="1" applyFont="1" applyBorder="1" applyAlignment="1" applyProtection="1">
      <alignment horizontal="right" vertical="center"/>
      <protection locked="0"/>
    </xf>
    <xf numFmtId="0" fontId="75" fillId="0" borderId="1" xfId="0" applyFont="1" applyBorder="1" applyAlignment="1" applyProtection="1">
      <alignment horizontal="left" vertical="top" wrapText="1"/>
      <protection locked="0"/>
    </xf>
    <xf numFmtId="2" fontId="94" fillId="47" borderId="1" xfId="0" applyNumberFormat="1" applyFont="1" applyFill="1" applyBorder="1" applyAlignment="1" applyProtection="1">
      <alignment horizontal="right" vertical="center"/>
      <protection locked="0"/>
    </xf>
    <xf numFmtId="0" fontId="43" fillId="2" borderId="1" xfId="8" applyFont="1" applyFill="1" applyBorder="1" applyAlignment="1" applyProtection="1">
      <alignment horizontal="left" vertical="center"/>
    </xf>
    <xf numFmtId="2" fontId="16" fillId="11" borderId="1" xfId="329" applyNumberFormat="1" applyFill="1" applyBorder="1" applyAlignment="1">
      <alignment horizontal="center" vertical="top" wrapText="1"/>
    </xf>
    <xf numFmtId="1" fontId="72" fillId="6" borderId="1" xfId="8" applyNumberFormat="1" applyFont="1" applyFill="1" applyBorder="1" applyAlignment="1" applyProtection="1">
      <alignment horizontal="left" vertical="center" wrapText="1"/>
    </xf>
    <xf numFmtId="1" fontId="43" fillId="0" borderId="1" xfId="8" applyNumberFormat="1" applyFont="1" applyFill="1" applyBorder="1" applyAlignment="1" applyProtection="1">
      <alignment horizontal="left" vertical="center" wrapText="1"/>
    </xf>
    <xf numFmtId="1" fontId="43" fillId="10" borderId="1" xfId="8" applyNumberFormat="1" applyFont="1" applyFill="1" applyBorder="1" applyAlignment="1" applyProtection="1">
      <alignment horizontal="left" vertical="center" wrapText="1"/>
      <protection locked="0"/>
    </xf>
    <xf numFmtId="1" fontId="43" fillId="0" borderId="1" xfId="8" applyNumberFormat="1" applyFont="1" applyBorder="1" applyAlignment="1" applyProtection="1">
      <alignment horizontal="left" vertical="center" wrapText="1"/>
    </xf>
    <xf numFmtId="2" fontId="43" fillId="10" borderId="1" xfId="8" applyNumberFormat="1" applyFont="1" applyFill="1" applyBorder="1" applyAlignment="1" applyProtection="1">
      <alignment horizontal="left" vertical="center" wrapText="1"/>
      <protection locked="0"/>
    </xf>
    <xf numFmtId="43" fontId="75" fillId="11" borderId="1" xfId="1" applyFont="1" applyFill="1" applyBorder="1" applyAlignment="1" applyProtection="1">
      <alignment horizontal="center" vertical="center"/>
      <protection locked="0"/>
    </xf>
    <xf numFmtId="0" fontId="77" fillId="38" borderId="1" xfId="4" applyFont="1" applyFill="1" applyBorder="1" applyAlignment="1" applyProtection="1">
      <alignment horizontal="left" vertical="top" wrapText="1"/>
      <protection locked="0"/>
    </xf>
    <xf numFmtId="0" fontId="16" fillId="0" borderId="1" xfId="329" applyBorder="1" applyAlignment="1">
      <alignment vertical="top" wrapText="1"/>
    </xf>
    <xf numFmtId="0" fontId="75" fillId="0" borderId="1" xfId="0" applyFont="1" applyBorder="1" applyAlignment="1" applyProtection="1">
      <alignment horizontal="left" vertical="center" wrapText="1"/>
      <protection locked="0"/>
    </xf>
    <xf numFmtId="0" fontId="75" fillId="0" borderId="1" xfId="0" applyFont="1" applyBorder="1" applyAlignment="1" applyProtection="1">
      <alignment horizontal="left" vertical="center" wrapText="1"/>
      <protection locked="0"/>
    </xf>
    <xf numFmtId="0" fontId="75" fillId="11" borderId="1" xfId="0" applyFont="1" applyFill="1" applyBorder="1" applyAlignment="1" applyProtection="1">
      <alignment horizontal="left" vertical="center" wrapText="1"/>
      <protection locked="0"/>
    </xf>
    <xf numFmtId="0" fontId="75" fillId="11" borderId="1" xfId="0" applyFont="1" applyFill="1" applyBorder="1" applyAlignment="1" applyProtection="1">
      <alignment horizontal="left" vertical="center" wrapText="1"/>
      <protection locked="0"/>
    </xf>
    <xf numFmtId="0" fontId="75" fillId="0" borderId="1" xfId="0" applyFont="1" applyBorder="1" applyAlignment="1" applyProtection="1">
      <alignment horizontal="left" vertical="center" wrapText="1"/>
      <protection locked="0"/>
    </xf>
    <xf numFmtId="0" fontId="75" fillId="0" borderId="1" xfId="0" applyFont="1" applyBorder="1" applyAlignment="1" applyProtection="1">
      <alignment horizontal="left" vertical="center" wrapText="1"/>
      <protection locked="0"/>
    </xf>
    <xf numFmtId="0" fontId="75" fillId="0" borderId="1" xfId="0" applyFont="1" applyBorder="1" applyAlignment="1" applyProtection="1">
      <alignment horizontal="left" vertical="center" wrapText="1"/>
      <protection locked="0"/>
    </xf>
    <xf numFmtId="0" fontId="75" fillId="0" borderId="1" xfId="0" applyFont="1" applyBorder="1" applyAlignment="1" applyProtection="1">
      <alignment vertical="center" wrapText="1"/>
      <protection locked="0"/>
    </xf>
    <xf numFmtId="0" fontId="75" fillId="0" borderId="1" xfId="0" applyFont="1" applyBorder="1" applyAlignment="1" applyProtection="1">
      <alignment horizontal="left" vertical="center" wrapText="1"/>
    </xf>
    <xf numFmtId="1" fontId="73" fillId="20" borderId="1" xfId="4" applyNumberFormat="1" applyFont="1" applyFill="1" applyBorder="1" applyAlignment="1" applyProtection="1">
      <alignment horizontal="left" vertical="center" wrapText="1"/>
    </xf>
    <xf numFmtId="0" fontId="75" fillId="0" borderId="0" xfId="0" applyFont="1" applyAlignment="1" applyProtection="1">
      <alignment vertical="center" wrapText="1"/>
    </xf>
    <xf numFmtId="0" fontId="75" fillId="11" borderId="1" xfId="0" applyFont="1" applyFill="1" applyBorder="1" applyAlignment="1" applyProtection="1">
      <alignment horizontal="left" vertical="center" wrapText="1"/>
      <protection locked="0"/>
    </xf>
    <xf numFmtId="0" fontId="16" fillId="0" borderId="1" xfId="329" applyBorder="1" applyAlignment="1">
      <alignment vertical="top" wrapText="1"/>
    </xf>
    <xf numFmtId="1" fontId="16" fillId="0" borderId="1" xfId="329" applyNumberFormat="1" applyBorder="1" applyAlignment="1">
      <alignment horizontal="center" vertical="top" wrapText="1"/>
    </xf>
    <xf numFmtId="165" fontId="16" fillId="0" borderId="1" xfId="329" applyNumberFormat="1" applyBorder="1" applyAlignment="1">
      <alignment horizontal="center" vertical="top" wrapText="1"/>
    </xf>
    <xf numFmtId="0" fontId="16" fillId="0" borderId="1" xfId="329" applyBorder="1" applyAlignment="1">
      <alignment horizontal="left" vertical="top" wrapText="1"/>
    </xf>
    <xf numFmtId="0" fontId="16" fillId="0" borderId="1" xfId="329" applyBorder="1" applyAlignment="1">
      <alignment vertical="top" wrapText="1"/>
    </xf>
    <xf numFmtId="43" fontId="75" fillId="11" borderId="1" xfId="1" applyFont="1" applyFill="1" applyBorder="1" applyAlignment="1" applyProtection="1">
      <alignment vertical="center"/>
      <protection locked="0"/>
    </xf>
    <xf numFmtId="43" fontId="75" fillId="0" borderId="1" xfId="1" applyFont="1" applyFill="1" applyBorder="1" applyAlignment="1" applyProtection="1">
      <alignment horizontal="left" vertical="center"/>
      <protection locked="0"/>
    </xf>
    <xf numFmtId="0" fontId="134" fillId="59" borderId="1" xfId="0" applyFont="1" applyFill="1" applyBorder="1" applyAlignment="1" applyProtection="1">
      <alignment horizontal="left" vertical="top" wrapText="1"/>
      <protection locked="0"/>
    </xf>
    <xf numFmtId="0" fontId="94" fillId="10" borderId="1" xfId="0" applyFont="1" applyFill="1" applyBorder="1" applyAlignment="1" applyProtection="1">
      <alignment vertical="center" wrapText="1"/>
      <protection locked="0"/>
    </xf>
    <xf numFmtId="0" fontId="94" fillId="0" borderId="1" xfId="0" applyFont="1" applyFill="1" applyBorder="1" applyAlignment="1" applyProtection="1">
      <alignment vertical="center" wrapText="1"/>
      <protection locked="0"/>
    </xf>
    <xf numFmtId="0" fontId="15" fillId="10" borderId="1" xfId="8" applyFont="1" applyFill="1" applyBorder="1" applyAlignment="1" applyProtection="1">
      <alignment horizontal="left" vertical="center" wrapText="1"/>
      <protection locked="0"/>
    </xf>
    <xf numFmtId="43" fontId="94" fillId="0" borderId="1" xfId="1" applyFont="1" applyFill="1" applyBorder="1" applyAlignment="1" applyProtection="1">
      <alignment horizontal="right" vertical="center" wrapText="1"/>
      <protection locked="0"/>
    </xf>
    <xf numFmtId="0" fontId="94" fillId="0" borderId="1" xfId="0" applyFont="1" applyFill="1" applyBorder="1" applyAlignment="1" applyProtection="1">
      <alignment vertical="top" wrapText="1"/>
      <protection locked="0"/>
    </xf>
    <xf numFmtId="0" fontId="94" fillId="0" borderId="1" xfId="0" applyFont="1" applyFill="1" applyBorder="1" applyAlignment="1" applyProtection="1">
      <alignment vertical="center" wrapText="1"/>
    </xf>
    <xf numFmtId="171" fontId="75" fillId="0" borderId="1" xfId="1" applyNumberFormat="1" applyFont="1" applyFill="1" applyBorder="1" applyAlignment="1" applyProtection="1">
      <alignment horizontal="center" vertical="center" wrapText="1"/>
    </xf>
    <xf numFmtId="43" fontId="134" fillId="59" borderId="1" xfId="1" applyFont="1" applyFill="1" applyBorder="1" applyAlignment="1" applyProtection="1">
      <alignment horizontal="right" vertical="top" wrapText="1"/>
      <protection locked="0"/>
    </xf>
    <xf numFmtId="171" fontId="136" fillId="0" borderId="1" xfId="1" applyNumberFormat="1" applyFont="1" applyBorder="1" applyAlignment="1" applyProtection="1">
      <alignment horizontal="right" vertical="top" wrapText="1"/>
      <protection locked="0"/>
    </xf>
    <xf numFmtId="0" fontId="15" fillId="2" borderId="1" xfId="38" applyFont="1" applyFill="1" applyBorder="1" applyAlignment="1" applyProtection="1">
      <alignment horizontal="left" vertical="center" wrapText="1"/>
      <protection locked="0"/>
    </xf>
    <xf numFmtId="0" fontId="137" fillId="0" borderId="1" xfId="0" applyFont="1" applyFill="1" applyBorder="1" applyAlignment="1" applyProtection="1">
      <alignment horizontal="left" vertical="top" wrapText="1"/>
      <protection locked="0"/>
    </xf>
    <xf numFmtId="0" fontId="94" fillId="47" borderId="1" xfId="0" applyFont="1" applyFill="1" applyBorder="1" applyAlignment="1" applyProtection="1">
      <alignment horizontal="left" vertical="center" wrapText="1"/>
      <protection locked="0"/>
    </xf>
    <xf numFmtId="0" fontId="75" fillId="0" borderId="1" xfId="0" applyFont="1" applyBorder="1" applyAlignment="1" applyProtection="1">
      <alignment horizontal="left" vertical="center" wrapText="1"/>
      <protection locked="0"/>
    </xf>
    <xf numFmtId="0" fontId="77" fillId="0" borderId="1" xfId="0" applyFont="1" applyFill="1" applyBorder="1" applyAlignment="1" applyProtection="1">
      <alignment horizontal="left" vertical="center" wrapText="1"/>
      <protection locked="0"/>
    </xf>
    <xf numFmtId="0" fontId="77" fillId="2" borderId="1" xfId="0" applyFont="1" applyFill="1" applyBorder="1" applyAlignment="1" applyProtection="1">
      <alignment horizontal="left" vertical="center" wrapText="1"/>
      <protection locked="0"/>
    </xf>
    <xf numFmtId="0" fontId="77" fillId="0" borderId="0" xfId="0" applyFont="1" applyFill="1" applyBorder="1" applyAlignment="1" applyProtection="1">
      <alignment vertical="center" wrapText="1"/>
    </xf>
    <xf numFmtId="0" fontId="94" fillId="47" borderId="1" xfId="0" applyFont="1" applyFill="1" applyBorder="1" applyAlignment="1" applyProtection="1">
      <alignment horizontal="left" vertical="center" wrapText="1"/>
      <protection locked="0"/>
    </xf>
    <xf numFmtId="0" fontId="100" fillId="33" borderId="1" xfId="0" applyFont="1" applyFill="1" applyBorder="1" applyAlignment="1" applyProtection="1">
      <alignment horizontal="left" vertical="center" wrapText="1"/>
    </xf>
    <xf numFmtId="0" fontId="100" fillId="49" borderId="1" xfId="0" applyFont="1" applyFill="1" applyBorder="1" applyAlignment="1" applyProtection="1">
      <alignment horizontal="left" vertical="center" wrapText="1"/>
    </xf>
    <xf numFmtId="0" fontId="94" fillId="0" borderId="1" xfId="0" applyFont="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134" fillId="0" borderId="1" xfId="0" applyFont="1" applyFill="1" applyBorder="1" applyAlignment="1" applyProtection="1">
      <alignment horizontal="left" vertical="top" wrapText="1"/>
      <protection locked="0"/>
    </xf>
    <xf numFmtId="0" fontId="134" fillId="0" borderId="1" xfId="0" applyFont="1" applyBorder="1" applyAlignment="1" applyProtection="1">
      <alignment horizontal="left" vertical="top" wrapText="1"/>
      <protection locked="0"/>
    </xf>
    <xf numFmtId="0" fontId="14" fillId="0" borderId="1" xfId="8" applyFont="1" applyBorder="1" applyAlignment="1" applyProtection="1">
      <alignment horizontal="left" vertical="center" wrapText="1"/>
      <protection locked="0"/>
    </xf>
    <xf numFmtId="0" fontId="155" fillId="0" borderId="1" xfId="0" applyFont="1" applyBorder="1" applyAlignment="1">
      <alignment horizontal="left" vertical="top" wrapText="1"/>
    </xf>
    <xf numFmtId="0" fontId="14" fillId="0" borderId="1" xfId="8" applyFont="1" applyBorder="1" applyAlignment="1" applyProtection="1">
      <alignment horizontal="left" vertical="top" wrapText="1"/>
      <protection locked="0"/>
    </xf>
    <xf numFmtId="0" fontId="14" fillId="0" borderId="0" xfId="8" applyFont="1" applyAlignment="1" applyProtection="1">
      <alignment vertical="center" wrapText="1"/>
    </xf>
    <xf numFmtId="43" fontId="75" fillId="0" borderId="1" xfId="1" applyNumberFormat="1" applyFont="1" applyFill="1" applyBorder="1" applyAlignment="1" applyProtection="1">
      <alignment horizontal="center" vertical="center" wrapText="1"/>
    </xf>
    <xf numFmtId="43" fontId="75" fillId="0" borderId="1" xfId="1" applyFont="1" applyFill="1" applyBorder="1" applyAlignment="1" applyProtection="1">
      <alignment vertical="center"/>
      <protection locked="0"/>
    </xf>
    <xf numFmtId="0" fontId="84" fillId="0" borderId="1" xfId="0" applyFont="1" applyFill="1" applyBorder="1" applyAlignment="1" applyProtection="1">
      <alignment vertical="center" wrapText="1"/>
    </xf>
    <xf numFmtId="43" fontId="84" fillId="0" borderId="1" xfId="1" applyFont="1" applyFill="1" applyBorder="1" applyAlignment="1" applyProtection="1">
      <alignment horizontal="right" vertical="center"/>
    </xf>
    <xf numFmtId="43" fontId="84" fillId="0" borderId="1" xfId="1" applyFont="1" applyFill="1" applyBorder="1" applyAlignment="1" applyProtection="1">
      <alignment vertical="center"/>
    </xf>
    <xf numFmtId="0" fontId="94" fillId="0" borderId="1" xfId="0" applyFont="1" applyFill="1" applyBorder="1" applyAlignment="1" applyProtection="1">
      <alignment horizontal="right" vertical="center"/>
      <protection locked="0"/>
    </xf>
    <xf numFmtId="0" fontId="94" fillId="0" borderId="1" xfId="0" applyFont="1" applyFill="1" applyBorder="1" applyAlignment="1" applyProtection="1">
      <alignment horizontal="left" vertical="center" wrapText="1"/>
      <protection locked="0"/>
    </xf>
    <xf numFmtId="171" fontId="75" fillId="0" borderId="1" xfId="1" applyNumberFormat="1" applyFont="1" applyFill="1" applyBorder="1" applyAlignment="1" applyProtection="1">
      <alignment horizontal="right" vertical="center" wrapText="1"/>
    </xf>
    <xf numFmtId="171" fontId="84" fillId="0" borderId="1" xfId="0" applyNumberFormat="1" applyFont="1" applyBorder="1" applyAlignment="1" applyProtection="1">
      <alignment vertical="center" wrapText="1"/>
    </xf>
    <xf numFmtId="43" fontId="75" fillId="0" borderId="1" xfId="1" applyNumberFormat="1" applyFont="1" applyBorder="1" applyAlignment="1" applyProtection="1">
      <alignment horizontal="center" vertical="center"/>
      <protection locked="0"/>
    </xf>
    <xf numFmtId="0" fontId="153" fillId="10" borderId="1" xfId="0" applyFont="1" applyFill="1" applyBorder="1" applyAlignment="1" applyProtection="1">
      <alignment horizontal="left" vertical="top" wrapText="1"/>
      <protection locked="0"/>
    </xf>
    <xf numFmtId="0" fontId="94" fillId="10" borderId="1" xfId="0" applyFont="1" applyFill="1" applyBorder="1" applyAlignment="1" applyProtection="1">
      <alignment horizontal="left" vertical="center" wrapText="1"/>
      <protection locked="0"/>
    </xf>
    <xf numFmtId="0" fontId="13" fillId="0" borderId="1" xfId="8" applyFont="1" applyBorder="1" applyAlignment="1" applyProtection="1">
      <alignment horizontal="left" vertical="center" wrapText="1"/>
      <protection locked="0"/>
    </xf>
    <xf numFmtId="0" fontId="13" fillId="0" borderId="1" xfId="0" applyFont="1" applyFill="1" applyBorder="1" applyAlignment="1" applyProtection="1">
      <alignment horizontal="left" vertical="center" wrapText="1"/>
      <protection locked="0"/>
    </xf>
    <xf numFmtId="0" fontId="151" fillId="10" borderId="1" xfId="0" applyFont="1" applyFill="1" applyBorder="1" applyAlignment="1" applyProtection="1">
      <alignment horizontal="left" vertical="center" wrapText="1"/>
      <protection locked="0"/>
    </xf>
    <xf numFmtId="2" fontId="94" fillId="0" borderId="1" xfId="0" applyNumberFormat="1" applyFont="1" applyFill="1" applyBorder="1" applyAlignment="1" applyProtection="1">
      <alignment horizontal="right" vertical="center"/>
      <protection locked="0"/>
    </xf>
    <xf numFmtId="2" fontId="100" fillId="33" borderId="1" xfId="0" applyNumberFormat="1" applyFont="1" applyFill="1" applyBorder="1" applyAlignment="1" applyProtection="1">
      <alignment horizontal="right" vertical="center" wrapText="1"/>
    </xf>
    <xf numFmtId="43" fontId="94" fillId="10" borderId="1" xfId="1" applyFont="1" applyFill="1" applyBorder="1" applyAlignment="1" applyProtection="1">
      <alignment horizontal="right" vertical="center" wrapText="1"/>
      <protection locked="0"/>
    </xf>
    <xf numFmtId="171" fontId="94" fillId="10" borderId="1" xfId="1" applyNumberFormat="1" applyFont="1" applyFill="1" applyBorder="1" applyAlignment="1" applyProtection="1">
      <alignment horizontal="right" vertical="center"/>
      <protection locked="0"/>
    </xf>
    <xf numFmtId="0" fontId="94" fillId="10" borderId="1" xfId="0" applyFont="1" applyFill="1" applyBorder="1" applyAlignment="1" applyProtection="1">
      <alignment vertical="center" wrapText="1"/>
    </xf>
    <xf numFmtId="2" fontId="43" fillId="0" borderId="1" xfId="8" applyNumberFormat="1" applyFont="1" applyFill="1" applyBorder="1" applyAlignment="1" applyProtection="1">
      <alignment horizontal="right" vertical="center" wrapText="1"/>
      <protection locked="0"/>
    </xf>
    <xf numFmtId="0" fontId="12" fillId="0" borderId="1" xfId="8" applyFont="1" applyFill="1" applyBorder="1" applyAlignment="1" applyProtection="1">
      <alignment horizontal="left" vertical="center" wrapText="1"/>
      <protection locked="0"/>
    </xf>
    <xf numFmtId="0" fontId="11" fillId="0" borderId="0" xfId="38" applyFont="1" applyBorder="1" applyAlignment="1" applyProtection="1">
      <alignment horizontal="center" vertical="center" wrapText="1"/>
    </xf>
    <xf numFmtId="0" fontId="106" fillId="13" borderId="0" xfId="8" applyFont="1" applyFill="1" applyAlignment="1" applyProtection="1">
      <alignment vertical="center" wrapText="1"/>
    </xf>
    <xf numFmtId="0" fontId="11" fillId="0" borderId="0" xfId="11" applyFont="1" applyAlignment="1" applyProtection="1">
      <alignment horizontal="center" vertical="center" wrapText="1"/>
    </xf>
    <xf numFmtId="0" fontId="11" fillId="0" borderId="0" xfId="8" applyFont="1" applyAlignment="1" applyProtection="1">
      <alignment horizontal="center" vertical="center"/>
    </xf>
    <xf numFmtId="0" fontId="43" fillId="13" borderId="0" xfId="8" applyFont="1" applyFill="1" applyAlignment="1" applyProtection="1">
      <alignment vertical="center"/>
    </xf>
    <xf numFmtId="0" fontId="94" fillId="13" borderId="1" xfId="0" applyFont="1" applyFill="1" applyBorder="1" applyAlignment="1" applyProtection="1">
      <alignment vertical="center" wrapText="1"/>
      <protection locked="0"/>
    </xf>
    <xf numFmtId="0" fontId="11" fillId="0" borderId="0" xfId="11" applyFont="1" applyAlignment="1" applyProtection="1">
      <alignment horizontal="center" vertical="center"/>
    </xf>
    <xf numFmtId="0" fontId="11" fillId="0" borderId="0" xfId="97" applyFont="1" applyAlignment="1" applyProtection="1">
      <alignment horizontal="center" vertical="center"/>
    </xf>
    <xf numFmtId="0" fontId="11" fillId="0" borderId="0" xfId="38" applyFont="1" applyAlignment="1" applyProtection="1">
      <alignment horizontal="center" vertical="center" wrapText="1"/>
    </xf>
    <xf numFmtId="2" fontId="77" fillId="0" borderId="0" xfId="0" applyNumberFormat="1" applyFont="1" applyAlignment="1" applyProtection="1">
      <alignment vertical="center" wrapText="1"/>
    </xf>
    <xf numFmtId="43" fontId="77" fillId="0" borderId="0" xfId="0" applyNumberFormat="1" applyFont="1" applyAlignment="1" applyProtection="1">
      <alignment vertical="center" wrapText="1"/>
    </xf>
    <xf numFmtId="2" fontId="71" fillId="13" borderId="1" xfId="48" applyNumberFormat="1" applyFont="1" applyFill="1" applyBorder="1" applyAlignment="1" applyProtection="1">
      <alignment horizontal="left" vertical="center" wrapText="1"/>
      <protection locked="0"/>
    </xf>
    <xf numFmtId="0" fontId="75" fillId="2" borderId="1" xfId="8" applyFont="1" applyFill="1" applyBorder="1" applyAlignment="1" applyProtection="1">
      <alignment horizontal="left" vertical="top" wrapText="1"/>
      <protection locked="0"/>
    </xf>
    <xf numFmtId="0" fontId="72" fillId="28" borderId="1" xfId="8" applyFont="1" applyFill="1" applyBorder="1" applyAlignment="1" applyProtection="1">
      <alignment horizontal="center" vertical="center"/>
    </xf>
    <xf numFmtId="0" fontId="152" fillId="0" borderId="1" xfId="0" applyFont="1" applyFill="1" applyBorder="1" applyAlignment="1">
      <alignment horizontal="left" vertical="top" wrapText="1"/>
    </xf>
    <xf numFmtId="0" fontId="75" fillId="0" borderId="1" xfId="8" applyFont="1" applyFill="1" applyBorder="1" applyAlignment="1" applyProtection="1">
      <alignment horizontal="left" vertical="top" wrapText="1"/>
      <protection locked="0"/>
    </xf>
    <xf numFmtId="0" fontId="10" fillId="0" borderId="1" xfId="8" applyFont="1" applyFill="1" applyBorder="1" applyAlignment="1" applyProtection="1">
      <alignment horizontal="left" vertical="top" wrapText="1"/>
      <protection locked="0"/>
    </xf>
    <xf numFmtId="0" fontId="10" fillId="0" borderId="1" xfId="8" applyFont="1" applyFill="1" applyBorder="1" applyAlignment="1" applyProtection="1">
      <alignment horizontal="left" vertical="center" wrapText="1"/>
      <protection locked="0"/>
    </xf>
    <xf numFmtId="2" fontId="75" fillId="4" borderId="1" xfId="8" applyNumberFormat="1" applyFont="1" applyFill="1" applyBorder="1" applyAlignment="1" applyProtection="1">
      <alignment horizontal="left" vertical="center" wrapText="1"/>
    </xf>
    <xf numFmtId="2" fontId="75" fillId="0" borderId="1" xfId="8" applyNumberFormat="1" applyFont="1" applyFill="1" applyBorder="1" applyAlignment="1" applyProtection="1">
      <alignment horizontal="left" vertical="center" wrapText="1"/>
    </xf>
    <xf numFmtId="1" fontId="75" fillId="4" borderId="1" xfId="8" applyNumberFormat="1" applyFont="1" applyFill="1" applyBorder="1" applyAlignment="1" applyProtection="1">
      <alignment horizontal="left" vertical="center" wrapText="1"/>
    </xf>
    <xf numFmtId="1" fontId="77" fillId="2" borderId="1" xfId="4" applyNumberFormat="1" applyFont="1" applyFill="1" applyBorder="1" applyAlignment="1" applyProtection="1">
      <alignment horizontal="left" vertical="center" wrapText="1"/>
    </xf>
    <xf numFmtId="1" fontId="77" fillId="4" borderId="1" xfId="4" applyNumberFormat="1" applyFont="1" applyFill="1" applyBorder="1" applyAlignment="1" applyProtection="1">
      <alignment horizontal="left" vertical="center" wrapText="1"/>
    </xf>
    <xf numFmtId="1" fontId="75" fillId="10" borderId="1" xfId="8" applyNumberFormat="1" applyFont="1" applyFill="1" applyBorder="1" applyAlignment="1" applyProtection="1">
      <alignment horizontal="left" vertical="center" wrapText="1"/>
      <protection locked="0"/>
    </xf>
    <xf numFmtId="2" fontId="77" fillId="10" borderId="1" xfId="8" applyNumberFormat="1" applyFont="1" applyFill="1" applyBorder="1" applyAlignment="1" applyProtection="1">
      <alignment horizontal="left" vertical="center" wrapText="1"/>
      <protection locked="0"/>
    </xf>
    <xf numFmtId="0" fontId="9" fillId="0" borderId="0" xfId="8" applyFont="1" applyAlignment="1" applyProtection="1">
      <alignment horizontal="center" vertical="center" wrapText="1"/>
    </xf>
    <xf numFmtId="43" fontId="43" fillId="0" borderId="0" xfId="8" applyNumberFormat="1" applyFont="1" applyAlignment="1" applyProtection="1">
      <alignment vertical="center" wrapText="1"/>
    </xf>
    <xf numFmtId="0" fontId="9" fillId="0" borderId="1" xfId="8" applyFont="1" applyFill="1" applyBorder="1" applyAlignment="1" applyProtection="1">
      <alignment horizontal="left" vertical="top" wrapText="1"/>
      <protection locked="0"/>
    </xf>
    <xf numFmtId="43" fontId="72" fillId="30" borderId="1" xfId="1" applyFont="1" applyFill="1" applyBorder="1" applyAlignment="1" applyProtection="1">
      <alignment horizontal="center" vertical="top" wrapText="1"/>
    </xf>
    <xf numFmtId="43" fontId="72" fillId="0" borderId="1" xfId="1" applyFont="1" applyFill="1" applyBorder="1" applyAlignment="1" applyProtection="1">
      <alignment horizontal="center" vertical="top" wrapText="1"/>
    </xf>
    <xf numFmtId="43" fontId="77" fillId="5" borderId="1" xfId="1" applyFont="1" applyFill="1" applyBorder="1" applyAlignment="1" applyProtection="1">
      <alignment horizontal="center" vertical="top" wrapText="1"/>
    </xf>
    <xf numFmtId="43" fontId="70" fillId="7" borderId="1" xfId="1" applyFont="1" applyFill="1" applyBorder="1" applyAlignment="1" applyProtection="1">
      <alignment horizontal="center" vertical="top" wrapText="1"/>
    </xf>
    <xf numFmtId="43" fontId="77" fillId="2" borderId="1" xfId="1" applyFont="1" applyFill="1" applyBorder="1" applyAlignment="1" applyProtection="1">
      <alignment horizontal="center" vertical="top" wrapText="1"/>
    </xf>
    <xf numFmtId="43" fontId="77" fillId="4" borderId="1" xfId="1" applyFont="1" applyFill="1" applyBorder="1" applyAlignment="1" applyProtection="1">
      <alignment horizontal="center" vertical="top" wrapText="1"/>
    </xf>
    <xf numFmtId="43" fontId="77" fillId="4" borderId="1" xfId="1" applyFont="1" applyFill="1" applyBorder="1" applyAlignment="1" applyProtection="1">
      <alignment horizontal="center" vertical="top" wrapText="1"/>
      <protection locked="0"/>
    </xf>
    <xf numFmtId="43" fontId="72" fillId="4" borderId="1" xfId="1" applyFont="1" applyFill="1" applyBorder="1" applyAlignment="1" applyProtection="1">
      <alignment horizontal="center" vertical="top" wrapText="1"/>
      <protection locked="0"/>
    </xf>
    <xf numFmtId="43" fontId="77" fillId="3" borderId="1" xfId="1" applyFont="1" applyFill="1" applyBorder="1" applyAlignment="1" applyProtection="1">
      <alignment horizontal="center" vertical="top" wrapText="1"/>
      <protection locked="0"/>
    </xf>
    <xf numFmtId="43" fontId="43" fillId="0" borderId="1" xfId="1" applyFont="1" applyBorder="1" applyAlignment="1" applyProtection="1">
      <alignment horizontal="left" vertical="top" wrapText="1"/>
    </xf>
    <xf numFmtId="43" fontId="43" fillId="0" borderId="1" xfId="1" applyFont="1" applyBorder="1" applyAlignment="1" applyProtection="1">
      <alignment horizontal="center" vertical="top" wrapText="1"/>
      <protection locked="0"/>
    </xf>
    <xf numFmtId="43" fontId="77" fillId="2" borderId="1" xfId="1" applyFont="1" applyFill="1" applyBorder="1" applyAlignment="1" applyProtection="1">
      <alignment horizontal="center" vertical="top" wrapText="1"/>
      <protection locked="0"/>
    </xf>
    <xf numFmtId="43" fontId="75" fillId="0" borderId="1" xfId="1" applyFont="1" applyBorder="1" applyAlignment="1" applyProtection="1">
      <alignment horizontal="center" vertical="top" wrapText="1"/>
      <protection locked="0"/>
    </xf>
    <xf numFmtId="43" fontId="75" fillId="0" borderId="1" xfId="1" applyFont="1" applyBorder="1" applyAlignment="1" applyProtection="1">
      <alignment horizontal="left" vertical="top" wrapText="1"/>
    </xf>
    <xf numFmtId="43" fontId="43" fillId="0" borderId="1" xfId="1" applyFont="1" applyFill="1" applyBorder="1" applyAlignment="1" applyProtection="1">
      <alignment horizontal="center" vertical="top" wrapText="1"/>
    </xf>
    <xf numFmtId="43" fontId="43" fillId="0" borderId="0" xfId="1" applyFont="1" applyAlignment="1" applyProtection="1">
      <alignment horizontal="center" vertical="top" wrapText="1"/>
    </xf>
    <xf numFmtId="0" fontId="9" fillId="0" borderId="1" xfId="11" applyFont="1" applyFill="1" applyBorder="1" applyAlignment="1" applyProtection="1">
      <alignment horizontal="left" vertical="center"/>
    </xf>
    <xf numFmtId="0" fontId="9" fillId="0" borderId="0" xfId="11" applyFont="1" applyAlignment="1" applyProtection="1">
      <alignment vertical="center"/>
    </xf>
    <xf numFmtId="0" fontId="9" fillId="11" borderId="1" xfId="4" applyFont="1" applyFill="1" applyBorder="1" applyAlignment="1" applyProtection="1">
      <alignment horizontal="left" vertical="center" wrapText="1"/>
    </xf>
    <xf numFmtId="43" fontId="9" fillId="0" borderId="1" xfId="1" applyFont="1" applyFill="1" applyBorder="1" applyAlignment="1" applyProtection="1">
      <alignment horizontal="right" vertical="center" wrapText="1"/>
      <protection locked="0"/>
    </xf>
    <xf numFmtId="0" fontId="9" fillId="0" borderId="1" xfId="4" applyFont="1" applyFill="1" applyBorder="1" applyAlignment="1" applyProtection="1">
      <alignment horizontal="left" vertical="center" wrapText="1"/>
      <protection locked="0"/>
    </xf>
    <xf numFmtId="0" fontId="76" fillId="8" borderId="13" xfId="3" applyFont="1" applyFill="1" applyBorder="1" applyAlignment="1" applyProtection="1">
      <alignment horizontal="left" vertical="center"/>
    </xf>
    <xf numFmtId="0" fontId="76" fillId="39" borderId="10" xfId="3" applyFont="1" applyFill="1" applyBorder="1" applyAlignment="1" applyProtection="1">
      <alignment horizontal="left"/>
    </xf>
    <xf numFmtId="0" fontId="76" fillId="39" borderId="15" xfId="3" applyFont="1" applyFill="1" applyBorder="1" applyAlignment="1" applyProtection="1">
      <alignment horizontal="left"/>
    </xf>
    <xf numFmtId="0" fontId="76" fillId="24" borderId="11" xfId="3" applyFont="1" applyFill="1" applyBorder="1" applyAlignment="1" applyProtection="1">
      <alignment vertical="center" wrapText="1"/>
    </xf>
    <xf numFmtId="43" fontId="77" fillId="0" borderId="13" xfId="1" applyFont="1" applyFill="1" applyBorder="1" applyAlignment="1" applyProtection="1">
      <alignment horizontal="center" vertical="center" wrapText="1"/>
    </xf>
    <xf numFmtId="43" fontId="74" fillId="0" borderId="0" xfId="0" applyNumberFormat="1" applyFont="1" applyFill="1" applyBorder="1" applyAlignment="1" applyProtection="1">
      <alignment horizontal="center" vertical="center" wrapText="1"/>
    </xf>
    <xf numFmtId="43" fontId="43" fillId="0" borderId="0" xfId="97" applyNumberFormat="1" applyFont="1" applyFill="1" applyAlignment="1" applyProtection="1">
      <alignment vertical="center"/>
    </xf>
    <xf numFmtId="43" fontId="53" fillId="0" borderId="0" xfId="0" applyNumberFormat="1" applyFont="1" applyAlignment="1" applyProtection="1">
      <alignment wrapText="1"/>
    </xf>
    <xf numFmtId="2" fontId="53" fillId="0" borderId="0" xfId="0" applyNumberFormat="1" applyFont="1" applyAlignment="1" applyProtection="1">
      <alignment wrapText="1"/>
    </xf>
    <xf numFmtId="43" fontId="0" fillId="0" borderId="1" xfId="1" applyFont="1" applyFill="1" applyBorder="1" applyAlignment="1" applyProtection="1">
      <alignment horizontal="center" vertical="center"/>
      <protection locked="0"/>
    </xf>
    <xf numFmtId="43" fontId="9" fillId="0" borderId="1" xfId="1" applyFont="1" applyFill="1" applyBorder="1" applyAlignment="1" applyProtection="1">
      <alignment vertical="center"/>
    </xf>
    <xf numFmtId="0" fontId="9" fillId="0" borderId="0" xfId="48" applyFont="1" applyAlignment="1" applyProtection="1">
      <alignment horizontal="center" vertical="center"/>
    </xf>
    <xf numFmtId="0" fontId="9" fillId="0" borderId="0" xfId="48" applyFont="1" applyProtection="1"/>
    <xf numFmtId="0" fontId="9" fillId="0" borderId="0" xfId="48" applyFont="1" applyFill="1" applyAlignment="1" applyProtection="1">
      <alignment horizontal="center" vertical="center"/>
    </xf>
    <xf numFmtId="0" fontId="9" fillId="0" borderId="0" xfId="48" applyFont="1" applyFill="1" applyProtection="1"/>
    <xf numFmtId="2" fontId="9" fillId="0" borderId="1" xfId="0" applyNumberFormat="1" applyFont="1" applyBorder="1" applyAlignment="1" applyProtection="1">
      <alignment horizontal="right" vertical="center" wrapText="1"/>
    </xf>
    <xf numFmtId="0" fontId="75" fillId="0" borderId="1" xfId="0" applyFont="1" applyFill="1" applyBorder="1" applyAlignment="1" applyProtection="1">
      <alignment vertical="center" wrapText="1"/>
      <protection locked="0"/>
    </xf>
    <xf numFmtId="0" fontId="9" fillId="0" borderId="1" xfId="0" applyFont="1" applyBorder="1" applyAlignment="1" applyProtection="1">
      <alignment vertical="center" wrapText="1"/>
    </xf>
    <xf numFmtId="0" fontId="9" fillId="0" borderId="1" xfId="4" applyFont="1" applyBorder="1" applyAlignment="1" applyProtection="1">
      <alignment horizontal="left" vertical="center" wrapText="1"/>
    </xf>
    <xf numFmtId="0" fontId="9" fillId="0" borderId="1" xfId="4" applyFont="1" applyBorder="1" applyAlignment="1" applyProtection="1">
      <alignment vertical="center" wrapText="1"/>
    </xf>
    <xf numFmtId="0" fontId="72" fillId="6" borderId="1" xfId="4" applyFont="1" applyFill="1" applyBorder="1" applyAlignment="1" applyProtection="1">
      <alignment horizontal="left" vertical="center" wrapText="1"/>
    </xf>
    <xf numFmtId="0" fontId="72" fillId="6" borderId="1" xfId="4" applyFont="1" applyFill="1" applyBorder="1" applyAlignment="1" applyProtection="1">
      <alignment vertical="center" wrapText="1"/>
    </xf>
    <xf numFmtId="0" fontId="9" fillId="0" borderId="1" xfId="4" applyFont="1" applyFill="1" applyBorder="1" applyAlignment="1" applyProtection="1">
      <alignment vertical="center" wrapText="1"/>
    </xf>
    <xf numFmtId="0" fontId="9" fillId="0" borderId="1" xfId="0" applyFont="1" applyFill="1" applyBorder="1" applyAlignment="1" applyProtection="1">
      <alignment wrapText="1"/>
    </xf>
    <xf numFmtId="0" fontId="72" fillId="0" borderId="1" xfId="4" applyFont="1" applyFill="1" applyBorder="1" applyAlignment="1" applyProtection="1">
      <alignment vertical="center" wrapText="1"/>
    </xf>
    <xf numFmtId="0" fontId="76" fillId="39" borderId="1" xfId="3" applyFont="1" applyFill="1" applyBorder="1" applyAlignment="1" applyProtection="1">
      <alignment horizontal="left"/>
    </xf>
    <xf numFmtId="0" fontId="75" fillId="0" borderId="0" xfId="0" applyFont="1" applyFill="1" applyAlignment="1" applyProtection="1">
      <alignment horizontal="center" vertical="center" wrapText="1"/>
    </xf>
    <xf numFmtId="0" fontId="74" fillId="29" borderId="1" xfId="0" applyFont="1" applyFill="1" applyBorder="1" applyAlignment="1" applyProtection="1">
      <alignment horizontal="center" vertical="center" wrapText="1"/>
    </xf>
    <xf numFmtId="0" fontId="72" fillId="30" borderId="1" xfId="0" applyFont="1" applyFill="1" applyBorder="1" applyAlignment="1" applyProtection="1">
      <alignment horizontal="center" vertical="center" wrapText="1"/>
    </xf>
    <xf numFmtId="0" fontId="72" fillId="10" borderId="1" xfId="0" applyFont="1" applyFill="1" applyBorder="1" applyAlignment="1" applyProtection="1">
      <alignment horizontal="center" vertical="center" wrapText="1"/>
    </xf>
    <xf numFmtId="0" fontId="78" fillId="29" borderId="1" xfId="0" applyFont="1" applyFill="1" applyBorder="1" applyAlignment="1" applyProtection="1">
      <alignment horizontal="center" vertical="center" wrapText="1"/>
    </xf>
    <xf numFmtId="2" fontId="72" fillId="0" borderId="1" xfId="3" applyNumberFormat="1" applyFont="1" applyFill="1" applyBorder="1" applyProtection="1"/>
    <xf numFmtId="0" fontId="76" fillId="24" borderId="1" xfId="3" applyFont="1" applyFill="1" applyBorder="1" applyAlignment="1" applyProtection="1">
      <alignment horizontal="left" vertical="center" wrapText="1"/>
    </xf>
    <xf numFmtId="0" fontId="9" fillId="0" borderId="0" xfId="11" applyFont="1" applyProtection="1"/>
    <xf numFmtId="0" fontId="9" fillId="0" borderId="1" xfId="48" applyFont="1" applyFill="1" applyBorder="1" applyAlignment="1" applyProtection="1">
      <alignment horizontal="left" vertical="center"/>
    </xf>
    <xf numFmtId="0" fontId="9" fillId="0" borderId="1" xfId="48" applyFont="1" applyFill="1" applyBorder="1" applyAlignment="1" applyProtection="1">
      <alignment horizontal="left" vertical="center" wrapText="1"/>
    </xf>
    <xf numFmtId="0" fontId="9" fillId="0" borderId="1" xfId="48" applyFont="1" applyFill="1" applyBorder="1" applyAlignment="1" applyProtection="1">
      <alignment horizontal="left" vertical="center"/>
      <protection locked="0"/>
    </xf>
    <xf numFmtId="2" fontId="9" fillId="0" borderId="1" xfId="48" applyNumberFormat="1" applyFont="1" applyFill="1" applyBorder="1" applyAlignment="1" applyProtection="1">
      <alignment horizontal="right" vertical="center"/>
    </xf>
    <xf numFmtId="0" fontId="9" fillId="0" borderId="1" xfId="48" applyFont="1" applyFill="1" applyBorder="1" applyAlignment="1" applyProtection="1">
      <alignment vertical="center"/>
      <protection locked="0"/>
    </xf>
    <xf numFmtId="2" fontId="9" fillId="0" borderId="1" xfId="48" applyNumberFormat="1" applyFont="1" applyFill="1" applyBorder="1" applyAlignment="1" applyProtection="1">
      <alignment horizontal="left" vertical="center"/>
      <protection locked="0"/>
    </xf>
    <xf numFmtId="2" fontId="9" fillId="0" borderId="1" xfId="48" applyNumberFormat="1" applyFont="1" applyFill="1" applyBorder="1" applyAlignment="1" applyProtection="1">
      <alignment horizontal="right" vertical="center"/>
      <protection locked="0"/>
    </xf>
    <xf numFmtId="2" fontId="9" fillId="0" borderId="0" xfId="48" applyNumberFormat="1" applyFont="1" applyProtection="1"/>
    <xf numFmtId="0" fontId="9" fillId="0" borderId="1" xfId="48" applyFont="1" applyBorder="1" applyAlignment="1" applyProtection="1">
      <alignment horizontal="left" vertical="center"/>
    </xf>
    <xf numFmtId="49" fontId="9" fillId="0" borderId="1" xfId="48" applyNumberFormat="1" applyFont="1" applyBorder="1" applyAlignment="1" applyProtection="1">
      <alignment horizontal="left" vertical="center"/>
    </xf>
    <xf numFmtId="0" fontId="9" fillId="0" borderId="1" xfId="8" applyFont="1" applyBorder="1" applyAlignment="1" applyProtection="1">
      <alignment horizontal="center" vertical="center" wrapText="1"/>
      <protection locked="0"/>
    </xf>
    <xf numFmtId="2" fontId="9" fillId="0" borderId="1" xfId="48" applyNumberFormat="1" applyFont="1" applyBorder="1" applyAlignment="1" applyProtection="1">
      <alignment horizontal="right" vertical="center"/>
    </xf>
    <xf numFmtId="2" fontId="9" fillId="0" borderId="1" xfId="48" applyNumberFormat="1" applyFont="1" applyBorder="1" applyAlignment="1" applyProtection="1">
      <alignment horizontal="left" vertical="center"/>
      <protection locked="0"/>
    </xf>
    <xf numFmtId="0" fontId="9" fillId="0" borderId="1" xfId="48" applyFont="1" applyBorder="1" applyAlignment="1" applyProtection="1">
      <alignment horizontal="left" vertical="center" wrapText="1"/>
    </xf>
    <xf numFmtId="43" fontId="9" fillId="0" borderId="1" xfId="1" applyFont="1" applyBorder="1" applyAlignment="1" applyProtection="1">
      <alignment horizontal="left" vertical="center"/>
    </xf>
    <xf numFmtId="0" fontId="9" fillId="11" borderId="1" xfId="48" applyFont="1" applyFill="1" applyBorder="1" applyAlignment="1" applyProtection="1">
      <alignment horizontal="left" vertical="center"/>
    </xf>
    <xf numFmtId="1" fontId="9" fillId="0" borderId="1" xfId="48" applyNumberFormat="1" applyFont="1" applyFill="1" applyBorder="1" applyAlignment="1" applyProtection="1">
      <alignment horizontal="left" vertical="center" wrapText="1"/>
    </xf>
    <xf numFmtId="43" fontId="9" fillId="0" borderId="1" xfId="1" applyFont="1" applyFill="1" applyBorder="1" applyAlignment="1" applyProtection="1">
      <alignment horizontal="left" vertical="center" wrapText="1"/>
    </xf>
    <xf numFmtId="2" fontId="9" fillId="0" borderId="0" xfId="48" applyNumberFormat="1" applyFont="1" applyAlignment="1" applyProtection="1">
      <alignment vertical="center"/>
    </xf>
    <xf numFmtId="0" fontId="9" fillId="0" borderId="0" xfId="48" applyFont="1" applyAlignment="1" applyProtection="1">
      <alignment vertical="center"/>
    </xf>
    <xf numFmtId="2" fontId="9" fillId="13" borderId="1" xfId="48" applyNumberFormat="1" applyFont="1" applyFill="1" applyBorder="1" applyAlignment="1" applyProtection="1">
      <alignment horizontal="left" vertical="center" wrapText="1"/>
      <protection locked="0"/>
    </xf>
    <xf numFmtId="0" fontId="9" fillId="0" borderId="1" xfId="48" applyFont="1" applyBorder="1" applyAlignment="1" applyProtection="1">
      <alignment vertical="center"/>
    </xf>
    <xf numFmtId="2" fontId="9" fillId="0" borderId="1" xfId="48" applyNumberFormat="1" applyFont="1" applyBorder="1" applyAlignment="1" applyProtection="1">
      <alignment horizontal="left" vertical="center" wrapText="1"/>
      <protection locked="0"/>
    </xf>
    <xf numFmtId="2" fontId="9" fillId="0" borderId="1" xfId="48" applyNumberFormat="1" applyFont="1" applyFill="1" applyBorder="1" applyAlignment="1" applyProtection="1">
      <alignment horizontal="left" vertical="center" wrapText="1"/>
      <protection locked="0"/>
    </xf>
    <xf numFmtId="0" fontId="9" fillId="0" borderId="1" xfId="48" applyFont="1" applyFill="1" applyBorder="1" applyAlignment="1" applyProtection="1">
      <alignment vertical="center"/>
    </xf>
    <xf numFmtId="2" fontId="9" fillId="4" borderId="1" xfId="48" applyNumberFormat="1" applyFont="1" applyFill="1" applyBorder="1" applyAlignment="1" applyProtection="1">
      <alignment horizontal="right" vertical="center" wrapText="1"/>
    </xf>
    <xf numFmtId="2" fontId="9" fillId="4" borderId="1" xfId="48" applyNumberFormat="1" applyFont="1" applyFill="1" applyBorder="1" applyAlignment="1" applyProtection="1">
      <alignment vertical="center" wrapText="1"/>
    </xf>
    <xf numFmtId="0" fontId="9" fillId="4" borderId="1" xfId="48" applyFont="1" applyFill="1" applyBorder="1" applyAlignment="1" applyProtection="1">
      <alignment horizontal="right" vertical="center" wrapText="1"/>
      <protection locked="0"/>
    </xf>
    <xf numFmtId="0" fontId="9" fillId="0" borderId="0" xfId="48" applyFont="1" applyAlignment="1" applyProtection="1">
      <alignment horizontal="left" vertical="center" wrapText="1"/>
    </xf>
    <xf numFmtId="2" fontId="9" fillId="0" borderId="0" xfId="48" applyNumberFormat="1" applyFont="1" applyAlignment="1" applyProtection="1">
      <alignment horizontal="left" vertical="center"/>
    </xf>
    <xf numFmtId="2" fontId="9" fillId="0" borderId="0" xfId="48" applyNumberFormat="1" applyFont="1" applyAlignment="1" applyProtection="1">
      <alignment horizontal="right"/>
    </xf>
    <xf numFmtId="0" fontId="9" fillId="0" borderId="1" xfId="48" applyFont="1" applyBorder="1" applyAlignment="1" applyProtection="1">
      <alignment horizontal="left" vertical="center"/>
      <protection locked="0"/>
    </xf>
    <xf numFmtId="2" fontId="9" fillId="52" borderId="1" xfId="48" applyNumberFormat="1" applyFont="1" applyFill="1" applyBorder="1" applyAlignment="1" applyProtection="1">
      <alignment horizontal="left" vertical="center"/>
      <protection locked="0"/>
    </xf>
    <xf numFmtId="0" fontId="9" fillId="0" borderId="1" xfId="48" applyFont="1" applyBorder="1" applyAlignment="1" applyProtection="1">
      <alignment horizontal="center" vertical="center"/>
      <protection locked="0"/>
    </xf>
    <xf numFmtId="0" fontId="9" fillId="0" borderId="1" xfId="48" applyFont="1" applyFill="1" applyBorder="1" applyAlignment="1" applyProtection="1">
      <alignment horizontal="right" vertical="center"/>
      <protection locked="0"/>
    </xf>
    <xf numFmtId="2" fontId="72" fillId="0" borderId="1" xfId="48" applyNumberFormat="1" applyFont="1" applyFill="1" applyBorder="1" applyAlignment="1" applyProtection="1">
      <alignment horizontal="right" vertical="center"/>
      <protection locked="0"/>
    </xf>
    <xf numFmtId="43" fontId="72" fillId="0" borderId="1" xfId="1" applyFont="1" applyFill="1" applyBorder="1" applyAlignment="1" applyProtection="1">
      <alignment horizontal="left" vertical="center"/>
      <protection locked="0"/>
    </xf>
    <xf numFmtId="0" fontId="72" fillId="0" borderId="1" xfId="48" applyFont="1" applyFill="1" applyBorder="1" applyAlignment="1" applyProtection="1">
      <alignment horizontal="left" vertical="center"/>
      <protection locked="0"/>
    </xf>
    <xf numFmtId="0" fontId="9" fillId="0" borderId="1" xfId="48" applyFont="1" applyFill="1" applyBorder="1" applyAlignment="1" applyProtection="1">
      <alignment horizontal="left" vertical="center" wrapText="1"/>
      <protection locked="0"/>
    </xf>
    <xf numFmtId="0" fontId="9" fillId="52" borderId="1" xfId="48" applyFont="1" applyFill="1" applyBorder="1" applyAlignment="1" applyProtection="1">
      <alignment horizontal="left" vertical="center" wrapText="1"/>
      <protection locked="0"/>
    </xf>
    <xf numFmtId="0" fontId="9" fillId="0" borderId="1" xfId="48" applyFont="1" applyFill="1" applyBorder="1" applyAlignment="1" applyProtection="1">
      <alignment vertical="center" wrapText="1"/>
      <protection locked="0"/>
    </xf>
    <xf numFmtId="2" fontId="72" fillId="0" borderId="1" xfId="48" applyNumberFormat="1" applyFont="1" applyFill="1" applyBorder="1" applyAlignment="1" applyProtection="1">
      <alignment horizontal="right" vertical="center" wrapText="1"/>
      <protection locked="0"/>
    </xf>
    <xf numFmtId="43" fontId="9" fillId="0" borderId="1" xfId="1" applyFont="1" applyFill="1" applyBorder="1" applyAlignment="1" applyProtection="1">
      <alignment horizontal="left" vertical="center" wrapText="1"/>
      <protection locked="0"/>
    </xf>
    <xf numFmtId="0" fontId="75" fillId="0" borderId="1" xfId="111" applyFont="1" applyFill="1" applyBorder="1" applyAlignment="1" applyProtection="1">
      <alignment vertical="top" wrapText="1"/>
      <protection locked="0"/>
    </xf>
    <xf numFmtId="2" fontId="72" fillId="6" borderId="1" xfId="48" applyNumberFormat="1" applyFont="1" applyFill="1" applyBorder="1" applyAlignment="1" applyProtection="1">
      <alignment horizontal="right" vertical="center"/>
      <protection locked="0"/>
    </xf>
    <xf numFmtId="43" fontId="72" fillId="6" borderId="1" xfId="1" applyFont="1" applyFill="1" applyBorder="1" applyAlignment="1" applyProtection="1">
      <alignment horizontal="right" vertical="center"/>
      <protection locked="0"/>
    </xf>
    <xf numFmtId="2" fontId="138" fillId="6" borderId="1" xfId="48" applyNumberFormat="1" applyFont="1" applyFill="1" applyBorder="1" applyAlignment="1" applyProtection="1">
      <alignment horizontal="left" vertical="center"/>
      <protection locked="0"/>
    </xf>
    <xf numFmtId="0" fontId="72" fillId="0" borderId="1" xfId="48" applyFont="1" applyFill="1" applyBorder="1" applyAlignment="1" applyProtection="1">
      <alignment vertical="center" wrapText="1"/>
      <protection locked="0"/>
    </xf>
    <xf numFmtId="43" fontId="72" fillId="0" borderId="1" xfId="1" applyFont="1" applyFill="1" applyBorder="1" applyAlignment="1" applyProtection="1">
      <alignment horizontal="left" vertical="center" wrapText="1"/>
      <protection locked="0"/>
    </xf>
    <xf numFmtId="0" fontId="72" fillId="0" borderId="1" xfId="48" applyFont="1" applyFill="1" applyBorder="1" applyAlignment="1" applyProtection="1">
      <alignment horizontal="left" vertical="center" wrapText="1"/>
      <protection locked="0"/>
    </xf>
    <xf numFmtId="0" fontId="9" fillId="0" borderId="1" xfId="48" applyFont="1" applyBorder="1" applyAlignment="1" applyProtection="1">
      <alignment horizontal="left" vertical="center" wrapText="1"/>
      <protection locked="0"/>
    </xf>
    <xf numFmtId="43" fontId="72" fillId="0" borderId="1" xfId="1" applyFont="1" applyBorder="1" applyAlignment="1" applyProtection="1">
      <alignment horizontal="left" vertical="center" wrapText="1"/>
      <protection locked="0"/>
    </xf>
    <xf numFmtId="0" fontId="75" fillId="0" borderId="1" xfId="48" applyFont="1" applyBorder="1" applyAlignment="1" applyProtection="1">
      <alignment vertical="center" wrapText="1"/>
      <protection locked="0"/>
    </xf>
    <xf numFmtId="0" fontId="75" fillId="0" borderId="1" xfId="48" applyFont="1" applyBorder="1" applyAlignment="1" applyProtection="1">
      <alignment horizontal="left" vertical="center" wrapText="1"/>
      <protection locked="0"/>
    </xf>
    <xf numFmtId="0" fontId="75" fillId="0" borderId="13" xfId="5" applyFont="1" applyFill="1" applyBorder="1" applyAlignment="1" applyProtection="1">
      <alignment vertical="center" wrapText="1"/>
      <protection locked="0"/>
    </xf>
    <xf numFmtId="0" fontId="87" fillId="0" borderId="1" xfId="0" applyFont="1" applyBorder="1" applyAlignment="1">
      <alignment horizontal="left" wrapText="1"/>
    </xf>
    <xf numFmtId="1" fontId="75" fillId="0" borderId="1" xfId="5" applyNumberFormat="1" applyFont="1" applyFill="1" applyBorder="1" applyAlignment="1" applyProtection="1">
      <alignment horizontal="left" vertical="center" wrapText="1"/>
      <protection locked="0"/>
    </xf>
    <xf numFmtId="0" fontId="87" fillId="0" borderId="0" xfId="0" applyFont="1" applyAlignment="1">
      <alignment horizontal="left" vertical="top" wrapText="1"/>
    </xf>
    <xf numFmtId="0" fontId="77" fillId="0" borderId="1" xfId="48" applyFont="1" applyBorder="1" applyAlignment="1" applyProtection="1">
      <alignment horizontal="left" vertical="center" wrapText="1"/>
      <protection locked="0"/>
    </xf>
    <xf numFmtId="0" fontId="75" fillId="0" borderId="1" xfId="5" applyFont="1" applyFill="1" applyBorder="1" applyAlignment="1" applyProtection="1">
      <alignment vertical="center" wrapText="1"/>
      <protection locked="0"/>
    </xf>
    <xf numFmtId="0" fontId="87" fillId="0" borderId="1" xfId="0" applyFont="1" applyBorder="1" applyAlignment="1">
      <alignment horizontal="left" vertical="top" wrapText="1"/>
    </xf>
    <xf numFmtId="0" fontId="9" fillId="0" borderId="1" xfId="0" applyFont="1" applyFill="1" applyBorder="1" applyAlignment="1" applyProtection="1">
      <alignment wrapText="1"/>
      <protection locked="0"/>
    </xf>
    <xf numFmtId="0" fontId="75" fillId="0" borderId="1" xfId="48" applyFont="1" applyFill="1" applyBorder="1" applyAlignment="1" applyProtection="1">
      <alignment horizontal="left" vertical="center" wrapText="1"/>
      <protection locked="0"/>
    </xf>
    <xf numFmtId="0" fontId="87" fillId="0" borderId="0" xfId="0" applyFont="1" applyAlignment="1">
      <alignment horizontal="left" wrapText="1"/>
    </xf>
    <xf numFmtId="2" fontId="75" fillId="0" borderId="1" xfId="5" applyNumberFormat="1" applyFont="1" applyFill="1" applyBorder="1" applyAlignment="1" applyProtection="1">
      <alignment horizontal="left" vertical="center" wrapText="1"/>
      <protection locked="0"/>
    </xf>
    <xf numFmtId="0" fontId="75" fillId="0" borderId="1" xfId="84" applyFont="1" applyFill="1" applyBorder="1" applyAlignment="1" applyProtection="1">
      <alignment horizontal="left" vertical="center" wrapText="1"/>
      <protection locked="0"/>
    </xf>
    <xf numFmtId="0" fontId="9" fillId="13" borderId="1" xfId="0" applyFont="1" applyFill="1" applyBorder="1" applyAlignment="1" applyProtection="1">
      <alignment wrapText="1"/>
      <protection locked="0"/>
    </xf>
    <xf numFmtId="0" fontId="77" fillId="0" borderId="1" xfId="48" applyFont="1" applyBorder="1" applyAlignment="1" applyProtection="1">
      <alignment vertical="center" wrapText="1"/>
      <protection locked="0"/>
    </xf>
    <xf numFmtId="2" fontId="77" fillId="3" borderId="1" xfId="48" applyNumberFormat="1" applyFont="1" applyFill="1" applyBorder="1" applyAlignment="1" applyProtection="1">
      <alignment horizontal="right" vertical="center" wrapText="1"/>
      <protection locked="0"/>
    </xf>
    <xf numFmtId="2" fontId="77" fillId="3" borderId="1" xfId="48" applyNumberFormat="1" applyFont="1" applyFill="1" applyBorder="1" applyAlignment="1" applyProtection="1">
      <alignment vertical="center" wrapText="1"/>
      <protection locked="0"/>
    </xf>
    <xf numFmtId="0" fontId="77" fillId="3" borderId="1" xfId="48" applyFont="1" applyFill="1" applyBorder="1" applyAlignment="1" applyProtection="1">
      <alignment vertical="center" wrapText="1"/>
      <protection locked="0"/>
    </xf>
    <xf numFmtId="0" fontId="75" fillId="0" borderId="1" xfId="48" applyFont="1" applyFill="1" applyBorder="1" applyAlignment="1" applyProtection="1">
      <alignment vertical="center" wrapText="1"/>
      <protection locked="0"/>
    </xf>
    <xf numFmtId="0" fontId="71" fillId="0" borderId="1" xfId="48" applyFont="1" applyFill="1" applyBorder="1" applyAlignment="1" applyProtection="1">
      <alignment horizontal="left" vertical="center" wrapText="1"/>
      <protection locked="0"/>
    </xf>
    <xf numFmtId="2" fontId="77" fillId="4" borderId="1" xfId="48" applyNumberFormat="1" applyFont="1" applyFill="1" applyBorder="1" applyAlignment="1" applyProtection="1">
      <alignment vertical="center" wrapText="1"/>
      <protection locked="0"/>
    </xf>
    <xf numFmtId="2" fontId="77" fillId="4" borderId="1" xfId="48" applyNumberFormat="1" applyFont="1" applyFill="1" applyBorder="1" applyAlignment="1" applyProtection="1">
      <alignment horizontal="right" vertical="center" wrapText="1"/>
      <protection locked="0"/>
    </xf>
    <xf numFmtId="0" fontId="77" fillId="4" borderId="1" xfId="48" applyFont="1" applyFill="1" applyBorder="1" applyAlignment="1" applyProtection="1">
      <alignment vertical="center" wrapText="1"/>
      <protection locked="0"/>
    </xf>
    <xf numFmtId="43" fontId="77" fillId="4" borderId="1" xfId="1" applyFont="1" applyFill="1" applyBorder="1" applyAlignment="1" applyProtection="1">
      <alignment horizontal="right" vertical="center" wrapText="1"/>
      <protection locked="0"/>
    </xf>
    <xf numFmtId="2" fontId="8" fillId="0" borderId="1" xfId="48" applyNumberFormat="1" applyFont="1" applyFill="1" applyBorder="1" applyAlignment="1" applyProtection="1">
      <alignment horizontal="left" vertical="center" wrapText="1"/>
      <protection locked="0"/>
    </xf>
    <xf numFmtId="2" fontId="16" fillId="0" borderId="1" xfId="329" applyNumberFormat="1" applyBorder="1" applyAlignment="1">
      <alignment horizontal="center" vertical="top" wrapText="1"/>
    </xf>
    <xf numFmtId="2" fontId="9" fillId="0" borderId="0" xfId="11" applyNumberFormat="1" applyFont="1" applyProtection="1"/>
    <xf numFmtId="2" fontId="9" fillId="0" borderId="0" xfId="48" applyNumberFormat="1" applyFont="1" applyFill="1" applyAlignment="1" applyProtection="1">
      <alignment horizontal="center" vertical="center"/>
    </xf>
    <xf numFmtId="2" fontId="9" fillId="0" borderId="0" xfId="48" applyNumberFormat="1" applyFont="1" applyAlignment="1" applyProtection="1">
      <alignment horizontal="center" vertical="center"/>
    </xf>
    <xf numFmtId="43" fontId="43" fillId="10" borderId="1" xfId="1" applyFont="1" applyFill="1" applyBorder="1" applyAlignment="1" applyProtection="1">
      <alignment horizontal="center" vertical="top" wrapText="1"/>
      <protection locked="0"/>
    </xf>
    <xf numFmtId="0" fontId="6" fillId="10" borderId="1" xfId="8" applyFont="1" applyFill="1" applyBorder="1" applyAlignment="1" applyProtection="1">
      <alignment horizontal="left" vertical="center" wrapText="1"/>
      <protection locked="0"/>
    </xf>
    <xf numFmtId="0" fontId="14" fillId="0" borderId="1" xfId="8" applyFont="1" applyFill="1" applyBorder="1" applyAlignment="1" applyProtection="1">
      <alignment horizontal="left" vertical="center" wrapText="1"/>
      <protection locked="0"/>
    </xf>
    <xf numFmtId="0" fontId="75" fillId="0" borderId="1" xfId="8" applyFont="1" applyBorder="1" applyAlignment="1" applyProtection="1">
      <alignment horizontal="left" vertical="top" wrapText="1"/>
      <protection locked="0"/>
    </xf>
    <xf numFmtId="0" fontId="100" fillId="10" borderId="1" xfId="0" applyFont="1" applyFill="1" applyBorder="1" applyAlignment="1" applyProtection="1">
      <alignment vertical="center" wrapText="1"/>
      <protection locked="0"/>
    </xf>
    <xf numFmtId="43" fontId="100" fillId="10" borderId="1" xfId="1" applyFont="1" applyFill="1" applyBorder="1" applyAlignment="1" applyProtection="1">
      <alignment horizontal="right" vertical="center" wrapText="1"/>
      <protection locked="0"/>
    </xf>
    <xf numFmtId="172" fontId="94" fillId="10" borderId="1" xfId="1" applyNumberFormat="1" applyFont="1" applyFill="1" applyBorder="1" applyAlignment="1" applyProtection="1">
      <alignment vertical="center" wrapText="1"/>
    </xf>
    <xf numFmtId="172" fontId="94" fillId="47" borderId="1" xfId="1" applyNumberFormat="1" applyFont="1" applyFill="1" applyBorder="1" applyAlignment="1" applyProtection="1">
      <alignment horizontal="right" vertical="center" wrapText="1"/>
      <protection locked="0"/>
    </xf>
    <xf numFmtId="172" fontId="94" fillId="10" borderId="1" xfId="1" applyNumberFormat="1" applyFont="1" applyFill="1" applyBorder="1" applyAlignment="1" applyProtection="1">
      <alignment horizontal="right" vertical="center" wrapText="1"/>
      <protection locked="0"/>
    </xf>
    <xf numFmtId="172" fontId="43" fillId="10" borderId="1" xfId="1" applyNumberFormat="1" applyFont="1" applyFill="1" applyBorder="1" applyAlignment="1" applyProtection="1">
      <alignment horizontal="right" vertical="center"/>
      <protection locked="0"/>
    </xf>
    <xf numFmtId="0" fontId="6" fillId="10" borderId="1" xfId="11" applyFont="1" applyFill="1" applyBorder="1" applyAlignment="1" applyProtection="1">
      <alignment horizontal="left" vertical="center" wrapText="1"/>
      <protection locked="0"/>
    </xf>
    <xf numFmtId="172" fontId="75" fillId="0" borderId="1" xfId="1" applyNumberFormat="1" applyFont="1" applyBorder="1" applyAlignment="1" applyProtection="1">
      <alignment horizontal="right" vertical="center"/>
      <protection locked="0"/>
    </xf>
    <xf numFmtId="43" fontId="6" fillId="10" borderId="1" xfId="1" applyFont="1" applyFill="1" applyBorder="1" applyAlignment="1" applyProtection="1">
      <alignment horizontal="right" vertical="center"/>
      <protection locked="0"/>
    </xf>
    <xf numFmtId="0" fontId="75" fillId="0" borderId="1" xfId="0" applyFont="1" applyBorder="1" applyAlignment="1" applyProtection="1">
      <alignment horizontal="left" vertical="center" wrapText="1"/>
      <protection locked="0"/>
    </xf>
    <xf numFmtId="0" fontId="6" fillId="10" borderId="1" xfId="1008" applyFont="1" applyFill="1" applyBorder="1" applyAlignment="1" applyProtection="1">
      <alignment horizontal="left" vertical="center" wrapText="1"/>
      <protection locked="0"/>
    </xf>
    <xf numFmtId="2" fontId="53" fillId="0" borderId="0" xfId="0" applyNumberFormat="1" applyFont="1" applyProtection="1"/>
    <xf numFmtId="0" fontId="5" fillId="0" borderId="1" xfId="8" applyFont="1" applyFill="1" applyBorder="1" applyAlignment="1" applyProtection="1">
      <alignment horizontal="left" vertical="center" wrapText="1"/>
    </xf>
    <xf numFmtId="0" fontId="5" fillId="0" borderId="1" xfId="62" applyFont="1" applyBorder="1" applyAlignment="1" applyProtection="1">
      <alignment horizontal="left" vertical="center" wrapText="1"/>
      <protection locked="0"/>
    </xf>
    <xf numFmtId="0" fontId="5" fillId="0" borderId="1" xfId="82" applyFont="1" applyBorder="1" applyAlignment="1" applyProtection="1">
      <alignment horizontal="left" vertical="center" wrapText="1"/>
    </xf>
    <xf numFmtId="0" fontId="52" fillId="0" borderId="1" xfId="0" applyFont="1" applyBorder="1" applyAlignment="1">
      <alignment horizontal="left" vertical="center" wrapText="1"/>
    </xf>
    <xf numFmtId="0" fontId="52" fillId="0" borderId="1" xfId="0" applyFont="1" applyBorder="1" applyAlignment="1">
      <alignment horizontal="center" vertical="center" wrapText="1"/>
    </xf>
    <xf numFmtId="0" fontId="52" fillId="0" borderId="1" xfId="0" applyFont="1" applyBorder="1" applyAlignment="1">
      <alignment horizontal="center" vertical="center" wrapText="1"/>
    </xf>
    <xf numFmtId="0" fontId="52" fillId="5" borderId="10" xfId="0" applyFont="1" applyFill="1" applyBorder="1" applyAlignment="1">
      <alignment horizontal="center" vertical="center" wrapText="1"/>
    </xf>
    <xf numFmtId="0" fontId="52" fillId="5" borderId="1" xfId="0" applyFont="1" applyFill="1" applyBorder="1" applyAlignment="1">
      <alignment horizontal="center" vertical="center" wrapText="1"/>
    </xf>
    <xf numFmtId="0" fontId="52" fillId="5" borderId="1" xfId="0" applyFont="1" applyFill="1" applyBorder="1" applyAlignment="1">
      <alignment vertical="center" wrapText="1"/>
    </xf>
    <xf numFmtId="0" fontId="0" fillId="0" borderId="0" xfId="0" applyAlignment="1">
      <alignment wrapText="1"/>
    </xf>
    <xf numFmtId="1" fontId="53" fillId="6" borderId="1" xfId="4" applyNumberFormat="1" applyFont="1" applyFill="1" applyBorder="1" applyAlignment="1" applyProtection="1">
      <alignment horizontal="center" vertical="center" wrapText="1"/>
    </xf>
    <xf numFmtId="2" fontId="53" fillId="6" borderId="1" xfId="4" applyNumberFormat="1" applyFont="1" applyFill="1" applyBorder="1" applyAlignment="1" applyProtection="1">
      <alignment horizontal="left" vertical="center" wrapText="1"/>
    </xf>
    <xf numFmtId="2" fontId="53" fillId="6" borderId="1" xfId="4" applyNumberFormat="1" applyFont="1" applyFill="1" applyBorder="1" applyAlignment="1" applyProtection="1">
      <alignment horizontal="right" vertical="center" wrapText="1"/>
    </xf>
    <xf numFmtId="2" fontId="0" fillId="0" borderId="0" xfId="0" applyNumberFormat="1"/>
    <xf numFmtId="0" fontId="53" fillId="6" borderId="1" xfId="0" applyFont="1" applyFill="1" applyBorder="1" applyAlignment="1">
      <alignment horizontal="center" vertical="center" wrapText="1"/>
    </xf>
    <xf numFmtId="0" fontId="53" fillId="6" borderId="1" xfId="0" applyFont="1" applyFill="1" applyBorder="1" applyAlignment="1">
      <alignment horizontal="left" vertical="center" wrapText="1"/>
    </xf>
    <xf numFmtId="2" fontId="53" fillId="6" borderId="1" xfId="0" applyNumberFormat="1" applyFont="1" applyFill="1" applyBorder="1" applyAlignment="1">
      <alignment horizontal="right" vertical="center" wrapText="1"/>
    </xf>
    <xf numFmtId="0" fontId="61" fillId="6" borderId="1" xfId="0" applyFont="1" applyFill="1" applyBorder="1" applyAlignment="1">
      <alignment vertical="center" wrapText="1"/>
    </xf>
    <xf numFmtId="2" fontId="61" fillId="6" borderId="1" xfId="0" applyNumberFormat="1" applyFont="1" applyFill="1" applyBorder="1" applyAlignment="1">
      <alignment horizontal="right" vertical="center"/>
    </xf>
    <xf numFmtId="0" fontId="53" fillId="0" borderId="0" xfId="0" applyFont="1" applyAlignment="1">
      <alignment horizontal="center" vertical="center" wrapText="1"/>
    </xf>
    <xf numFmtId="0" fontId="53" fillId="0" borderId="0" xfId="0" applyFont="1" applyAlignment="1">
      <alignment wrapText="1"/>
    </xf>
    <xf numFmtId="0" fontId="53" fillId="0" borderId="0" xfId="0" applyFont="1" applyAlignment="1"/>
    <xf numFmtId="2" fontId="0" fillId="0" borderId="1" xfId="0" applyNumberFormat="1" applyBorder="1"/>
    <xf numFmtId="0" fontId="55" fillId="5" borderId="1" xfId="0" applyFont="1" applyFill="1" applyBorder="1" applyAlignment="1">
      <alignment horizontal="center" wrapText="1"/>
    </xf>
    <xf numFmtId="0" fontId="52" fillId="5" borderId="1" xfId="0" applyFont="1" applyFill="1" applyBorder="1" applyAlignment="1">
      <alignment horizontal="center" vertical="center"/>
    </xf>
    <xf numFmtId="1" fontId="53" fillId="0" borderId="1" xfId="4" applyNumberFormat="1" applyFont="1" applyFill="1" applyBorder="1" applyAlignment="1" applyProtection="1">
      <alignment horizontal="center" vertical="center" wrapText="1"/>
    </xf>
    <xf numFmtId="2" fontId="53" fillId="0" borderId="1" xfId="4" applyNumberFormat="1" applyFont="1" applyFill="1" applyBorder="1" applyAlignment="1" applyProtection="1">
      <alignment horizontal="left" vertical="center" wrapText="1"/>
    </xf>
    <xf numFmtId="2" fontId="53" fillId="0" borderId="1" xfId="4" applyNumberFormat="1" applyFont="1" applyFill="1" applyBorder="1" applyAlignment="1" applyProtection="1">
      <alignment horizontal="right" vertical="center" wrapText="1"/>
    </xf>
    <xf numFmtId="0" fontId="53" fillId="0" borderId="1" xfId="0" applyFont="1" applyFill="1" applyBorder="1" applyAlignment="1">
      <alignment horizontal="center" vertical="center" wrapText="1"/>
    </xf>
    <xf numFmtId="0" fontId="53" fillId="0" borderId="1" xfId="0" applyFont="1" applyFill="1" applyBorder="1" applyAlignment="1">
      <alignment horizontal="left" vertical="center" wrapText="1"/>
    </xf>
    <xf numFmtId="2" fontId="53" fillId="0" borderId="1" xfId="0" applyNumberFormat="1" applyFont="1" applyFill="1" applyBorder="1" applyAlignment="1">
      <alignment horizontal="right" vertical="center" wrapText="1"/>
    </xf>
    <xf numFmtId="0" fontId="61" fillId="0" borderId="1" xfId="0" applyFont="1" applyFill="1" applyBorder="1" applyAlignment="1">
      <alignment vertical="center" wrapText="1"/>
    </xf>
    <xf numFmtId="2" fontId="52" fillId="0" borderId="1" xfId="4" applyNumberFormat="1" applyFont="1" applyFill="1" applyBorder="1" applyAlignment="1" applyProtection="1">
      <alignment horizontal="right" vertical="center" wrapText="1"/>
    </xf>
    <xf numFmtId="2" fontId="53" fillId="0" borderId="0" xfId="0" applyNumberFormat="1" applyFont="1" applyAlignment="1">
      <alignment horizontal="center" vertical="center" wrapText="1"/>
    </xf>
    <xf numFmtId="43" fontId="0" fillId="0" borderId="1" xfId="0" applyNumberFormat="1" applyBorder="1"/>
    <xf numFmtId="0" fontId="0" fillId="0" borderId="0" xfId="0" applyAlignment="1">
      <alignment horizontal="center"/>
    </xf>
    <xf numFmtId="0" fontId="0" fillId="0" borderId="0" xfId="0" applyFill="1" applyBorder="1" applyAlignment="1">
      <alignment horizontal="center"/>
    </xf>
    <xf numFmtId="0" fontId="4" fillId="0" borderId="0" xfId="87" applyFont="1" applyAlignment="1" applyProtection="1">
      <alignment vertical="center" wrapText="1"/>
    </xf>
    <xf numFmtId="0" fontId="75" fillId="0" borderId="13" xfId="113" applyFont="1" applyFill="1" applyBorder="1" applyAlignment="1" applyProtection="1">
      <alignment horizontal="left" vertical="center" wrapText="1"/>
      <protection locked="0"/>
    </xf>
    <xf numFmtId="0" fontId="135" fillId="0" borderId="1" xfId="0" applyFont="1" applyFill="1" applyBorder="1" applyAlignment="1" applyProtection="1">
      <alignment horizontal="left" vertical="top" wrapText="1"/>
      <protection locked="0"/>
    </xf>
    <xf numFmtId="0" fontId="91" fillId="0" borderId="1" xfId="0" applyFont="1" applyFill="1" applyBorder="1" applyAlignment="1" applyProtection="1">
      <alignment horizontal="left" vertical="center" wrapText="1"/>
      <protection locked="0"/>
    </xf>
    <xf numFmtId="0" fontId="134" fillId="0" borderId="1" xfId="0" applyFont="1" applyFill="1" applyBorder="1" applyAlignment="1" applyProtection="1">
      <alignment vertical="top" wrapText="1"/>
      <protection locked="0"/>
    </xf>
    <xf numFmtId="0" fontId="143" fillId="0" borderId="1" xfId="0" applyFont="1" applyFill="1" applyBorder="1" applyAlignment="1" applyProtection="1">
      <alignment vertical="top" wrapText="1"/>
      <protection locked="0"/>
    </xf>
    <xf numFmtId="0" fontId="146" fillId="0" borderId="1" xfId="0" applyFont="1" applyFill="1" applyBorder="1" applyAlignment="1" applyProtection="1">
      <alignment horizontal="left" vertical="top" wrapText="1"/>
      <protection locked="0"/>
    </xf>
    <xf numFmtId="0" fontId="106" fillId="0" borderId="1" xfId="0" applyFont="1" applyBorder="1" applyAlignment="1">
      <alignment vertical="center" wrapText="1"/>
    </xf>
    <xf numFmtId="0" fontId="102" fillId="13" borderId="1" xfId="0" applyFont="1" applyFill="1" applyBorder="1" applyAlignment="1">
      <alignment vertical="center" wrapText="1"/>
    </xf>
    <xf numFmtId="0" fontId="149" fillId="0" borderId="1" xfId="0" applyFont="1" applyFill="1" applyBorder="1" applyAlignment="1" applyProtection="1">
      <alignment horizontal="left" vertical="center" wrapText="1"/>
      <protection locked="0"/>
    </xf>
    <xf numFmtId="0" fontId="119" fillId="0" borderId="1" xfId="87" applyFont="1" applyFill="1" applyBorder="1" applyAlignment="1" applyProtection="1">
      <alignment horizontal="left" vertical="center" wrapText="1"/>
      <protection locked="0"/>
    </xf>
    <xf numFmtId="0" fontId="77" fillId="0" borderId="5" xfId="4" applyFont="1" applyFill="1" applyBorder="1" applyAlignment="1" applyProtection="1">
      <alignment horizontal="left" vertical="center" wrapText="1"/>
      <protection locked="0"/>
    </xf>
    <xf numFmtId="0" fontId="103" fillId="0" borderId="1" xfId="87" applyFont="1" applyFill="1" applyBorder="1" applyAlignment="1" applyProtection="1">
      <alignment horizontal="left" vertical="center" wrapText="1"/>
      <protection locked="0"/>
    </xf>
    <xf numFmtId="0" fontId="138" fillId="0" borderId="5" xfId="87" applyFont="1" applyFill="1" applyBorder="1" applyAlignment="1" applyProtection="1">
      <alignment horizontal="left" vertical="center" wrapText="1"/>
      <protection locked="0"/>
    </xf>
    <xf numFmtId="0" fontId="119" fillId="0" borderId="1" xfId="0" applyFont="1" applyFill="1" applyBorder="1" applyAlignment="1" applyProtection="1">
      <alignment horizontal="left" vertical="center" wrapText="1"/>
      <protection locked="0"/>
    </xf>
    <xf numFmtId="0" fontId="75" fillId="0" borderId="5" xfId="0" applyFont="1" applyFill="1" applyBorder="1" applyAlignment="1" applyProtection="1">
      <alignment horizontal="left" vertical="center" wrapText="1"/>
      <protection locked="0"/>
    </xf>
    <xf numFmtId="0" fontId="75" fillId="0" borderId="5" xfId="4" applyFont="1" applyFill="1" applyBorder="1" applyAlignment="1" applyProtection="1">
      <alignment horizontal="left" vertical="center" wrapText="1"/>
      <protection locked="0"/>
    </xf>
    <xf numFmtId="0" fontId="119" fillId="0" borderId="1" xfId="109" applyFont="1" applyFill="1" applyBorder="1" applyAlignment="1" applyProtection="1">
      <alignment horizontal="left" vertical="top" wrapText="1"/>
      <protection locked="0"/>
    </xf>
    <xf numFmtId="0" fontId="119" fillId="0" borderId="5" xfId="87" applyFont="1" applyFill="1" applyBorder="1" applyAlignment="1" applyProtection="1">
      <alignment horizontal="left" vertical="center" wrapText="1"/>
      <protection locked="0"/>
    </xf>
    <xf numFmtId="0" fontId="102" fillId="0" borderId="1" xfId="87" applyFont="1" applyFill="1" applyBorder="1" applyAlignment="1" applyProtection="1">
      <alignment horizontal="left" vertical="center"/>
      <protection locked="0"/>
    </xf>
    <xf numFmtId="0" fontId="106" fillId="0" borderId="1" xfId="0" applyFont="1" applyBorder="1" applyAlignment="1">
      <alignment vertical="top" wrapText="1"/>
    </xf>
    <xf numFmtId="0" fontId="3" fillId="0" borderId="1" xfId="8" applyFont="1" applyBorder="1" applyAlignment="1" applyProtection="1">
      <alignment horizontal="center" vertical="center" wrapText="1"/>
      <protection locked="0"/>
    </xf>
    <xf numFmtId="2" fontId="3" fillId="0" borderId="1" xfId="0" applyNumberFormat="1" applyFont="1" applyBorder="1" applyAlignment="1" applyProtection="1">
      <alignment horizontal="right" vertical="center" wrapText="1"/>
    </xf>
    <xf numFmtId="0" fontId="106" fillId="13" borderId="1" xfId="0" applyFont="1" applyFill="1" applyBorder="1" applyAlignment="1">
      <alignment horizontal="left" vertical="top" wrapText="1"/>
    </xf>
    <xf numFmtId="0" fontId="106" fillId="13" borderId="1" xfId="0" applyFont="1" applyFill="1" applyBorder="1" applyAlignment="1">
      <alignment vertical="top" wrapText="1"/>
    </xf>
    <xf numFmtId="43" fontId="3" fillId="0" borderId="1" xfId="1" applyFont="1" applyBorder="1" applyAlignment="1" applyProtection="1">
      <alignment horizontal="center" vertical="center" wrapText="1"/>
    </xf>
    <xf numFmtId="43" fontId="3" fillId="0" borderId="1" xfId="1" applyFont="1" applyBorder="1" applyAlignment="1" applyProtection="1">
      <alignment horizontal="left" vertical="center" wrapText="1"/>
    </xf>
    <xf numFmtId="0" fontId="156" fillId="52" borderId="1" xfId="0" applyFont="1" applyFill="1" applyBorder="1" applyAlignment="1" applyProtection="1">
      <alignment horizontal="left" vertical="top" wrapText="1"/>
      <protection locked="0"/>
    </xf>
    <xf numFmtId="0" fontId="156" fillId="0" borderId="1" xfId="0" applyFont="1" applyFill="1" applyBorder="1" applyAlignment="1" applyProtection="1">
      <alignment horizontal="left" vertical="top" wrapText="1"/>
      <protection locked="0"/>
    </xf>
    <xf numFmtId="0" fontId="156" fillId="0" borderId="1" xfId="0" applyFont="1" applyFill="1" applyBorder="1" applyAlignment="1" applyProtection="1">
      <alignment horizontal="left" vertical="top"/>
      <protection locked="0"/>
    </xf>
    <xf numFmtId="43" fontId="157" fillId="0" borderId="1" xfId="1" applyFont="1" applyBorder="1" applyAlignment="1" applyProtection="1">
      <alignment horizontal="right" vertical="top" wrapText="1"/>
    </xf>
    <xf numFmtId="0" fontId="156" fillId="0" borderId="1" xfId="0" applyFont="1" applyBorder="1" applyAlignment="1" applyProtection="1">
      <alignment horizontal="left" vertical="top" wrapText="1"/>
      <protection locked="0"/>
    </xf>
    <xf numFmtId="0" fontId="157" fillId="0" borderId="1" xfId="8" applyFont="1" applyBorder="1" applyAlignment="1" applyProtection="1">
      <alignment horizontal="left" vertical="top" wrapText="1"/>
      <protection locked="0"/>
    </xf>
    <xf numFmtId="0" fontId="156" fillId="11" borderId="1" xfId="0" applyFont="1" applyFill="1" applyBorder="1" applyAlignment="1" applyProtection="1">
      <alignment horizontal="left" vertical="top" wrapText="1"/>
      <protection locked="0"/>
    </xf>
    <xf numFmtId="0" fontId="156" fillId="13" borderId="1" xfId="0" applyFont="1" applyFill="1" applyBorder="1" applyAlignment="1" applyProtection="1">
      <alignment horizontal="left" vertical="top" wrapText="1"/>
      <protection locked="0"/>
    </xf>
    <xf numFmtId="0" fontId="156" fillId="0" borderId="1" xfId="0" applyFont="1" applyBorder="1" applyAlignment="1" applyProtection="1">
      <alignment horizontal="left" vertical="top"/>
      <protection locked="0"/>
    </xf>
    <xf numFmtId="0" fontId="156" fillId="0" borderId="1" xfId="0" applyFont="1" applyFill="1" applyBorder="1" applyAlignment="1" applyProtection="1">
      <alignment horizontal="center" vertical="top" wrapText="1"/>
      <protection locked="0"/>
    </xf>
    <xf numFmtId="0" fontId="156" fillId="0" borderId="1" xfId="0" applyFont="1" applyFill="1" applyBorder="1" applyAlignment="1" applyProtection="1">
      <alignment horizontal="center" vertical="top"/>
      <protection locked="0"/>
    </xf>
    <xf numFmtId="43" fontId="157" fillId="0" borderId="1" xfId="1" applyFont="1" applyBorder="1" applyAlignment="1" applyProtection="1">
      <alignment horizontal="center" vertical="top" wrapText="1"/>
    </xf>
    <xf numFmtId="0" fontId="156" fillId="0" borderId="1" xfId="8" applyFont="1" applyBorder="1" applyAlignment="1" applyProtection="1">
      <alignment horizontal="center" vertical="top" wrapText="1"/>
      <protection locked="0"/>
    </xf>
    <xf numFmtId="2" fontId="156" fillId="0" borderId="1" xfId="8" applyNumberFormat="1" applyFont="1" applyBorder="1" applyAlignment="1" applyProtection="1">
      <alignment horizontal="center" vertical="top" wrapText="1"/>
    </xf>
    <xf numFmtId="0" fontId="157" fillId="0" borderId="1" xfId="0" applyFont="1" applyFill="1" applyBorder="1" applyAlignment="1" applyProtection="1">
      <alignment horizontal="center" vertical="top"/>
      <protection locked="0"/>
    </xf>
    <xf numFmtId="1" fontId="156" fillId="0" borderId="1" xfId="0" applyNumberFormat="1" applyFont="1" applyFill="1" applyBorder="1" applyAlignment="1" applyProtection="1">
      <alignment horizontal="center" vertical="top"/>
      <protection locked="0"/>
    </xf>
    <xf numFmtId="0" fontId="157" fillId="52" borderId="1" xfId="0" applyFont="1" applyFill="1" applyBorder="1" applyAlignment="1" applyProtection="1">
      <alignment horizontal="left" vertical="top" wrapText="1"/>
      <protection locked="0"/>
    </xf>
    <xf numFmtId="0" fontId="156" fillId="0" borderId="0" xfId="0" applyFont="1" applyFill="1" applyAlignment="1" applyProtection="1">
      <alignment horizontal="center" vertical="top"/>
      <protection locked="0"/>
    </xf>
    <xf numFmtId="0" fontId="156" fillId="0" borderId="1" xfId="0" applyFont="1" applyBorder="1" applyAlignment="1" applyProtection="1">
      <alignment horizontal="center" vertical="top"/>
      <protection locked="0"/>
    </xf>
    <xf numFmtId="0" fontId="160" fillId="52" borderId="1" xfId="0" applyFont="1" applyFill="1" applyBorder="1" applyAlignment="1" applyProtection="1">
      <alignment horizontal="left" vertical="top" wrapText="1"/>
      <protection locked="0"/>
    </xf>
    <xf numFmtId="0" fontId="158" fillId="0" borderId="1" xfId="8" applyFont="1" applyBorder="1" applyAlignment="1" applyProtection="1">
      <alignment horizontal="center" vertical="top" wrapText="1"/>
      <protection locked="0"/>
    </xf>
    <xf numFmtId="2" fontId="158" fillId="0" borderId="1" xfId="8" applyNumberFormat="1" applyFont="1" applyBorder="1" applyAlignment="1" applyProtection="1">
      <alignment horizontal="center" vertical="top" wrapText="1"/>
    </xf>
    <xf numFmtId="0" fontId="158" fillId="0" borderId="1" xfId="8" applyFont="1" applyBorder="1" applyAlignment="1" applyProtection="1">
      <alignment horizontal="left" vertical="top" wrapText="1"/>
      <protection locked="0"/>
    </xf>
    <xf numFmtId="0" fontId="162" fillId="0" borderId="1" xfId="8" applyFont="1" applyFill="1" applyBorder="1" applyAlignment="1" applyProtection="1">
      <alignment horizontal="center" vertical="top" wrapText="1"/>
      <protection locked="0"/>
    </xf>
    <xf numFmtId="0" fontId="157" fillId="0" borderId="1" xfId="8" applyFont="1" applyBorder="1" applyAlignment="1" applyProtection="1">
      <alignment horizontal="center" vertical="top" wrapText="1"/>
      <protection locked="0"/>
    </xf>
    <xf numFmtId="0" fontId="156" fillId="0" borderId="1" xfId="0" applyFont="1" applyBorder="1" applyAlignment="1" applyProtection="1">
      <alignment horizontal="center" vertical="top" wrapText="1"/>
      <protection locked="0"/>
    </xf>
    <xf numFmtId="0" fontId="106" fillId="0" borderId="1" xfId="0" applyFont="1" applyBorder="1" applyAlignment="1">
      <alignment horizontal="left" vertical="top" wrapText="1"/>
    </xf>
    <xf numFmtId="1" fontId="106" fillId="0" borderId="1" xfId="0" applyNumberFormat="1" applyFont="1" applyBorder="1" applyAlignment="1">
      <alignment horizontal="center" vertical="top"/>
    </xf>
    <xf numFmtId="0" fontId="106" fillId="13" borderId="0" xfId="0" applyFont="1" applyFill="1" applyAlignment="1">
      <alignment horizontal="left" vertical="top" wrapText="1"/>
    </xf>
    <xf numFmtId="0" fontId="102" fillId="13" borderId="1" xfId="87" applyFont="1" applyFill="1" applyBorder="1" applyAlignment="1" applyProtection="1">
      <alignment horizontal="left" vertical="center" wrapText="1"/>
      <protection locked="0"/>
    </xf>
    <xf numFmtId="0" fontId="2" fillId="0" borderId="1" xfId="9" applyFont="1" applyBorder="1" applyAlignment="1" applyProtection="1">
      <alignment horizontal="center" vertical="center" wrapText="1"/>
      <protection locked="0"/>
    </xf>
    <xf numFmtId="2" fontId="2" fillId="13" borderId="1" xfId="9" applyNumberFormat="1" applyFont="1" applyFill="1" applyBorder="1" applyAlignment="1" applyProtection="1">
      <alignment vertical="center" wrapText="1"/>
    </xf>
    <xf numFmtId="0" fontId="106" fillId="0" borderId="1" xfId="0" applyFont="1" applyFill="1" applyBorder="1" applyAlignment="1">
      <alignment horizontal="left" vertical="top" wrapText="1"/>
    </xf>
    <xf numFmtId="0" fontId="1" fillId="0" borderId="1" xfId="9" applyFont="1" applyBorder="1" applyAlignment="1" applyProtection="1">
      <alignment horizontal="center" vertical="center" wrapText="1"/>
      <protection locked="0"/>
    </xf>
    <xf numFmtId="0" fontId="134" fillId="13" borderId="1" xfId="0" applyFont="1" applyFill="1" applyBorder="1" applyAlignment="1" applyProtection="1">
      <alignment horizontal="left" vertical="top" wrapText="1"/>
      <protection locked="0"/>
    </xf>
    <xf numFmtId="0" fontId="55" fillId="5" borderId="1" xfId="0" applyFont="1" applyFill="1" applyBorder="1" applyAlignment="1">
      <alignment horizontal="center" vertical="center"/>
    </xf>
    <xf numFmtId="0" fontId="55" fillId="23" borderId="1" xfId="0" applyFont="1" applyFill="1" applyBorder="1" applyAlignment="1">
      <alignment horizontal="center" vertical="center"/>
    </xf>
    <xf numFmtId="0" fontId="69" fillId="15" borderId="5" xfId="0" applyFont="1" applyFill="1" applyBorder="1" applyAlignment="1">
      <alignment horizontal="center" vertical="center"/>
    </xf>
    <xf numFmtId="0" fontId="69" fillId="15" borderId="2" xfId="0" applyFont="1" applyFill="1" applyBorder="1" applyAlignment="1">
      <alignment horizontal="center" vertical="center"/>
    </xf>
    <xf numFmtId="0" fontId="55" fillId="10" borderId="5" xfId="0" applyFont="1" applyFill="1" applyBorder="1" applyAlignment="1">
      <alignment horizontal="left" vertical="center" wrapText="1"/>
    </xf>
    <xf numFmtId="0" fontId="55" fillId="10" borderId="6" xfId="0" applyFont="1" applyFill="1" applyBorder="1" applyAlignment="1">
      <alignment horizontal="left" vertical="center" wrapText="1"/>
    </xf>
    <xf numFmtId="0" fontId="55" fillId="10" borderId="2" xfId="0" applyFont="1" applyFill="1" applyBorder="1" applyAlignment="1">
      <alignment horizontal="left" vertical="center" wrapText="1"/>
    </xf>
    <xf numFmtId="0" fontId="55" fillId="12" borderId="1" xfId="0" applyFont="1" applyFill="1" applyBorder="1" applyAlignment="1">
      <alignment horizontal="left" vertical="center"/>
    </xf>
    <xf numFmtId="0" fontId="55" fillId="0" borderId="1" xfId="0" applyFont="1" applyFill="1" applyBorder="1" applyAlignment="1">
      <alignment horizontal="center" vertical="center"/>
    </xf>
    <xf numFmtId="0" fontId="55" fillId="0" borderId="1" xfId="0" applyFont="1" applyBorder="1" applyAlignment="1">
      <alignment horizontal="center" vertical="center" wrapText="1"/>
    </xf>
    <xf numFmtId="0" fontId="89" fillId="34" borderId="1" xfId="0" applyFont="1" applyFill="1" applyBorder="1" applyAlignment="1">
      <alignment horizontal="center" vertical="center" wrapText="1" readingOrder="1"/>
    </xf>
    <xf numFmtId="0" fontId="55" fillId="34" borderId="1" xfId="0" applyFont="1" applyFill="1" applyBorder="1" applyAlignment="1">
      <alignment horizontal="left" vertical="center"/>
    </xf>
    <xf numFmtId="0" fontId="55" fillId="0" borderId="1" xfId="0" applyFont="1" applyBorder="1" applyAlignment="1">
      <alignment horizontal="left"/>
    </xf>
    <xf numFmtId="0" fontId="55" fillId="0" borderId="1" xfId="0" applyFont="1" applyBorder="1" applyAlignment="1">
      <alignment horizontal="left" vertical="center" wrapText="1"/>
    </xf>
    <xf numFmtId="0" fontId="133" fillId="56" borderId="1" xfId="112" applyFont="1" applyFill="1" applyBorder="1" applyAlignment="1" applyProtection="1">
      <alignment horizontal="center" vertical="center"/>
    </xf>
    <xf numFmtId="0" fontId="91" fillId="0" borderId="1" xfId="112" applyFont="1" applyBorder="1" applyAlignment="1" applyProtection="1">
      <alignment horizontal="center" vertical="center" wrapText="1"/>
    </xf>
    <xf numFmtId="0" fontId="26" fillId="0" borderId="1" xfId="112" applyFont="1" applyBorder="1" applyAlignment="1" applyProtection="1">
      <alignment horizontal="left" vertical="center" wrapText="1"/>
    </xf>
    <xf numFmtId="0" fontId="26" fillId="0" borderId="1" xfId="112" applyFont="1" applyBorder="1" applyAlignment="1" applyProtection="1">
      <alignment horizontal="left" vertical="center"/>
    </xf>
    <xf numFmtId="0" fontId="91" fillId="0" borderId="1" xfId="112" applyFont="1" applyBorder="1" applyAlignment="1" applyProtection="1">
      <alignment vertical="center" wrapText="1"/>
    </xf>
    <xf numFmtId="0" fontId="72" fillId="13" borderId="1" xfId="112" applyFont="1" applyFill="1" applyBorder="1" applyAlignment="1" applyProtection="1">
      <alignment horizontal="center" vertical="center"/>
    </xf>
    <xf numFmtId="0" fontId="26" fillId="13" borderId="1" xfId="112" applyFont="1" applyFill="1" applyBorder="1" applyAlignment="1" applyProtection="1">
      <alignment horizontal="center" vertical="center"/>
    </xf>
    <xf numFmtId="0" fontId="26" fillId="0" borderId="5" xfId="112" applyFont="1" applyBorder="1" applyAlignment="1" applyProtection="1">
      <alignment horizontal="left" vertical="center" wrapText="1"/>
    </xf>
    <xf numFmtId="0" fontId="26" fillId="0" borderId="2" xfId="112" applyFont="1" applyBorder="1" applyAlignment="1" applyProtection="1">
      <alignment horizontal="left" vertical="center" wrapText="1"/>
    </xf>
    <xf numFmtId="0" fontId="75" fillId="0" borderId="1" xfId="112" applyFont="1" applyBorder="1" applyAlignment="1" applyProtection="1">
      <alignment horizontal="center" vertical="center" wrapText="1"/>
    </xf>
    <xf numFmtId="0" fontId="72" fillId="13" borderId="1" xfId="112" applyFont="1" applyFill="1" applyBorder="1" applyAlignment="1" applyProtection="1">
      <alignment horizontal="center" vertical="center" wrapText="1"/>
    </xf>
    <xf numFmtId="0" fontId="133" fillId="56" borderId="1" xfId="112" applyFont="1" applyFill="1" applyBorder="1" applyAlignment="1" applyProtection="1">
      <alignment horizontal="left" vertical="center"/>
    </xf>
    <xf numFmtId="0" fontId="75" fillId="0" borderId="1" xfId="112" applyFont="1" applyBorder="1" applyAlignment="1" applyProtection="1">
      <alignment vertical="center" wrapText="1"/>
    </xf>
    <xf numFmtId="0" fontId="75" fillId="0" borderId="1" xfId="112" applyFont="1" applyBorder="1" applyAlignment="1" applyProtection="1">
      <alignment horizontal="center" vertical="center" wrapText="1"/>
      <protection locked="0"/>
    </xf>
    <xf numFmtId="0" fontId="77" fillId="13" borderId="1" xfId="112" applyFont="1" applyFill="1" applyBorder="1" applyAlignment="1" applyProtection="1">
      <alignment horizontal="center" vertical="center" wrapText="1"/>
    </xf>
    <xf numFmtId="0" fontId="75" fillId="0" borderId="1" xfId="112" applyFont="1" applyBorder="1" applyAlignment="1" applyProtection="1">
      <alignment horizontal="left" vertical="center" wrapText="1"/>
    </xf>
    <xf numFmtId="0" fontId="75" fillId="0" borderId="1" xfId="113" applyFont="1" applyBorder="1" applyAlignment="1" applyProtection="1">
      <alignment horizontal="center" vertical="center"/>
    </xf>
    <xf numFmtId="0" fontId="26" fillId="0" borderId="1" xfId="112" applyFont="1" applyBorder="1" applyAlignment="1" applyProtection="1">
      <alignment horizontal="center" vertical="center" wrapText="1"/>
    </xf>
    <xf numFmtId="0" fontId="75" fillId="11" borderId="13" xfId="112" applyFont="1" applyFill="1" applyBorder="1" applyAlignment="1" applyProtection="1">
      <alignment horizontal="center" vertical="center" wrapText="1"/>
    </xf>
    <xf numFmtId="0" fontId="75" fillId="11" borderId="14" xfId="112" applyFont="1" applyFill="1" applyBorder="1" applyAlignment="1" applyProtection="1">
      <alignment horizontal="center" vertical="center" wrapText="1"/>
    </xf>
    <xf numFmtId="0" fontId="75" fillId="11" borderId="3" xfId="112" applyFont="1" applyFill="1" applyBorder="1" applyAlignment="1" applyProtection="1">
      <alignment horizontal="center" vertical="center" wrapText="1"/>
    </xf>
    <xf numFmtId="0" fontId="75" fillId="0" borderId="1" xfId="0" applyFont="1" applyBorder="1" applyAlignment="1" applyProtection="1">
      <alignment horizontal="center" vertical="center"/>
    </xf>
    <xf numFmtId="0" fontId="26" fillId="0" borderId="13" xfId="112" applyFont="1" applyBorder="1" applyAlignment="1" applyProtection="1">
      <alignment horizontal="left" vertical="center" wrapText="1"/>
      <protection locked="0"/>
    </xf>
    <xf numFmtId="0" fontId="26" fillId="0" borderId="14" xfId="112" applyFont="1" applyBorder="1" applyAlignment="1" applyProtection="1">
      <alignment horizontal="left" vertical="center" wrapText="1"/>
      <protection locked="0"/>
    </xf>
    <xf numFmtId="0" fontId="26" fillId="0" borderId="3" xfId="112" applyFont="1" applyBorder="1" applyAlignment="1" applyProtection="1">
      <alignment horizontal="left" vertical="center" wrapText="1"/>
      <protection locked="0"/>
    </xf>
    <xf numFmtId="0" fontId="75" fillId="11" borderId="13" xfId="112" applyFont="1" applyFill="1" applyBorder="1" applyAlignment="1" applyProtection="1">
      <alignment horizontal="center" vertical="center"/>
    </xf>
    <xf numFmtId="0" fontId="75" fillId="11" borderId="14" xfId="112" applyFont="1" applyFill="1" applyBorder="1" applyAlignment="1" applyProtection="1">
      <alignment horizontal="center" vertical="center"/>
    </xf>
    <xf numFmtId="0" fontId="75" fillId="11" borderId="3" xfId="112" applyFont="1" applyFill="1" applyBorder="1" applyAlignment="1" applyProtection="1">
      <alignment horizontal="center" vertical="center"/>
    </xf>
    <xf numFmtId="0" fontId="96" fillId="0" borderId="1" xfId="112" applyFont="1" applyBorder="1" applyAlignment="1" applyProtection="1">
      <alignment horizontal="center" vertical="center"/>
    </xf>
    <xf numFmtId="0" fontId="91" fillId="0" borderId="1" xfId="112" applyFont="1" applyBorder="1" applyAlignment="1" applyProtection="1">
      <alignment horizontal="left" vertical="center" wrapText="1"/>
    </xf>
    <xf numFmtId="0" fontId="75" fillId="0" borderId="1" xfId="113" applyFont="1" applyBorder="1" applyAlignment="1" applyProtection="1">
      <alignment horizontal="center" vertical="center" wrapText="1"/>
    </xf>
    <xf numFmtId="0" fontId="91" fillId="0" borderId="1" xfId="112" applyFont="1" applyBorder="1" applyAlignment="1" applyProtection="1">
      <alignment horizontal="center" vertical="center" wrapText="1"/>
      <protection locked="0"/>
    </xf>
    <xf numFmtId="0" fontId="91" fillId="13" borderId="1" xfId="112" applyFont="1" applyFill="1" applyBorder="1" applyAlignment="1" applyProtection="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3" xfId="0" applyFont="1" applyBorder="1" applyAlignment="1">
      <alignment horizontal="center" vertical="center" wrapText="1"/>
    </xf>
    <xf numFmtId="0" fontId="75" fillId="0" borderId="1" xfId="113" applyFont="1" applyBorder="1" applyAlignment="1" applyProtection="1">
      <alignment horizontal="left" vertical="center"/>
    </xf>
    <xf numFmtId="0" fontId="91" fillId="0" borderId="1" xfId="113" applyFont="1" applyBorder="1" applyAlignment="1" applyProtection="1">
      <alignment vertical="center" wrapText="1"/>
    </xf>
    <xf numFmtId="0" fontId="91" fillId="0" borderId="1" xfId="114" applyFont="1" applyBorder="1" applyAlignment="1" applyProtection="1">
      <alignment horizontal="left" vertical="center" wrapText="1"/>
    </xf>
    <xf numFmtId="10" fontId="75" fillId="0" borderId="1" xfId="113" applyNumberFormat="1" applyFont="1" applyBorder="1" applyAlignment="1" applyProtection="1">
      <alignment horizontal="center" vertical="center"/>
    </xf>
    <xf numFmtId="43" fontId="77" fillId="0" borderId="1" xfId="1" applyFont="1" applyBorder="1" applyAlignment="1">
      <alignment horizontal="left" vertical="center" wrapText="1"/>
    </xf>
    <xf numFmtId="0" fontId="77" fillId="0" borderId="13" xfId="0" applyFont="1" applyBorder="1" applyAlignment="1">
      <alignment horizontal="left" vertical="center" wrapText="1"/>
    </xf>
    <xf numFmtId="0" fontId="77" fillId="0" borderId="3" xfId="0" applyFont="1" applyBorder="1" applyAlignment="1">
      <alignment horizontal="left" vertical="center" wrapText="1"/>
    </xf>
    <xf numFmtId="43" fontId="89" fillId="0" borderId="1" xfId="1" applyFont="1" applyBorder="1" applyAlignment="1">
      <alignment horizontal="left" vertical="center" wrapText="1" readingOrder="1"/>
    </xf>
    <xf numFmtId="0" fontId="88" fillId="0" borderId="1" xfId="0" applyFont="1" applyBorder="1" applyAlignment="1">
      <alignment horizontal="left" vertical="center" wrapText="1"/>
    </xf>
    <xf numFmtId="43" fontId="89" fillId="0" borderId="1" xfId="1" applyFont="1" applyBorder="1" applyAlignment="1">
      <alignment horizontal="center" vertical="center" wrapText="1" readingOrder="1"/>
    </xf>
    <xf numFmtId="43" fontId="89" fillId="33" borderId="1" xfId="1" applyFont="1" applyFill="1" applyBorder="1" applyAlignment="1">
      <alignment horizontal="center" vertical="center" wrapText="1" readingOrder="1"/>
    </xf>
    <xf numFmtId="43" fontId="89" fillId="34" borderId="1" xfId="1" applyFont="1" applyFill="1" applyBorder="1" applyAlignment="1">
      <alignment horizontal="center" vertical="center" wrapText="1" readingOrder="1"/>
    </xf>
    <xf numFmtId="0" fontId="88" fillId="0" borderId="5" xfId="0" applyFont="1" applyBorder="1" applyAlignment="1">
      <alignment horizontal="left" vertical="center" wrapText="1"/>
    </xf>
    <xf numFmtId="0" fontId="88" fillId="0" borderId="2" xfId="0" applyFont="1" applyBorder="1" applyAlignment="1">
      <alignment horizontal="left" vertical="center" wrapText="1"/>
    </xf>
    <xf numFmtId="43" fontId="89" fillId="33" borderId="10" xfId="1" applyFont="1" applyFill="1" applyBorder="1" applyAlignment="1">
      <alignment horizontal="center" vertical="center" wrapText="1" readingOrder="1"/>
    </xf>
    <xf numFmtId="43" fontId="89" fillId="33" borderId="11" xfId="1" applyFont="1" applyFill="1" applyBorder="1" applyAlignment="1">
      <alignment horizontal="center" vertical="center" wrapText="1" readingOrder="1"/>
    </xf>
    <xf numFmtId="43" fontId="89" fillId="33" borderId="8" xfId="1" applyFont="1" applyFill="1" applyBorder="1" applyAlignment="1">
      <alignment horizontal="center" vertical="center" wrapText="1" readingOrder="1"/>
    </xf>
    <xf numFmtId="43" fontId="89" fillId="33" borderId="7" xfId="1" applyFont="1" applyFill="1" applyBorder="1" applyAlignment="1">
      <alignment horizontal="center" vertical="center" wrapText="1" readingOrder="1"/>
    </xf>
    <xf numFmtId="43" fontId="89" fillId="33" borderId="9" xfId="1" applyFont="1" applyFill="1" applyBorder="1" applyAlignment="1">
      <alignment horizontal="center" vertical="center" wrapText="1" readingOrder="1"/>
    </xf>
    <xf numFmtId="43" fontId="89" fillId="33" borderId="12" xfId="1" applyFont="1" applyFill="1" applyBorder="1" applyAlignment="1">
      <alignment horizontal="center" vertical="center" wrapText="1" readingOrder="1"/>
    </xf>
    <xf numFmtId="43" fontId="89" fillId="0" borderId="1" xfId="1" applyFont="1" applyBorder="1" applyAlignment="1">
      <alignment horizontal="left" vertical="center" wrapText="1"/>
    </xf>
    <xf numFmtId="2" fontId="52" fillId="5" borderId="5" xfId="4" applyNumberFormat="1" applyFont="1" applyFill="1" applyBorder="1" applyAlignment="1" applyProtection="1">
      <alignment horizontal="center" vertical="center" wrapText="1"/>
    </xf>
    <xf numFmtId="2" fontId="52" fillId="5" borderId="2" xfId="4" applyNumberFormat="1" applyFont="1" applyFill="1" applyBorder="1" applyAlignment="1" applyProtection="1">
      <alignment horizontal="center" vertical="center" wrapText="1"/>
    </xf>
    <xf numFmtId="0" fontId="56" fillId="0" borderId="4" xfId="0" applyFont="1" applyBorder="1" applyAlignment="1" applyProtection="1">
      <alignment horizontal="left" vertical="center" wrapText="1"/>
    </xf>
    <xf numFmtId="0" fontId="52" fillId="5" borderId="1" xfId="0" applyFont="1" applyFill="1" applyBorder="1" applyAlignment="1" applyProtection="1">
      <alignment horizontal="center" vertical="center"/>
    </xf>
    <xf numFmtId="0" fontId="52" fillId="0" borderId="1" xfId="0" applyFont="1" applyBorder="1" applyAlignment="1" applyProtection="1">
      <alignment horizontal="center" vertical="center" wrapText="1"/>
    </xf>
    <xf numFmtId="0" fontId="52" fillId="0" borderId="3" xfId="0" applyFont="1" applyBorder="1" applyAlignment="1" applyProtection="1">
      <alignment horizontal="center" vertical="center" wrapText="1"/>
    </xf>
    <xf numFmtId="2" fontId="52" fillId="5" borderId="1" xfId="0" applyNumberFormat="1" applyFont="1" applyFill="1" applyBorder="1" applyAlignment="1" applyProtection="1">
      <alignment horizontal="center" vertical="center" wrapText="1"/>
    </xf>
    <xf numFmtId="0" fontId="52" fillId="5" borderId="10" xfId="0" applyFont="1" applyFill="1" applyBorder="1" applyAlignment="1" applyProtection="1">
      <alignment horizontal="center" vertical="center" wrapText="1"/>
    </xf>
    <xf numFmtId="0" fontId="52" fillId="5" borderId="11" xfId="0" applyFont="1" applyFill="1" applyBorder="1" applyAlignment="1" applyProtection="1">
      <alignment horizontal="center" vertical="center" wrapText="1"/>
    </xf>
    <xf numFmtId="0" fontId="52" fillId="5" borderId="8" xfId="0" applyFont="1" applyFill="1" applyBorder="1" applyAlignment="1" applyProtection="1">
      <alignment horizontal="center" vertical="center" wrapText="1"/>
    </xf>
    <xf numFmtId="0" fontId="52" fillId="5" borderId="7" xfId="0" applyFont="1" applyFill="1" applyBorder="1" applyAlignment="1" applyProtection="1">
      <alignment horizontal="center" vertical="center" wrapText="1"/>
    </xf>
    <xf numFmtId="0" fontId="52" fillId="5" borderId="9" xfId="0" applyFont="1" applyFill="1" applyBorder="1" applyAlignment="1" applyProtection="1">
      <alignment horizontal="center" vertical="center" wrapText="1"/>
    </xf>
    <xf numFmtId="0" fontId="53" fillId="0" borderId="4" xfId="0" applyFont="1" applyBorder="1" applyAlignment="1" applyProtection="1">
      <alignment horizontal="center" wrapText="1"/>
    </xf>
    <xf numFmtId="0" fontId="70" fillId="16" borderId="0" xfId="0" applyFont="1" applyFill="1" applyAlignment="1" applyProtection="1">
      <alignment horizontal="left" vertical="center" wrapText="1"/>
    </xf>
    <xf numFmtId="0" fontId="76" fillId="8" borderId="13" xfId="3" applyFont="1" applyFill="1" applyBorder="1" applyAlignment="1" applyProtection="1">
      <alignment horizontal="center" vertical="center"/>
    </xf>
    <xf numFmtId="0" fontId="76" fillId="8" borderId="14" xfId="3" applyFont="1" applyFill="1" applyBorder="1" applyAlignment="1" applyProtection="1">
      <alignment horizontal="center" vertical="center"/>
    </xf>
    <xf numFmtId="0" fontId="76" fillId="8" borderId="3" xfId="3" applyFont="1" applyFill="1" applyBorder="1" applyAlignment="1" applyProtection="1">
      <alignment horizontal="center" vertical="center"/>
    </xf>
    <xf numFmtId="0" fontId="70" fillId="9" borderId="13" xfId="38" applyFont="1" applyFill="1" applyBorder="1" applyAlignment="1" applyProtection="1">
      <alignment horizontal="center" vertical="center" wrapText="1"/>
    </xf>
    <xf numFmtId="0" fontId="70" fillId="9" borderId="3" xfId="38" applyFont="1" applyFill="1" applyBorder="1" applyAlignment="1" applyProtection="1">
      <alignment horizontal="center" vertical="center" wrapText="1"/>
    </xf>
    <xf numFmtId="0" fontId="59" fillId="34" borderId="5" xfId="3" applyFill="1" applyBorder="1" applyAlignment="1" applyProtection="1">
      <alignment horizontal="center" vertical="center" wrapText="1"/>
    </xf>
    <xf numFmtId="0" fontId="59" fillId="34" borderId="2" xfId="3" applyFill="1" applyBorder="1" applyAlignment="1" applyProtection="1">
      <alignment horizontal="center" vertical="center" wrapText="1"/>
    </xf>
    <xf numFmtId="0" fontId="64" fillId="9" borderId="13" xfId="38" applyFont="1" applyFill="1" applyBorder="1" applyAlignment="1" applyProtection="1">
      <alignment horizontal="center" vertical="center" wrapText="1"/>
    </xf>
    <xf numFmtId="0" fontId="64" fillId="9" borderId="3" xfId="38" applyFont="1" applyFill="1" applyBorder="1" applyAlignment="1" applyProtection="1">
      <alignment horizontal="center" vertical="center" wrapText="1"/>
    </xf>
    <xf numFmtId="0" fontId="72" fillId="28" borderId="1" xfId="8" applyFont="1" applyFill="1" applyBorder="1" applyAlignment="1" applyProtection="1">
      <alignment horizontal="center" vertical="center"/>
    </xf>
    <xf numFmtId="0" fontId="80" fillId="16" borderId="1" xfId="0" applyFont="1" applyFill="1" applyBorder="1" applyAlignment="1" applyProtection="1">
      <alignment horizontal="left" vertical="center" wrapText="1"/>
    </xf>
    <xf numFmtId="0" fontId="70" fillId="17" borderId="3" xfId="0" applyFont="1" applyFill="1" applyBorder="1" applyAlignment="1" applyProtection="1">
      <alignment horizontal="center" vertical="center" wrapText="1"/>
    </xf>
    <xf numFmtId="0" fontId="70" fillId="17" borderId="1" xfId="38" applyFont="1" applyFill="1" applyBorder="1" applyAlignment="1" applyProtection="1">
      <alignment horizontal="center" vertical="center" wrapText="1"/>
    </xf>
    <xf numFmtId="0" fontId="77" fillId="29" borderId="1" xfId="0" applyFont="1" applyFill="1" applyBorder="1" applyAlignment="1" applyProtection="1">
      <alignment horizontal="center" vertical="center" wrapText="1"/>
    </xf>
    <xf numFmtId="0" fontId="85" fillId="35" borderId="1" xfId="0" applyFont="1" applyFill="1" applyBorder="1" applyAlignment="1" applyProtection="1">
      <alignment horizontal="center" vertical="center" wrapText="1"/>
    </xf>
    <xf numFmtId="0" fontId="70" fillId="17" borderId="3" xfId="38" applyFont="1" applyFill="1" applyBorder="1" applyAlignment="1" applyProtection="1">
      <alignment horizontal="center" vertical="center" wrapText="1"/>
    </xf>
    <xf numFmtId="0" fontId="72" fillId="10" borderId="5" xfId="0" applyFont="1" applyFill="1" applyBorder="1" applyAlignment="1" applyProtection="1">
      <alignment horizontal="center" vertical="center" wrapText="1"/>
    </xf>
    <xf numFmtId="0" fontId="72" fillId="10" borderId="6" xfId="0" applyFont="1" applyFill="1" applyBorder="1" applyAlignment="1" applyProtection="1">
      <alignment horizontal="center" vertical="center" wrapText="1"/>
    </xf>
    <xf numFmtId="0" fontId="72" fillId="10" borderId="2" xfId="0" applyFont="1" applyFill="1" applyBorder="1" applyAlignment="1" applyProtection="1">
      <alignment horizontal="center" vertical="center" wrapText="1"/>
    </xf>
    <xf numFmtId="0" fontId="77" fillId="30" borderId="5" xfId="0" applyFont="1" applyFill="1" applyBorder="1" applyAlignment="1" applyProtection="1">
      <alignment horizontal="center" vertical="center" wrapText="1"/>
    </xf>
    <xf numFmtId="0" fontId="77" fillId="30" borderId="6" xfId="0" applyFont="1" applyFill="1" applyBorder="1" applyAlignment="1" applyProtection="1">
      <alignment horizontal="center" vertical="center" wrapText="1"/>
    </xf>
    <xf numFmtId="0" fontId="77" fillId="30" borderId="2" xfId="0" applyFont="1" applyFill="1" applyBorder="1" applyAlignment="1" applyProtection="1">
      <alignment horizontal="center" vertical="center" wrapText="1"/>
    </xf>
    <xf numFmtId="0" fontId="113" fillId="44" borderId="1" xfId="0" applyFont="1" applyFill="1" applyBorder="1" applyAlignment="1" applyProtection="1">
      <alignment horizontal="center" vertical="center" wrapText="1"/>
    </xf>
    <xf numFmtId="0" fontId="101" fillId="30" borderId="5" xfId="0" applyFont="1" applyFill="1" applyBorder="1" applyAlignment="1" applyProtection="1">
      <alignment horizontal="center" vertical="center" wrapText="1"/>
    </xf>
    <xf numFmtId="0" fontId="101" fillId="30" borderId="6" xfId="0" applyFont="1" applyFill="1" applyBorder="1" applyAlignment="1" applyProtection="1">
      <alignment horizontal="center" vertical="center" wrapText="1"/>
    </xf>
    <xf numFmtId="0" fontId="101" fillId="30" borderId="2" xfId="0" applyFont="1" applyFill="1" applyBorder="1" applyAlignment="1" applyProtection="1">
      <alignment horizontal="center" vertical="center" wrapText="1"/>
    </xf>
    <xf numFmtId="0" fontId="110" fillId="10" borderId="5" xfId="0" applyFont="1" applyFill="1" applyBorder="1" applyAlignment="1" applyProtection="1">
      <alignment horizontal="center" vertical="center" wrapText="1"/>
    </xf>
    <xf numFmtId="0" fontId="110" fillId="10" borderId="6" xfId="0" applyFont="1" applyFill="1" applyBorder="1" applyAlignment="1" applyProtection="1">
      <alignment horizontal="center" vertical="center" wrapText="1"/>
    </xf>
    <xf numFmtId="0" fontId="110" fillId="10" borderId="2" xfId="0" applyFont="1" applyFill="1" applyBorder="1" applyAlignment="1" applyProtection="1">
      <alignment horizontal="center" vertical="center" wrapText="1"/>
    </xf>
    <xf numFmtId="0" fontId="110" fillId="28" borderId="9" xfId="8" applyFont="1" applyFill="1" applyBorder="1" applyAlignment="1" applyProtection="1">
      <alignment horizontal="center" vertical="center"/>
    </xf>
    <xf numFmtId="0" fontId="110" fillId="28" borderId="4" xfId="8" applyFont="1" applyFill="1" applyBorder="1" applyAlignment="1" applyProtection="1">
      <alignment horizontal="center" vertical="center"/>
    </xf>
    <xf numFmtId="0" fontId="108" fillId="16" borderId="1" xfId="8" applyFont="1" applyFill="1" applyBorder="1" applyAlignment="1" applyProtection="1">
      <alignment horizontal="left" vertical="center" wrapText="1"/>
    </xf>
    <xf numFmtId="0" fontId="108" fillId="17" borderId="1" xfId="0" applyFont="1" applyFill="1" applyBorder="1" applyAlignment="1" applyProtection="1">
      <alignment horizontal="center" vertical="center" wrapText="1"/>
    </xf>
    <xf numFmtId="0" fontId="108" fillId="17" borderId="1" xfId="38" applyFont="1" applyFill="1" applyBorder="1" applyAlignment="1" applyProtection="1">
      <alignment horizontal="center" vertical="center" wrapText="1"/>
    </xf>
    <xf numFmtId="0" fontId="109" fillId="35" borderId="1" xfId="0" applyFont="1" applyFill="1" applyBorder="1" applyAlignment="1" applyProtection="1">
      <alignment horizontal="center" vertical="center" wrapText="1"/>
    </xf>
    <xf numFmtId="0" fontId="101" fillId="29" borderId="1" xfId="0" applyFont="1" applyFill="1" applyBorder="1" applyAlignment="1" applyProtection="1">
      <alignment horizontal="center" vertical="center" wrapText="1"/>
    </xf>
    <xf numFmtId="0" fontId="111" fillId="8" borderId="13" xfId="3" applyFont="1" applyFill="1" applyBorder="1" applyAlignment="1" applyProtection="1">
      <alignment horizontal="center" vertical="center"/>
    </xf>
    <xf numFmtId="0" fontId="111" fillId="8" borderId="14" xfId="3" applyFont="1" applyFill="1" applyBorder="1" applyAlignment="1" applyProtection="1">
      <alignment horizontal="center" vertical="center"/>
    </xf>
    <xf numFmtId="0" fontId="111" fillId="8" borderId="3" xfId="3" applyFont="1" applyFill="1" applyBorder="1" applyAlignment="1" applyProtection="1">
      <alignment horizontal="center" vertical="center"/>
    </xf>
    <xf numFmtId="0" fontId="108" fillId="17" borderId="9" xfId="0" applyFont="1" applyFill="1" applyBorder="1" applyAlignment="1" applyProtection="1">
      <alignment horizontal="center" vertical="center" wrapText="1"/>
    </xf>
    <xf numFmtId="0" fontId="108" fillId="17" borderId="4" xfId="0" applyFont="1" applyFill="1" applyBorder="1" applyAlignment="1" applyProtection="1">
      <alignment horizontal="center" vertical="center" wrapText="1"/>
    </xf>
    <xf numFmtId="0" fontId="70" fillId="16" borderId="5" xfId="8" applyFont="1" applyFill="1" applyBorder="1" applyAlignment="1" applyProtection="1">
      <alignment horizontal="left" vertical="center"/>
    </xf>
    <xf numFmtId="0" fontId="70" fillId="16" borderId="6" xfId="8" applyFont="1" applyFill="1" applyBorder="1" applyAlignment="1" applyProtection="1">
      <alignment horizontal="left" vertical="center"/>
    </xf>
    <xf numFmtId="0" fontId="70" fillId="16" borderId="2" xfId="8" applyFont="1" applyFill="1" applyBorder="1" applyAlignment="1" applyProtection="1">
      <alignment horizontal="left" vertical="center"/>
    </xf>
    <xf numFmtId="0" fontId="85" fillId="35" borderId="7" xfId="0" applyFont="1" applyFill="1" applyBorder="1" applyAlignment="1" applyProtection="1">
      <alignment horizontal="center" vertical="center"/>
    </xf>
    <xf numFmtId="0" fontId="85" fillId="35" borderId="12" xfId="0" applyFont="1" applyFill="1" applyBorder="1" applyAlignment="1" applyProtection="1">
      <alignment horizontal="center" vertical="center"/>
    </xf>
    <xf numFmtId="0" fontId="77" fillId="29" borderId="5" xfId="0" applyFont="1" applyFill="1" applyBorder="1" applyAlignment="1" applyProtection="1">
      <alignment horizontal="center" vertical="center"/>
    </xf>
    <xf numFmtId="0" fontId="77" fillId="29" borderId="6" xfId="0" applyFont="1" applyFill="1" applyBorder="1" applyAlignment="1" applyProtection="1">
      <alignment horizontal="center" vertical="center"/>
    </xf>
    <xf numFmtId="0" fontId="77" fillId="29" borderId="2" xfId="0" applyFont="1" applyFill="1" applyBorder="1" applyAlignment="1" applyProtection="1">
      <alignment horizontal="center" vertical="center"/>
    </xf>
    <xf numFmtId="0" fontId="70" fillId="17" borderId="1" xfId="38" applyFont="1" applyFill="1" applyBorder="1" applyAlignment="1" applyProtection="1">
      <alignment horizontal="center" vertical="center"/>
    </xf>
    <xf numFmtId="0" fontId="70" fillId="17" borderId="5" xfId="0" applyFont="1" applyFill="1" applyBorder="1" applyAlignment="1" applyProtection="1">
      <alignment horizontal="center" vertical="center"/>
    </xf>
    <xf numFmtId="0" fontId="70" fillId="17" borderId="6" xfId="0" applyFont="1" applyFill="1" applyBorder="1" applyAlignment="1" applyProtection="1">
      <alignment horizontal="center" vertical="center"/>
    </xf>
    <xf numFmtId="0" fontId="70" fillId="17" borderId="2" xfId="0" applyFont="1" applyFill="1" applyBorder="1" applyAlignment="1" applyProtection="1">
      <alignment horizontal="center" vertical="center"/>
    </xf>
    <xf numFmtId="0" fontId="70" fillId="17" borderId="5" xfId="38" applyFont="1" applyFill="1" applyBorder="1" applyAlignment="1" applyProtection="1">
      <alignment horizontal="center" vertical="center"/>
    </xf>
    <xf numFmtId="0" fontId="70" fillId="17" borderId="2" xfId="38" applyFont="1" applyFill="1" applyBorder="1" applyAlignment="1" applyProtection="1">
      <alignment horizontal="center" vertical="center"/>
    </xf>
    <xf numFmtId="0" fontId="77" fillId="30" borderId="5" xfId="0" applyFont="1" applyFill="1" applyBorder="1" applyAlignment="1" applyProtection="1">
      <alignment horizontal="center" vertical="center"/>
    </xf>
    <xf numFmtId="0" fontId="77" fillId="30" borderId="6" xfId="0" applyFont="1" applyFill="1" applyBorder="1" applyAlignment="1" applyProtection="1">
      <alignment horizontal="center" vertical="center"/>
    </xf>
    <xf numFmtId="0" fontId="77" fillId="30" borderId="2" xfId="0" applyFont="1" applyFill="1" applyBorder="1" applyAlignment="1" applyProtection="1">
      <alignment horizontal="center" vertical="center"/>
    </xf>
    <xf numFmtId="0" fontId="72" fillId="10" borderId="9" xfId="0" applyFont="1" applyFill="1" applyBorder="1" applyAlignment="1" applyProtection="1">
      <alignment horizontal="center" vertical="center"/>
    </xf>
    <xf numFmtId="0" fontId="72" fillId="10" borderId="4" xfId="0" applyFont="1" applyFill="1" applyBorder="1" applyAlignment="1" applyProtection="1">
      <alignment horizontal="center" vertical="center"/>
    </xf>
    <xf numFmtId="0" fontId="72" fillId="10" borderId="12" xfId="0" applyFont="1" applyFill="1" applyBorder="1" applyAlignment="1" applyProtection="1">
      <alignment horizontal="center" vertical="center"/>
    </xf>
    <xf numFmtId="0" fontId="72" fillId="28" borderId="5" xfId="8" applyFont="1" applyFill="1" applyBorder="1" applyAlignment="1" applyProtection="1">
      <alignment horizontal="center" vertical="center"/>
    </xf>
    <xf numFmtId="0" fontId="72" fillId="28" borderId="6" xfId="8" applyFont="1" applyFill="1" applyBorder="1" applyAlignment="1" applyProtection="1">
      <alignment horizontal="center" vertical="center"/>
    </xf>
    <xf numFmtId="0" fontId="72" fillId="28" borderId="2" xfId="8" applyFont="1" applyFill="1" applyBorder="1" applyAlignment="1" applyProtection="1">
      <alignment horizontal="center" vertical="center"/>
    </xf>
    <xf numFmtId="0" fontId="70" fillId="17" borderId="1" xfId="0" applyFont="1" applyFill="1" applyBorder="1" applyAlignment="1" applyProtection="1">
      <alignment horizontal="center" vertical="center"/>
    </xf>
    <xf numFmtId="0" fontId="70" fillId="17" borderId="1" xfId="0" applyFont="1" applyFill="1" applyBorder="1" applyAlignment="1" applyProtection="1">
      <alignment horizontal="center" vertical="center" wrapText="1"/>
    </xf>
    <xf numFmtId="0" fontId="70" fillId="17" borderId="5" xfId="0" applyFont="1" applyFill="1" applyBorder="1" applyAlignment="1" applyProtection="1">
      <alignment horizontal="center" vertical="center" wrapText="1"/>
    </xf>
    <xf numFmtId="0" fontId="99" fillId="44" borderId="1" xfId="0" applyFont="1" applyFill="1" applyBorder="1" applyAlignment="1" applyProtection="1">
      <alignment horizontal="center" vertical="center" wrapText="1"/>
    </xf>
    <xf numFmtId="0" fontId="70" fillId="16" borderId="1" xfId="8" applyFont="1" applyFill="1" applyBorder="1" applyAlignment="1" applyProtection="1">
      <alignment horizontal="left" vertical="center" wrapText="1"/>
    </xf>
    <xf numFmtId="0" fontId="77" fillId="28" borderId="1" xfId="4" applyFont="1" applyFill="1" applyBorder="1" applyAlignment="1" applyProtection="1">
      <alignment horizontal="left" vertical="center" wrapText="1"/>
    </xf>
    <xf numFmtId="0" fontId="77" fillId="4" borderId="1" xfId="4" applyFont="1" applyFill="1" applyBorder="1" applyAlignment="1" applyProtection="1">
      <alignment horizontal="left" vertical="center" wrapText="1"/>
    </xf>
    <xf numFmtId="0" fontId="77" fillId="4" borderId="5" xfId="4" applyFont="1" applyFill="1" applyBorder="1" applyAlignment="1" applyProtection="1">
      <alignment horizontal="left" vertical="center" wrapText="1"/>
    </xf>
    <xf numFmtId="0" fontId="77" fillId="4" borderId="6" xfId="4" applyFont="1" applyFill="1" applyBorder="1" applyAlignment="1" applyProtection="1">
      <alignment horizontal="left" vertical="center" wrapText="1"/>
    </xf>
    <xf numFmtId="0" fontId="77" fillId="4" borderId="2" xfId="4" applyFont="1" applyFill="1" applyBorder="1" applyAlignment="1" applyProtection="1">
      <alignment horizontal="left" vertical="center" wrapText="1"/>
    </xf>
    <xf numFmtId="0" fontId="72" fillId="10" borderId="9" xfId="0" applyFont="1" applyFill="1" applyBorder="1" applyAlignment="1" applyProtection="1">
      <alignment horizontal="center" vertical="center" wrapText="1"/>
    </xf>
    <xf numFmtId="0" fontId="72" fillId="10" borderId="4" xfId="0" applyFont="1" applyFill="1" applyBorder="1" applyAlignment="1" applyProtection="1">
      <alignment horizontal="center" vertical="center" wrapText="1"/>
    </xf>
    <xf numFmtId="0" fontId="72" fillId="10" borderId="12" xfId="0" applyFont="1" applyFill="1" applyBorder="1" applyAlignment="1" applyProtection="1">
      <alignment horizontal="center" vertical="center" wrapText="1"/>
    </xf>
    <xf numFmtId="0" fontId="70" fillId="17" borderId="6" xfId="0" applyFont="1" applyFill="1" applyBorder="1" applyAlignment="1" applyProtection="1">
      <alignment horizontal="center" vertical="center" wrapText="1"/>
    </xf>
    <xf numFmtId="0" fontId="70" fillId="17" borderId="2" xfId="0" applyFont="1" applyFill="1" applyBorder="1" applyAlignment="1" applyProtection="1">
      <alignment horizontal="center" vertical="center" wrapText="1"/>
    </xf>
    <xf numFmtId="0" fontId="70" fillId="17" borderId="5" xfId="38" applyFont="1" applyFill="1" applyBorder="1" applyAlignment="1" applyProtection="1">
      <alignment horizontal="center" vertical="center" wrapText="1"/>
    </xf>
    <xf numFmtId="0" fontId="70" fillId="17" borderId="2" xfId="38" applyFont="1" applyFill="1" applyBorder="1" applyAlignment="1" applyProtection="1">
      <alignment horizontal="center" vertical="center" wrapText="1"/>
    </xf>
    <xf numFmtId="0" fontId="70" fillId="16" borderId="9" xfId="48" applyFont="1" applyFill="1" applyBorder="1" applyAlignment="1" applyProtection="1">
      <alignment horizontal="left" vertical="center"/>
    </xf>
    <xf numFmtId="0" fontId="70" fillId="16" borderId="4" xfId="48" applyFont="1" applyFill="1" applyBorder="1" applyAlignment="1" applyProtection="1">
      <alignment horizontal="left" vertical="center"/>
    </xf>
    <xf numFmtId="0" fontId="77" fillId="29" borderId="5" xfId="0" applyFont="1" applyFill="1" applyBorder="1" applyAlignment="1" applyProtection="1">
      <alignment horizontal="center" vertical="center" wrapText="1"/>
    </xf>
    <xf numFmtId="0" fontId="77" fillId="29" borderId="6" xfId="0" applyFont="1" applyFill="1" applyBorder="1" applyAlignment="1" applyProtection="1">
      <alignment horizontal="center" vertical="center" wrapText="1"/>
    </xf>
    <xf numFmtId="0" fontId="77" fillId="29" borderId="2" xfId="0" applyFont="1" applyFill="1" applyBorder="1" applyAlignment="1" applyProtection="1">
      <alignment horizontal="center" vertical="center" wrapText="1"/>
    </xf>
    <xf numFmtId="0" fontId="70" fillId="17" borderId="10" xfId="38" applyFont="1" applyFill="1" applyBorder="1" applyAlignment="1" applyProtection="1">
      <alignment horizontal="center" vertical="center" wrapText="1"/>
    </xf>
    <xf numFmtId="0" fontId="70" fillId="17" borderId="11" xfId="38" applyFont="1" applyFill="1" applyBorder="1" applyAlignment="1" applyProtection="1">
      <alignment horizontal="center" vertical="center" wrapText="1"/>
    </xf>
    <xf numFmtId="0" fontId="70" fillId="16" borderId="1" xfId="8" applyFont="1" applyFill="1" applyBorder="1" applyAlignment="1" applyProtection="1">
      <alignment horizontal="left" vertical="center"/>
    </xf>
    <xf numFmtId="0" fontId="70" fillId="16" borderId="5" xfId="87" applyFont="1" applyFill="1" applyBorder="1" applyAlignment="1" applyProtection="1">
      <alignment horizontal="left" vertical="center" wrapText="1"/>
    </xf>
    <xf numFmtId="0" fontId="70" fillId="16" borderId="6" xfId="87" applyFont="1" applyFill="1" applyBorder="1" applyAlignment="1" applyProtection="1">
      <alignment horizontal="left" vertical="center" wrapText="1"/>
    </xf>
    <xf numFmtId="0" fontId="70" fillId="16" borderId="2" xfId="87" applyFont="1" applyFill="1" applyBorder="1" applyAlignment="1" applyProtection="1">
      <alignment horizontal="left" vertical="center" wrapText="1"/>
    </xf>
    <xf numFmtId="0" fontId="72" fillId="28" borderId="1" xfId="62" applyFont="1" applyFill="1" applyBorder="1" applyAlignment="1" applyProtection="1">
      <alignment horizontal="left" vertical="center"/>
    </xf>
    <xf numFmtId="0" fontId="70" fillId="16" borderId="5" xfId="8" applyFont="1" applyFill="1" applyBorder="1" applyAlignment="1" applyProtection="1">
      <alignment horizontal="left" vertical="center" wrapText="1"/>
    </xf>
    <xf numFmtId="0" fontId="70" fillId="16" borderId="6" xfId="8" applyFont="1" applyFill="1" applyBorder="1" applyAlignment="1" applyProtection="1">
      <alignment horizontal="left" vertical="center" wrapText="1"/>
    </xf>
    <xf numFmtId="0" fontId="70" fillId="16" borderId="2" xfId="8" applyFont="1" applyFill="1" applyBorder="1" applyAlignment="1" applyProtection="1">
      <alignment horizontal="left" vertical="center" wrapText="1"/>
    </xf>
    <xf numFmtId="0" fontId="70" fillId="17" borderId="9" xfId="38" applyFont="1" applyFill="1" applyBorder="1" applyAlignment="1" applyProtection="1">
      <alignment horizontal="center" vertical="center" wrapText="1"/>
    </xf>
    <xf numFmtId="0" fontId="70" fillId="17" borderId="12" xfId="38" applyFont="1" applyFill="1" applyBorder="1" applyAlignment="1" applyProtection="1">
      <alignment horizontal="center" vertical="center" wrapText="1"/>
    </xf>
    <xf numFmtId="43" fontId="43" fillId="0" borderId="13" xfId="1" applyFont="1" applyBorder="1" applyAlignment="1" applyProtection="1">
      <alignment horizontal="center" vertical="top" wrapText="1"/>
      <protection locked="0"/>
    </xf>
    <xf numFmtId="43" fontId="43" fillId="0" borderId="14" xfId="1" applyFont="1" applyBorder="1" applyAlignment="1" applyProtection="1">
      <alignment horizontal="center" vertical="top" wrapText="1"/>
      <protection locked="0"/>
    </xf>
    <xf numFmtId="43" fontId="43" fillId="0" borderId="3" xfId="1" applyFont="1" applyBorder="1" applyAlignment="1" applyProtection="1">
      <alignment horizontal="center" vertical="top" wrapText="1"/>
      <protection locked="0"/>
    </xf>
    <xf numFmtId="43" fontId="75" fillId="0" borderId="13" xfId="1" applyFont="1" applyBorder="1" applyAlignment="1" applyProtection="1">
      <alignment horizontal="center" vertical="top" wrapText="1"/>
      <protection locked="0"/>
    </xf>
    <xf numFmtId="43" fontId="75" fillId="0" borderId="3" xfId="1" applyFont="1" applyBorder="1" applyAlignment="1" applyProtection="1">
      <alignment horizontal="center" vertical="top" wrapText="1"/>
      <protection locked="0"/>
    </xf>
    <xf numFmtId="0" fontId="21" fillId="0" borderId="13" xfId="8" applyFont="1" applyBorder="1" applyAlignment="1" applyProtection="1">
      <alignment horizontal="center" vertical="center" wrapText="1"/>
      <protection locked="0"/>
    </xf>
    <xf numFmtId="0" fontId="21" fillId="0" borderId="14" xfId="8" applyFont="1" applyBorder="1" applyAlignment="1" applyProtection="1">
      <alignment horizontal="center" vertical="center" wrapText="1"/>
      <protection locked="0"/>
    </xf>
    <xf numFmtId="0" fontId="21" fillId="0" borderId="3" xfId="8" applyFont="1" applyBorder="1" applyAlignment="1" applyProtection="1">
      <alignment horizontal="center" vertical="center" wrapText="1"/>
      <protection locked="0"/>
    </xf>
    <xf numFmtId="43" fontId="72" fillId="0" borderId="13" xfId="1" applyFont="1" applyBorder="1" applyAlignment="1" applyProtection="1">
      <alignment horizontal="center" vertical="center" wrapText="1"/>
      <protection locked="0"/>
    </xf>
    <xf numFmtId="43" fontId="72" fillId="0" borderId="14" xfId="1" applyFont="1" applyBorder="1" applyAlignment="1" applyProtection="1">
      <alignment horizontal="center" vertical="center" wrapText="1"/>
      <protection locked="0"/>
    </xf>
    <xf numFmtId="43" fontId="72" fillId="0" borderId="3" xfId="1" applyFont="1" applyBorder="1" applyAlignment="1" applyProtection="1">
      <alignment horizontal="center" vertical="center" wrapText="1"/>
      <protection locked="0"/>
    </xf>
    <xf numFmtId="43" fontId="21" fillId="0" borderId="13" xfId="1" applyNumberFormat="1" applyFont="1" applyBorder="1" applyAlignment="1" applyProtection="1">
      <alignment horizontal="center" vertical="center" wrapText="1"/>
      <protection locked="0"/>
    </xf>
    <xf numFmtId="43" fontId="21" fillId="0" borderId="14" xfId="1" applyNumberFormat="1" applyFont="1" applyBorder="1" applyAlignment="1" applyProtection="1">
      <alignment horizontal="center" vertical="center" wrapText="1"/>
      <protection locked="0"/>
    </xf>
    <xf numFmtId="43" fontId="21" fillId="0" borderId="3" xfId="1" applyNumberFormat="1" applyFont="1" applyBorder="1" applyAlignment="1" applyProtection="1">
      <alignment horizontal="center" vertical="center" wrapText="1"/>
      <protection locked="0"/>
    </xf>
    <xf numFmtId="43" fontId="43" fillId="0" borderId="13" xfId="1" applyFont="1" applyFill="1" applyBorder="1" applyAlignment="1" applyProtection="1">
      <alignment horizontal="center" vertical="top" wrapText="1"/>
      <protection locked="0"/>
    </xf>
    <xf numFmtId="43" fontId="43" fillId="0" borderId="14" xfId="1" applyFont="1" applyFill="1" applyBorder="1" applyAlignment="1" applyProtection="1">
      <alignment horizontal="center" vertical="top" wrapText="1"/>
      <protection locked="0"/>
    </xf>
    <xf numFmtId="43" fontId="43" fillId="0" borderId="3" xfId="1" applyFont="1" applyFill="1" applyBorder="1" applyAlignment="1" applyProtection="1">
      <alignment horizontal="center" vertical="top" wrapText="1"/>
      <protection locked="0"/>
    </xf>
    <xf numFmtId="43" fontId="72" fillId="0" borderId="13" xfId="1" applyFont="1" applyBorder="1" applyAlignment="1" applyProtection="1">
      <alignment horizontal="center" vertical="top" wrapText="1"/>
      <protection locked="0"/>
    </xf>
    <xf numFmtId="43" fontId="72" fillId="0" borderId="14" xfId="1" applyFont="1" applyBorder="1" applyAlignment="1" applyProtection="1">
      <alignment horizontal="center" vertical="top" wrapText="1"/>
      <protection locked="0"/>
    </xf>
    <xf numFmtId="43" fontId="72" fillId="0" borderId="3" xfId="1" applyFont="1" applyBorder="1" applyAlignment="1" applyProtection="1">
      <alignment horizontal="center" vertical="top" wrapText="1"/>
      <protection locked="0"/>
    </xf>
    <xf numFmtId="0" fontId="21" fillId="0" borderId="13" xfId="9" applyFont="1" applyBorder="1" applyAlignment="1" applyProtection="1">
      <alignment horizontal="center" vertical="center" wrapText="1"/>
      <protection locked="0"/>
    </xf>
    <xf numFmtId="0" fontId="21" fillId="0" borderId="14" xfId="9" applyFont="1" applyBorder="1" applyAlignment="1" applyProtection="1">
      <alignment horizontal="center" vertical="center" wrapText="1"/>
      <protection locked="0"/>
    </xf>
    <xf numFmtId="0" fontId="21" fillId="0" borderId="3" xfId="9" applyFont="1" applyBorder="1" applyAlignment="1" applyProtection="1">
      <alignment horizontal="center" vertical="center" wrapText="1"/>
      <protection locked="0"/>
    </xf>
    <xf numFmtId="43" fontId="21" fillId="0" borderId="13" xfId="1" applyFont="1" applyBorder="1" applyAlignment="1" applyProtection="1">
      <alignment horizontal="center" vertical="center" wrapText="1"/>
      <protection locked="0"/>
    </xf>
    <xf numFmtId="43" fontId="21" fillId="0" borderId="14" xfId="1" applyFont="1" applyBorder="1" applyAlignment="1" applyProtection="1">
      <alignment horizontal="center" vertical="center" wrapText="1"/>
      <protection locked="0"/>
    </xf>
    <xf numFmtId="43" fontId="21" fillId="0" borderId="3" xfId="1" applyFont="1" applyBorder="1" applyAlignment="1" applyProtection="1">
      <alignment horizontal="center" vertical="center" wrapText="1"/>
      <protection locked="0"/>
    </xf>
    <xf numFmtId="0" fontId="3" fillId="0" borderId="13" xfId="9" applyFont="1" applyBorder="1" applyAlignment="1" applyProtection="1">
      <alignment horizontal="center" vertical="center" wrapText="1"/>
      <protection locked="0"/>
    </xf>
    <xf numFmtId="43" fontId="72" fillId="0" borderId="13" xfId="1" applyNumberFormat="1" applyFont="1" applyBorder="1" applyAlignment="1" applyProtection="1">
      <alignment horizontal="center" vertical="center" wrapText="1"/>
      <protection locked="0"/>
    </xf>
    <xf numFmtId="43" fontId="72" fillId="0" borderId="14" xfId="1" applyNumberFormat="1" applyFont="1" applyBorder="1" applyAlignment="1" applyProtection="1">
      <alignment horizontal="center" vertical="center" wrapText="1"/>
      <protection locked="0"/>
    </xf>
    <xf numFmtId="43" fontId="72" fillId="0" borderId="3" xfId="1" applyNumberFormat="1" applyFont="1" applyBorder="1" applyAlignment="1" applyProtection="1">
      <alignment horizontal="center" vertical="center" wrapText="1"/>
      <protection locked="0"/>
    </xf>
    <xf numFmtId="0" fontId="2" fillId="0" borderId="13" xfId="9" applyFont="1" applyBorder="1" applyAlignment="1" applyProtection="1">
      <alignment horizontal="center" vertical="center" wrapText="1"/>
      <protection locked="0"/>
    </xf>
    <xf numFmtId="0" fontId="75" fillId="0" borderId="13" xfId="9" applyFont="1" applyBorder="1" applyAlignment="1" applyProtection="1">
      <alignment horizontal="center" vertical="center" wrapText="1"/>
      <protection locked="0"/>
    </xf>
    <xf numFmtId="0" fontId="75" fillId="0" borderId="3" xfId="9" applyFont="1" applyBorder="1" applyAlignment="1" applyProtection="1">
      <alignment horizontal="center" vertical="center" wrapText="1"/>
      <protection locked="0"/>
    </xf>
    <xf numFmtId="2" fontId="101" fillId="0" borderId="13" xfId="109" applyNumberFormat="1" applyFont="1" applyFill="1" applyBorder="1" applyAlignment="1" applyProtection="1">
      <alignment horizontal="center" vertical="center" wrapText="1"/>
      <protection locked="0"/>
    </xf>
    <xf numFmtId="2" fontId="101" fillId="0" borderId="3" xfId="109" applyNumberFormat="1" applyFont="1" applyFill="1" applyBorder="1" applyAlignment="1" applyProtection="1">
      <alignment horizontal="center" vertical="center" wrapText="1"/>
      <protection locked="0"/>
    </xf>
    <xf numFmtId="0" fontId="106" fillId="13" borderId="17" xfId="0" applyFont="1" applyFill="1" applyBorder="1" applyAlignment="1">
      <alignment horizontal="left" vertical="top" wrapText="1"/>
    </xf>
    <xf numFmtId="0" fontId="106" fillId="13" borderId="14" xfId="0" applyFont="1" applyFill="1" applyBorder="1" applyAlignment="1">
      <alignment horizontal="left" vertical="top" wrapText="1"/>
    </xf>
    <xf numFmtId="0" fontId="106" fillId="13" borderId="3" xfId="0" applyFont="1" applyFill="1" applyBorder="1" applyAlignment="1">
      <alignment horizontal="left" vertical="top" wrapText="1"/>
    </xf>
    <xf numFmtId="0" fontId="77" fillId="28" borderId="5" xfId="8" applyFont="1" applyFill="1" applyBorder="1" applyAlignment="1" applyProtection="1">
      <alignment horizontal="left" vertical="center" wrapText="1"/>
    </xf>
    <xf numFmtId="0" fontId="77" fillId="28" borderId="6" xfId="8" applyFont="1" applyFill="1" applyBorder="1" applyAlignment="1" applyProtection="1">
      <alignment horizontal="left" vertical="center" wrapText="1"/>
    </xf>
    <xf numFmtId="0" fontId="77" fillId="28" borderId="2" xfId="8" applyFont="1" applyFill="1" applyBorder="1" applyAlignment="1" applyProtection="1">
      <alignment horizontal="left" vertical="center" wrapText="1"/>
    </xf>
    <xf numFmtId="0" fontId="72" fillId="28" borderId="5" xfId="8" applyFont="1" applyFill="1" applyBorder="1" applyAlignment="1" applyProtection="1">
      <alignment horizontal="center" vertical="center" wrapText="1"/>
    </xf>
    <xf numFmtId="0" fontId="72" fillId="28" borderId="6" xfId="8" applyFont="1" applyFill="1" applyBorder="1" applyAlignment="1" applyProtection="1">
      <alignment horizontal="center" vertical="center" wrapText="1"/>
    </xf>
    <xf numFmtId="0" fontId="72" fillId="28" borderId="2" xfId="8" applyFont="1" applyFill="1" applyBorder="1" applyAlignment="1" applyProtection="1">
      <alignment horizontal="center" vertical="center" wrapText="1"/>
    </xf>
    <xf numFmtId="0" fontId="76" fillId="8" borderId="13" xfId="3" applyFont="1" applyFill="1" applyBorder="1" applyAlignment="1" applyProtection="1">
      <alignment horizontal="center" vertical="center" wrapText="1"/>
    </xf>
    <xf numFmtId="0" fontId="76" fillId="8" borderId="14" xfId="3" applyFont="1" applyFill="1" applyBorder="1" applyAlignment="1" applyProtection="1">
      <alignment horizontal="center" vertical="center" wrapText="1"/>
    </xf>
    <xf numFmtId="0" fontId="76" fillId="8" borderId="3" xfId="3" applyFont="1" applyFill="1" applyBorder="1" applyAlignment="1" applyProtection="1">
      <alignment horizontal="center" vertical="center" wrapText="1"/>
    </xf>
    <xf numFmtId="0" fontId="70" fillId="16" borderId="5" xfId="62" applyFont="1" applyFill="1" applyBorder="1" applyAlignment="1" applyProtection="1">
      <alignment horizontal="left" vertical="center" wrapText="1"/>
    </xf>
    <xf numFmtId="0" fontId="70" fillId="16" borderId="6" xfId="62" applyFont="1" applyFill="1" applyBorder="1" applyAlignment="1" applyProtection="1">
      <alignment horizontal="left" vertical="center" wrapText="1"/>
    </xf>
    <xf numFmtId="0" fontId="70" fillId="16" borderId="2" xfId="62" applyFont="1" applyFill="1" applyBorder="1" applyAlignment="1" applyProtection="1">
      <alignment horizontal="left" vertical="center" wrapText="1"/>
    </xf>
    <xf numFmtId="0" fontId="72" fillId="28" borderId="1" xfId="11" applyFont="1" applyFill="1" applyBorder="1" applyAlignment="1" applyProtection="1">
      <alignment horizontal="left" vertical="center" wrapText="1"/>
    </xf>
    <xf numFmtId="0" fontId="72" fillId="28" borderId="1" xfId="8" applyFont="1" applyFill="1" applyBorder="1" applyAlignment="1" applyProtection="1">
      <alignment horizontal="center" vertical="center" wrapText="1"/>
    </xf>
    <xf numFmtId="0" fontId="76" fillId="8" borderId="13" xfId="3" applyFont="1" applyFill="1" applyBorder="1" applyAlignment="1" applyProtection="1">
      <alignment vertical="center" wrapText="1"/>
    </xf>
    <xf numFmtId="0" fontId="76" fillId="8" borderId="14" xfId="3" applyFont="1" applyFill="1" applyBorder="1" applyAlignment="1" applyProtection="1">
      <alignment vertical="center" wrapText="1"/>
    </xf>
    <xf numFmtId="0" fontId="76" fillId="8" borderId="3" xfId="3" applyFont="1" applyFill="1" applyBorder="1" applyAlignment="1" applyProtection="1">
      <alignment vertical="center" wrapText="1"/>
    </xf>
    <xf numFmtId="0" fontId="70" fillId="16" borderId="5" xfId="4" applyFont="1" applyFill="1" applyBorder="1" applyAlignment="1" applyProtection="1">
      <alignment vertical="center" wrapText="1"/>
    </xf>
    <xf numFmtId="0" fontId="70" fillId="16" borderId="6" xfId="4" applyFont="1" applyFill="1" applyBorder="1" applyAlignment="1" applyProtection="1">
      <alignment vertical="center" wrapText="1"/>
    </xf>
    <xf numFmtId="0" fontId="70" fillId="16" borderId="2" xfId="4" applyFont="1" applyFill="1" applyBorder="1" applyAlignment="1" applyProtection="1">
      <alignment vertical="center" wrapText="1"/>
    </xf>
    <xf numFmtId="0" fontId="77" fillId="30" borderId="1" xfId="0" applyFont="1" applyFill="1" applyBorder="1" applyAlignment="1" applyProtection="1">
      <alignment horizontal="center" vertical="center" wrapText="1"/>
    </xf>
    <xf numFmtId="0" fontId="72" fillId="10" borderId="1" xfId="0" applyFont="1" applyFill="1" applyBorder="1" applyAlignment="1" applyProtection="1">
      <alignment horizontal="center" vertical="center" wrapText="1"/>
    </xf>
    <xf numFmtId="43" fontId="70" fillId="17" borderId="6" xfId="1" applyFont="1" applyFill="1" applyBorder="1" applyAlignment="1" applyProtection="1">
      <alignment horizontal="center" vertical="center" wrapText="1"/>
    </xf>
    <xf numFmtId="43" fontId="70" fillId="17" borderId="2" xfId="1" applyFont="1" applyFill="1" applyBorder="1" applyAlignment="1" applyProtection="1">
      <alignment horizontal="center" vertical="center" wrapText="1"/>
    </xf>
    <xf numFmtId="43" fontId="77" fillId="29" borderId="6" xfId="1" applyFont="1" applyFill="1" applyBorder="1" applyAlignment="1" applyProtection="1">
      <alignment horizontal="center" vertical="center" wrapText="1"/>
    </xf>
    <xf numFmtId="43" fontId="77" fillId="30" borderId="5" xfId="1" applyFont="1" applyFill="1" applyBorder="1" applyAlignment="1" applyProtection="1">
      <alignment horizontal="center" vertical="center" wrapText="1"/>
    </xf>
    <xf numFmtId="43" fontId="77" fillId="30" borderId="6" xfId="1" applyFont="1" applyFill="1" applyBorder="1" applyAlignment="1" applyProtection="1">
      <alignment horizontal="center" vertical="center" wrapText="1"/>
    </xf>
    <xf numFmtId="0" fontId="70" fillId="16" borderId="5" xfId="11" applyFont="1" applyFill="1" applyBorder="1" applyAlignment="1" applyProtection="1">
      <alignment horizontal="left" vertical="center"/>
    </xf>
    <xf numFmtId="0" fontId="70" fillId="16" borderId="6" xfId="11" applyFont="1" applyFill="1" applyBorder="1" applyAlignment="1" applyProtection="1">
      <alignment horizontal="left" vertical="center"/>
    </xf>
    <xf numFmtId="0" fontId="70" fillId="16" borderId="2" xfId="11" applyFont="1" applyFill="1" applyBorder="1" applyAlignment="1" applyProtection="1">
      <alignment horizontal="left" vertical="center"/>
    </xf>
    <xf numFmtId="0" fontId="77" fillId="34" borderId="1" xfId="0" applyFont="1" applyFill="1" applyBorder="1" applyAlignment="1" applyProtection="1">
      <alignment horizontal="center" vertical="center" wrapText="1"/>
    </xf>
    <xf numFmtId="0" fontId="77" fillId="10" borderId="1" xfId="0" applyFont="1" applyFill="1" applyBorder="1" applyAlignment="1" applyProtection="1">
      <alignment horizontal="center" vertical="center" wrapText="1"/>
    </xf>
    <xf numFmtId="0" fontId="77" fillId="28" borderId="1" xfId="0" applyFont="1" applyFill="1" applyBorder="1" applyAlignment="1" applyProtection="1">
      <alignment horizontal="center" vertical="center" wrapText="1"/>
    </xf>
    <xf numFmtId="0" fontId="7" fillId="0" borderId="17" xfId="932" applyFont="1" applyFill="1" applyBorder="1" applyAlignment="1">
      <alignment horizontal="left" vertical="top" wrapText="1"/>
    </xf>
    <xf numFmtId="0" fontId="9" fillId="0" borderId="14" xfId="932" applyFont="1" applyFill="1" applyBorder="1" applyAlignment="1">
      <alignment horizontal="left" vertical="top" wrapText="1"/>
    </xf>
    <xf numFmtId="0" fontId="9" fillId="0" borderId="3" xfId="932" applyFont="1" applyFill="1" applyBorder="1" applyAlignment="1">
      <alignment horizontal="left" vertical="top" wrapText="1"/>
    </xf>
    <xf numFmtId="0" fontId="9" fillId="0" borderId="1" xfId="48" applyFont="1" applyBorder="1" applyAlignment="1" applyProtection="1">
      <alignment horizontal="center" vertical="center" wrapText="1"/>
    </xf>
    <xf numFmtId="0" fontId="72" fillId="0" borderId="13" xfId="48" applyFont="1" applyBorder="1" applyAlignment="1" applyProtection="1">
      <alignment horizontal="center" vertical="center" wrapText="1"/>
      <protection locked="0"/>
    </xf>
    <xf numFmtId="0" fontId="72" fillId="0" borderId="14" xfId="48" applyFont="1" applyBorder="1" applyAlignment="1" applyProtection="1">
      <alignment horizontal="center" vertical="center" wrapText="1"/>
      <protection locked="0"/>
    </xf>
    <xf numFmtId="0" fontId="72" fillId="0" borderId="3" xfId="48" applyFont="1" applyBorder="1" applyAlignment="1" applyProtection="1">
      <alignment horizontal="center" vertical="center" wrapText="1"/>
      <protection locked="0"/>
    </xf>
    <xf numFmtId="0" fontId="70" fillId="16" borderId="5" xfId="48" applyFont="1" applyFill="1" applyBorder="1" applyAlignment="1" applyProtection="1">
      <alignment horizontal="left" vertical="center"/>
    </xf>
    <xf numFmtId="0" fontId="70" fillId="16" borderId="6" xfId="48" applyFont="1" applyFill="1" applyBorder="1" applyAlignment="1" applyProtection="1">
      <alignment horizontal="left" vertical="center"/>
    </xf>
    <xf numFmtId="0" fontId="70" fillId="16" borderId="2" xfId="48" applyFont="1" applyFill="1" applyBorder="1" applyAlignment="1" applyProtection="1">
      <alignment horizontal="left" vertical="center"/>
    </xf>
    <xf numFmtId="2" fontId="72" fillId="10" borderId="13" xfId="48" applyNumberFormat="1" applyFont="1" applyFill="1" applyBorder="1" applyAlignment="1" applyProtection="1">
      <alignment horizontal="center" vertical="center" wrapText="1"/>
      <protection locked="0"/>
    </xf>
    <xf numFmtId="2" fontId="72" fillId="10" borderId="14" xfId="48" applyNumberFormat="1" applyFont="1" applyFill="1" applyBorder="1" applyAlignment="1" applyProtection="1">
      <alignment horizontal="center" vertical="center" wrapText="1"/>
      <protection locked="0"/>
    </xf>
    <xf numFmtId="2" fontId="72" fillId="10" borderId="3" xfId="48" applyNumberFormat="1" applyFont="1" applyFill="1" applyBorder="1" applyAlignment="1" applyProtection="1">
      <alignment horizontal="center" vertical="center" wrapText="1"/>
      <protection locked="0"/>
    </xf>
    <xf numFmtId="2" fontId="93" fillId="10" borderId="13" xfId="48" applyNumberFormat="1" applyFont="1" applyFill="1" applyBorder="1" applyAlignment="1" applyProtection="1">
      <alignment horizontal="center" vertical="center" wrapText="1"/>
      <protection locked="0"/>
    </xf>
    <xf numFmtId="2" fontId="93" fillId="10" borderId="14" xfId="48" applyNumberFormat="1" applyFont="1" applyFill="1" applyBorder="1" applyAlignment="1" applyProtection="1">
      <alignment horizontal="center" vertical="center" wrapText="1"/>
      <protection locked="0"/>
    </xf>
    <xf numFmtId="2" fontId="93" fillId="10" borderId="3" xfId="48" applyNumberFormat="1" applyFont="1" applyFill="1" applyBorder="1" applyAlignment="1" applyProtection="1">
      <alignment horizontal="center" vertical="center" wrapText="1"/>
      <protection locked="0"/>
    </xf>
    <xf numFmtId="0" fontId="9" fillId="0" borderId="13" xfId="48" applyFont="1" applyBorder="1" applyAlignment="1" applyProtection="1">
      <alignment horizontal="center" vertical="center" wrapText="1"/>
      <protection locked="0"/>
    </xf>
    <xf numFmtId="0" fontId="9" fillId="0" borderId="14" xfId="48" applyFont="1" applyBorder="1" applyAlignment="1" applyProtection="1">
      <alignment horizontal="center" vertical="center" wrapText="1"/>
      <protection locked="0"/>
    </xf>
    <xf numFmtId="0" fontId="9" fillId="0" borderId="3" xfId="48" applyFont="1" applyBorder="1" applyAlignment="1" applyProtection="1">
      <alignment horizontal="center" vertical="center" wrapText="1"/>
      <protection locked="0"/>
    </xf>
    <xf numFmtId="0" fontId="9" fillId="0" borderId="13" xfId="48" applyFont="1" applyFill="1" applyBorder="1" applyAlignment="1" applyProtection="1">
      <alignment horizontal="center" vertical="center" wrapText="1"/>
    </xf>
    <xf numFmtId="0" fontId="9" fillId="0" borderId="14" xfId="48" applyFont="1" applyFill="1" applyBorder="1" applyAlignment="1" applyProtection="1">
      <alignment horizontal="center" vertical="center" wrapText="1"/>
    </xf>
    <xf numFmtId="0" fontId="9" fillId="0" borderId="3" xfId="48" applyFont="1" applyFill="1" applyBorder="1" applyAlignment="1" applyProtection="1">
      <alignment horizontal="center" vertical="center" wrapText="1"/>
    </xf>
    <xf numFmtId="2" fontId="9" fillId="10" borderId="13" xfId="48" applyNumberFormat="1" applyFont="1" applyFill="1" applyBorder="1" applyAlignment="1" applyProtection="1">
      <alignment horizontal="center" vertical="center" wrapText="1"/>
      <protection locked="0"/>
    </xf>
    <xf numFmtId="2" fontId="9" fillId="10" borderId="14" xfId="48" applyNumberFormat="1" applyFont="1" applyFill="1" applyBorder="1" applyAlignment="1" applyProtection="1">
      <alignment horizontal="center" vertical="center" wrapText="1"/>
      <protection locked="0"/>
    </xf>
    <xf numFmtId="2" fontId="9" fillId="10" borderId="3" xfId="48" applyNumberFormat="1" applyFont="1" applyFill="1" applyBorder="1" applyAlignment="1" applyProtection="1">
      <alignment horizontal="center" vertical="center" wrapText="1"/>
      <protection locked="0"/>
    </xf>
    <xf numFmtId="0" fontId="9" fillId="0" borderId="13" xfId="8" applyFont="1" applyBorder="1" applyAlignment="1" applyProtection="1">
      <alignment horizontal="center" vertical="center" wrapText="1"/>
      <protection locked="0"/>
    </xf>
    <xf numFmtId="0" fontId="9" fillId="0" borderId="14" xfId="8" applyFont="1" applyBorder="1" applyAlignment="1" applyProtection="1">
      <alignment horizontal="center" vertical="center" wrapText="1"/>
      <protection locked="0"/>
    </xf>
    <xf numFmtId="0" fontId="9" fillId="0" borderId="3" xfId="8" applyFont="1" applyBorder="1" applyAlignment="1" applyProtection="1">
      <alignment horizontal="center" vertical="center" wrapText="1"/>
      <protection locked="0"/>
    </xf>
    <xf numFmtId="2" fontId="9" fillId="0" borderId="13" xfId="0" applyNumberFormat="1" applyFont="1" applyBorder="1" applyAlignment="1" applyProtection="1">
      <alignment horizontal="center" vertical="center" wrapText="1"/>
    </xf>
    <xf numFmtId="2" fontId="9" fillId="0" borderId="14" xfId="0" applyNumberFormat="1" applyFont="1" applyBorder="1" applyAlignment="1" applyProtection="1">
      <alignment horizontal="center" vertical="center" wrapText="1"/>
    </xf>
    <xf numFmtId="2" fontId="9" fillId="0" borderId="3" xfId="0" applyNumberFormat="1" applyFont="1" applyBorder="1" applyAlignment="1" applyProtection="1">
      <alignment horizontal="center" vertical="center" wrapText="1"/>
    </xf>
    <xf numFmtId="2" fontId="9" fillId="0" borderId="13" xfId="48" applyNumberFormat="1" applyFont="1" applyBorder="1" applyAlignment="1" applyProtection="1">
      <alignment horizontal="center" vertical="center"/>
    </xf>
    <xf numFmtId="2" fontId="9" fillId="0" borderId="14" xfId="48" applyNumberFormat="1" applyFont="1" applyBorder="1" applyAlignment="1" applyProtection="1">
      <alignment horizontal="center" vertical="center"/>
    </xf>
    <xf numFmtId="2" fontId="9" fillId="0" borderId="3" xfId="48" applyNumberFormat="1" applyFont="1" applyBorder="1" applyAlignment="1" applyProtection="1">
      <alignment horizontal="center" vertical="center"/>
    </xf>
    <xf numFmtId="43" fontId="43" fillId="0" borderId="15" xfId="1" applyFont="1" applyFill="1" applyBorder="1" applyAlignment="1" applyProtection="1">
      <alignment horizontal="center" vertical="top" wrapText="1"/>
    </xf>
    <xf numFmtId="43" fontId="43" fillId="0" borderId="0" xfId="1" applyFont="1" applyFill="1" applyBorder="1" applyAlignment="1" applyProtection="1">
      <alignment horizontal="center" vertical="top" wrapText="1"/>
    </xf>
    <xf numFmtId="43" fontId="43" fillId="0" borderId="4" xfId="1" applyFont="1" applyFill="1" applyBorder="1" applyAlignment="1" applyProtection="1">
      <alignment horizontal="center" vertical="top" wrapText="1"/>
    </xf>
    <xf numFmtId="0" fontId="70" fillId="17" borderId="4" xfId="38" applyFont="1" applyFill="1" applyBorder="1" applyAlignment="1" applyProtection="1">
      <alignment horizontal="center" vertical="center" wrapText="1"/>
    </xf>
    <xf numFmtId="43" fontId="70" fillId="17" borderId="4" xfId="1" applyFont="1" applyFill="1" applyBorder="1" applyAlignment="1" applyProtection="1">
      <alignment vertical="center" wrapText="1"/>
    </xf>
    <xf numFmtId="0" fontId="70" fillId="9" borderId="10" xfId="38" applyFont="1" applyFill="1" applyBorder="1" applyAlignment="1" applyProtection="1">
      <alignment horizontal="center" vertical="center" wrapText="1"/>
    </xf>
    <xf numFmtId="0" fontId="70" fillId="9" borderId="15" xfId="38" applyFont="1" applyFill="1" applyBorder="1" applyAlignment="1" applyProtection="1">
      <alignment horizontal="center" vertical="center" wrapText="1"/>
    </xf>
    <xf numFmtId="0" fontId="70" fillId="9" borderId="11" xfId="38" applyFont="1" applyFill="1" applyBorder="1" applyAlignment="1" applyProtection="1">
      <alignment horizontal="center" vertical="center" wrapText="1"/>
    </xf>
    <xf numFmtId="0" fontId="70" fillId="9" borderId="9" xfId="38" applyFont="1" applyFill="1" applyBorder="1" applyAlignment="1" applyProtection="1">
      <alignment horizontal="center" vertical="center" wrapText="1"/>
    </xf>
    <xf numFmtId="0" fontId="70" fillId="9" borderId="4" xfId="38" applyFont="1" applyFill="1" applyBorder="1" applyAlignment="1" applyProtection="1">
      <alignment horizontal="center" vertical="center" wrapText="1"/>
    </xf>
    <xf numFmtId="0" fontId="70" fillId="9" borderId="12" xfId="38" applyFont="1" applyFill="1" applyBorder="1" applyAlignment="1" applyProtection="1">
      <alignment horizontal="center" vertical="center" wrapText="1"/>
    </xf>
    <xf numFmtId="0" fontId="70" fillId="17" borderId="1" xfId="0" applyFont="1" applyFill="1" applyBorder="1" applyAlignment="1">
      <alignment horizontal="center" vertical="center" wrapText="1"/>
    </xf>
    <xf numFmtId="0" fontId="70" fillId="17" borderId="1" xfId="38" applyFont="1" applyFill="1" applyBorder="1" applyAlignment="1">
      <alignment horizontal="center" vertical="center" wrapText="1"/>
    </xf>
    <xf numFmtId="0" fontId="70" fillId="16" borderId="1" xfId="48" applyFont="1" applyFill="1" applyBorder="1" applyAlignment="1">
      <alignment horizontal="left" vertical="center"/>
    </xf>
    <xf numFmtId="0" fontId="85" fillId="35" borderId="1" xfId="0" applyFont="1" applyFill="1" applyBorder="1" applyAlignment="1">
      <alignment horizontal="center" vertical="center" wrapText="1"/>
    </xf>
    <xf numFmtId="0" fontId="77" fillId="29" borderId="5" xfId="0" applyFont="1" applyFill="1" applyBorder="1" applyAlignment="1">
      <alignment horizontal="center" vertical="center" wrapText="1"/>
    </xf>
    <xf numFmtId="0" fontId="77" fillId="29" borderId="6" xfId="0" applyFont="1" applyFill="1" applyBorder="1" applyAlignment="1">
      <alignment horizontal="center" vertical="center" wrapText="1"/>
    </xf>
    <xf numFmtId="0" fontId="77" fillId="29" borderId="2" xfId="0" applyFont="1" applyFill="1" applyBorder="1" applyAlignment="1">
      <alignment horizontal="center" vertical="center" wrapText="1"/>
    </xf>
    <xf numFmtId="0" fontId="76" fillId="8" borderId="13" xfId="3" applyFont="1" applyFill="1" applyBorder="1" applyAlignment="1">
      <alignment horizontal="center" vertical="center"/>
    </xf>
    <xf numFmtId="0" fontId="76" fillId="8" borderId="14" xfId="3" applyFont="1" applyFill="1" applyBorder="1" applyAlignment="1">
      <alignment horizontal="center" vertical="center"/>
    </xf>
    <xf numFmtId="0" fontId="76" fillId="8" borderId="3" xfId="3" applyFont="1" applyFill="1" applyBorder="1" applyAlignment="1">
      <alignment horizontal="center" vertical="center"/>
    </xf>
    <xf numFmtId="0" fontId="77" fillId="30" borderId="5" xfId="0" applyFont="1" applyFill="1" applyBorder="1" applyAlignment="1">
      <alignment horizontal="center" vertical="center" wrapText="1"/>
    </xf>
    <xf numFmtId="0" fontId="77" fillId="30" borderId="6" xfId="0" applyFont="1" applyFill="1" applyBorder="1" applyAlignment="1">
      <alignment horizontal="center" vertical="center" wrapText="1"/>
    </xf>
    <xf numFmtId="0" fontId="72" fillId="10" borderId="9" xfId="0" applyFont="1" applyFill="1" applyBorder="1" applyAlignment="1">
      <alignment horizontal="center" vertical="center" wrapText="1"/>
    </xf>
    <xf numFmtId="0" fontId="72" fillId="10" borderId="4" xfId="0" applyFont="1" applyFill="1" applyBorder="1" applyAlignment="1">
      <alignment horizontal="center" vertical="center" wrapText="1"/>
    </xf>
    <xf numFmtId="0" fontId="72" fillId="10" borderId="12" xfId="0" applyFont="1" applyFill="1" applyBorder="1" applyAlignment="1">
      <alignment horizontal="center" vertical="center" wrapText="1"/>
    </xf>
    <xf numFmtId="0" fontId="72" fillId="28" borderId="5" xfId="8" applyFont="1" applyFill="1" applyBorder="1" applyAlignment="1">
      <alignment horizontal="center" vertical="center"/>
    </xf>
    <xf numFmtId="0" fontId="72" fillId="28" borderId="6" xfId="8" applyFont="1" applyFill="1" applyBorder="1" applyAlignment="1">
      <alignment horizontal="center" vertical="center"/>
    </xf>
    <xf numFmtId="0" fontId="72" fillId="28" borderId="2" xfId="8" applyFont="1" applyFill="1" applyBorder="1" applyAlignment="1">
      <alignment horizontal="center" vertical="center"/>
    </xf>
    <xf numFmtId="0" fontId="77" fillId="34" borderId="1" xfId="0" applyFont="1" applyFill="1" applyBorder="1" applyAlignment="1">
      <alignment horizontal="center" vertical="center" wrapText="1"/>
    </xf>
    <xf numFmtId="0" fontId="77" fillId="10" borderId="1" xfId="0" applyFont="1" applyFill="1" applyBorder="1" applyAlignment="1">
      <alignment horizontal="center" vertical="center" wrapText="1"/>
    </xf>
    <xf numFmtId="0" fontId="77" fillId="28" borderId="1" xfId="0" applyFont="1" applyFill="1" applyBorder="1" applyAlignment="1">
      <alignment horizontal="center" vertical="center" wrapText="1"/>
    </xf>
    <xf numFmtId="0" fontId="70" fillId="16" borderId="4" xfId="0" applyFont="1" applyFill="1" applyBorder="1" applyAlignment="1" applyProtection="1">
      <alignment horizontal="left" vertical="center" wrapText="1"/>
    </xf>
    <xf numFmtId="0" fontId="75" fillId="0" borderId="1" xfId="38" applyFont="1" applyFill="1" applyBorder="1" applyAlignment="1" applyProtection="1">
      <alignment horizontal="left" vertical="center" wrapText="1"/>
    </xf>
    <xf numFmtId="0" fontId="77" fillId="0" borderId="1" xfId="38" applyFont="1" applyFill="1" applyBorder="1" applyAlignment="1" applyProtection="1">
      <alignment horizontal="left" vertical="center" wrapText="1"/>
    </xf>
    <xf numFmtId="0" fontId="75" fillId="0" borderId="13" xfId="38" applyFont="1" applyFill="1" applyBorder="1" applyAlignment="1" applyProtection="1">
      <alignment horizontal="left" vertical="center" wrapText="1"/>
    </xf>
    <xf numFmtId="0" fontId="75" fillId="0" borderId="14" xfId="38" applyFont="1" applyFill="1" applyBorder="1" applyAlignment="1" applyProtection="1">
      <alignment horizontal="left" vertical="center" wrapText="1"/>
    </xf>
    <xf numFmtId="0" fontId="75" fillId="0" borderId="3" xfId="38" applyFont="1" applyFill="1" applyBorder="1" applyAlignment="1" applyProtection="1">
      <alignment horizontal="left" vertical="center" wrapText="1"/>
    </xf>
    <xf numFmtId="0" fontId="70" fillId="25" borderId="5" xfId="0" applyFont="1" applyFill="1" applyBorder="1" applyAlignment="1" applyProtection="1">
      <alignment vertical="center" wrapText="1"/>
    </xf>
    <xf numFmtId="0" fontId="70" fillId="25" borderId="6" xfId="0" applyFont="1" applyFill="1" applyBorder="1" applyAlignment="1" applyProtection="1">
      <alignment vertical="center" wrapText="1"/>
    </xf>
    <xf numFmtId="0" fontId="70" fillId="25" borderId="2" xfId="0" applyFont="1" applyFill="1" applyBorder="1" applyAlignment="1" applyProtection="1">
      <alignment vertical="center" wrapText="1"/>
    </xf>
    <xf numFmtId="0" fontId="70" fillId="17" borderId="3" xfId="38" applyFont="1" applyFill="1" applyBorder="1" applyAlignment="1">
      <alignment horizontal="center" vertical="center" wrapText="1"/>
    </xf>
    <xf numFmtId="0" fontId="70" fillId="25" borderId="5" xfId="0" applyFont="1" applyFill="1" applyBorder="1" applyAlignment="1" applyProtection="1">
      <alignment horizontal="left" vertical="center"/>
      <protection locked="0"/>
    </xf>
    <xf numFmtId="0" fontId="70" fillId="25" borderId="6" xfId="0" applyFont="1" applyFill="1" applyBorder="1" applyAlignment="1" applyProtection="1">
      <alignment horizontal="left" vertical="center"/>
      <protection locked="0"/>
    </xf>
    <xf numFmtId="0" fontId="70" fillId="25" borderId="2" xfId="0" applyFont="1" applyFill="1" applyBorder="1" applyAlignment="1" applyProtection="1">
      <alignment horizontal="left" vertical="center"/>
      <protection locked="0"/>
    </xf>
    <xf numFmtId="0" fontId="70" fillId="17" borderId="3" xfId="0" applyFont="1" applyFill="1" applyBorder="1" applyAlignment="1">
      <alignment horizontal="center" vertical="center" wrapText="1"/>
    </xf>
    <xf numFmtId="0" fontId="70" fillId="25" borderId="0" xfId="0" applyFont="1" applyFill="1" applyAlignment="1" applyProtection="1">
      <alignment horizontal="center" vertical="center"/>
    </xf>
    <xf numFmtId="0" fontId="70" fillId="17" borderId="1" xfId="38" applyFont="1" applyFill="1" applyBorder="1" applyAlignment="1" applyProtection="1">
      <alignment horizontal="left" vertical="center" wrapText="1"/>
    </xf>
    <xf numFmtId="0" fontId="75" fillId="0" borderId="13" xfId="0" applyFont="1" applyBorder="1" applyAlignment="1" applyProtection="1">
      <alignment horizontal="center" vertical="center"/>
    </xf>
    <xf numFmtId="0" fontId="75" fillId="0" borderId="14" xfId="0" applyFont="1" applyBorder="1" applyAlignment="1" applyProtection="1">
      <alignment horizontal="center" vertical="center"/>
    </xf>
    <xf numFmtId="0" fontId="75" fillId="0" borderId="3" xfId="0" applyFont="1" applyBorder="1" applyAlignment="1" applyProtection="1">
      <alignment horizontal="center" vertical="center"/>
    </xf>
    <xf numFmtId="0" fontId="75" fillId="0" borderId="1" xfId="0" applyFont="1" applyBorder="1" applyAlignment="1" applyProtection="1">
      <alignment horizontal="left" vertical="center"/>
    </xf>
    <xf numFmtId="0" fontId="70" fillId="25" borderId="5" xfId="0" applyFont="1" applyFill="1" applyBorder="1" applyAlignment="1" applyProtection="1">
      <alignment horizontal="left" vertical="center"/>
    </xf>
    <xf numFmtId="0" fontId="70" fillId="25" borderId="6" xfId="0" applyFont="1" applyFill="1" applyBorder="1" applyAlignment="1" applyProtection="1">
      <alignment horizontal="left" vertical="center"/>
    </xf>
    <xf numFmtId="0" fontId="70" fillId="25" borderId="2" xfId="0" applyFont="1" applyFill="1" applyBorder="1" applyAlignment="1" applyProtection="1">
      <alignment horizontal="left" vertical="center"/>
    </xf>
    <xf numFmtId="0" fontId="70" fillId="25" borderId="5" xfId="0" applyFont="1" applyFill="1" applyBorder="1" applyAlignment="1" applyProtection="1">
      <alignment horizontal="center" vertical="center"/>
    </xf>
    <xf numFmtId="0" fontId="70" fillId="25" borderId="6" xfId="0" applyFont="1" applyFill="1" applyBorder="1" applyAlignment="1" applyProtection="1">
      <alignment horizontal="center" vertical="center"/>
    </xf>
    <xf numFmtId="0" fontId="70" fillId="25" borderId="2" xfId="0" applyFont="1" applyFill="1" applyBorder="1" applyAlignment="1" applyProtection="1">
      <alignment horizontal="center" vertical="center"/>
    </xf>
    <xf numFmtId="0" fontId="75" fillId="0" borderId="1" xfId="0" applyFont="1" applyBorder="1" applyAlignment="1" applyProtection="1">
      <alignment horizontal="center" vertical="center" wrapText="1"/>
    </xf>
    <xf numFmtId="0" fontId="70" fillId="25" borderId="1" xfId="0" applyFont="1" applyFill="1" applyBorder="1" applyAlignment="1" applyProtection="1">
      <alignment horizontal="left" vertical="center"/>
    </xf>
    <xf numFmtId="0" fontId="72" fillId="2" borderId="1" xfId="40" applyFont="1" applyFill="1" applyBorder="1" applyAlignment="1" applyProtection="1">
      <alignment horizontal="left" vertical="center" wrapText="1"/>
    </xf>
    <xf numFmtId="0" fontId="70" fillId="25" borderId="4" xfId="0" applyFont="1" applyFill="1" applyBorder="1" applyAlignment="1" applyProtection="1">
      <alignment horizontal="left" vertical="center"/>
    </xf>
    <xf numFmtId="0" fontId="75" fillId="0" borderId="1" xfId="0" applyFont="1" applyBorder="1" applyAlignment="1" applyProtection="1">
      <alignment horizontal="left" vertical="center" wrapText="1"/>
    </xf>
    <xf numFmtId="0" fontId="75" fillId="0" borderId="1" xfId="8" applyFont="1" applyFill="1" applyBorder="1" applyAlignment="1" applyProtection="1">
      <alignment horizontal="center" vertical="center" wrapText="1"/>
    </xf>
    <xf numFmtId="0" fontId="75" fillId="0" borderId="1" xfId="40" applyFont="1" applyBorder="1" applyAlignment="1" applyProtection="1">
      <alignment horizontal="center" vertical="center" wrapText="1"/>
    </xf>
    <xf numFmtId="0" fontId="70" fillId="25" borderId="4" xfId="0" applyFont="1" applyFill="1" applyBorder="1" applyAlignment="1" applyProtection="1">
      <alignment horizontal="left" vertical="center" wrapText="1"/>
    </xf>
    <xf numFmtId="0" fontId="75" fillId="0" borderId="13" xfId="0" applyFont="1" applyBorder="1" applyAlignment="1" applyProtection="1">
      <alignment horizontal="center" vertical="center" wrapText="1"/>
    </xf>
    <xf numFmtId="0" fontId="75" fillId="0" borderId="14" xfId="0" applyFont="1" applyBorder="1" applyAlignment="1" applyProtection="1">
      <alignment horizontal="center" vertical="center" wrapText="1"/>
    </xf>
    <xf numFmtId="0" fontId="75" fillId="0" borderId="3" xfId="0" applyFont="1" applyBorder="1" applyAlignment="1" applyProtection="1">
      <alignment horizontal="center" vertical="center" wrapText="1"/>
    </xf>
    <xf numFmtId="0" fontId="70" fillId="25" borderId="9" xfId="0" applyFont="1" applyFill="1" applyBorder="1" applyAlignment="1" applyProtection="1">
      <alignment horizontal="left" vertical="center" wrapText="1"/>
    </xf>
    <xf numFmtId="0" fontId="75" fillId="0" borderId="1" xfId="38" applyFont="1" applyBorder="1" applyAlignment="1" applyProtection="1">
      <alignment horizontal="left" vertical="center" wrapText="1"/>
    </xf>
    <xf numFmtId="43" fontId="70" fillId="17" borderId="1" xfId="1" applyFont="1" applyFill="1" applyBorder="1" applyAlignment="1" applyProtection="1">
      <alignment horizontal="center" vertical="center" wrapText="1"/>
    </xf>
    <xf numFmtId="0" fontId="70" fillId="17" borderId="13" xfId="38" applyFont="1" applyFill="1" applyBorder="1" applyAlignment="1" applyProtection="1">
      <alignment horizontal="center" vertical="center" wrapText="1"/>
    </xf>
    <xf numFmtId="0" fontId="80" fillId="25" borderId="1" xfId="0" applyFont="1" applyFill="1" applyBorder="1" applyAlignment="1" applyProtection="1">
      <alignment horizontal="left" vertical="center" wrapText="1"/>
    </xf>
    <xf numFmtId="0" fontId="41" fillId="0" borderId="1" xfId="38" applyFont="1" applyFill="1" applyBorder="1" applyAlignment="1" applyProtection="1">
      <alignment horizontal="center" vertical="center" wrapText="1"/>
    </xf>
    <xf numFmtId="0" fontId="70" fillId="25" borderId="1" xfId="0" applyFont="1" applyFill="1" applyBorder="1" applyAlignment="1" applyProtection="1">
      <alignment horizontal="left" vertical="center" wrapText="1"/>
    </xf>
    <xf numFmtId="0" fontId="48" fillId="0" borderId="13" xfId="87" applyFont="1" applyBorder="1" applyAlignment="1" applyProtection="1">
      <alignment horizontal="left" vertical="center" wrapText="1"/>
    </xf>
    <xf numFmtId="0" fontId="48" fillId="0" borderId="3" xfId="87" applyFont="1" applyBorder="1" applyAlignment="1" applyProtection="1">
      <alignment horizontal="left" vertical="center" wrapText="1"/>
    </xf>
    <xf numFmtId="0" fontId="75" fillId="0" borderId="13" xfId="0" applyFont="1" applyBorder="1" applyAlignment="1" applyProtection="1">
      <alignment horizontal="left" vertical="center" wrapText="1"/>
    </xf>
    <xf numFmtId="0" fontId="75" fillId="0" borderId="3" xfId="0" applyFont="1" applyBorder="1" applyAlignment="1" applyProtection="1">
      <alignment horizontal="left" vertical="center" wrapText="1"/>
    </xf>
    <xf numFmtId="0" fontId="75" fillId="0" borderId="13" xfId="0" applyFont="1" applyBorder="1" applyAlignment="1" applyProtection="1">
      <alignment horizontal="left" vertical="center"/>
    </xf>
    <xf numFmtId="0" fontId="75" fillId="0" borderId="3" xfId="0" applyFont="1" applyBorder="1" applyAlignment="1" applyProtection="1">
      <alignment horizontal="left" vertical="center"/>
    </xf>
    <xf numFmtId="0" fontId="64" fillId="26" borderId="1" xfId="0" applyFont="1" applyFill="1" applyBorder="1" applyAlignment="1">
      <alignment horizontal="left" vertical="center" wrapText="1"/>
    </xf>
    <xf numFmtId="0" fontId="64" fillId="17" borderId="1" xfId="0" applyFont="1" applyFill="1" applyBorder="1" applyAlignment="1">
      <alignment horizontal="center" vertical="center" wrapText="1"/>
    </xf>
    <xf numFmtId="0" fontId="64" fillId="9" borderId="13" xfId="38" applyFont="1" applyFill="1" applyBorder="1" applyAlignment="1">
      <alignment horizontal="center" vertical="center" wrapText="1"/>
    </xf>
    <xf numFmtId="0" fontId="64" fillId="9" borderId="3" xfId="38" applyFont="1" applyFill="1" applyBorder="1" applyAlignment="1">
      <alignment horizontal="center" vertical="center" wrapText="1"/>
    </xf>
    <xf numFmtId="0" fontId="64" fillId="17" borderId="5" xfId="0" applyFont="1" applyFill="1" applyBorder="1" applyAlignment="1">
      <alignment horizontal="center" vertical="center" wrapText="1"/>
    </xf>
    <xf numFmtId="0" fontId="64" fillId="17" borderId="6" xfId="0" applyFont="1" applyFill="1" applyBorder="1" applyAlignment="1">
      <alignment horizontal="center" vertical="center" wrapText="1"/>
    </xf>
    <xf numFmtId="0" fontId="64" fillId="17" borderId="2" xfId="0" applyFont="1" applyFill="1" applyBorder="1" applyAlignment="1">
      <alignment horizontal="center" vertical="center" wrapText="1"/>
    </xf>
    <xf numFmtId="0" fontId="64" fillId="17" borderId="5" xfId="38" applyFont="1" applyFill="1" applyBorder="1" applyAlignment="1">
      <alignment horizontal="center" vertical="center" wrapText="1"/>
    </xf>
    <xf numFmtId="0" fontId="64" fillId="17" borderId="2" xfId="38" applyFont="1" applyFill="1" applyBorder="1" applyAlignment="1">
      <alignment horizontal="center" vertical="center" wrapText="1"/>
    </xf>
    <xf numFmtId="0" fontId="52" fillId="0" borderId="1" xfId="0" applyFont="1" applyBorder="1" applyAlignment="1">
      <alignment horizontal="center" vertical="center" wrapText="1"/>
    </xf>
    <xf numFmtId="0" fontId="55" fillId="0" borderId="5" xfId="0" applyFont="1" applyBorder="1" applyAlignment="1">
      <alignment horizontal="center"/>
    </xf>
    <xf numFmtId="0" fontId="55" fillId="0" borderId="6" xfId="0" applyFont="1" applyBorder="1" applyAlignment="1">
      <alignment horizontal="center"/>
    </xf>
    <xf numFmtId="0" fontId="55" fillId="0" borderId="2" xfId="0" applyFont="1" applyBorder="1" applyAlignment="1">
      <alignment horizontal="center"/>
    </xf>
    <xf numFmtId="0" fontId="52" fillId="0" borderId="0" xfId="0" applyFont="1" applyBorder="1" applyAlignment="1">
      <alignment horizontal="center" vertical="center" wrapText="1"/>
    </xf>
    <xf numFmtId="0" fontId="52" fillId="0" borderId="5" xfId="0" applyFont="1" applyBorder="1" applyAlignment="1">
      <alignment horizontal="center" vertical="center" wrapText="1"/>
    </xf>
    <xf numFmtId="0" fontId="52" fillId="0" borderId="6" xfId="0" applyFont="1" applyBorder="1" applyAlignment="1">
      <alignment horizontal="center" vertical="center" wrapText="1"/>
    </xf>
    <xf numFmtId="0" fontId="52" fillId="0" borderId="2" xfId="0" applyFont="1" applyBorder="1" applyAlignment="1">
      <alignment horizontal="center" vertical="center" wrapText="1"/>
    </xf>
    <xf numFmtId="0" fontId="52" fillId="0" borderId="1" xfId="0" applyFont="1" applyFill="1" applyBorder="1" applyAlignment="1">
      <alignment horizontal="center" vertical="center" wrapText="1"/>
    </xf>
    <xf numFmtId="0" fontId="52" fillId="5" borderId="10" xfId="0" applyFont="1" applyFill="1" applyBorder="1" applyAlignment="1">
      <alignment horizontal="center" vertical="center" wrapText="1"/>
    </xf>
    <xf numFmtId="0" fontId="52" fillId="5" borderId="11" xfId="0" applyFont="1" applyFill="1" applyBorder="1" applyAlignment="1">
      <alignment horizontal="center" vertical="center" wrapText="1"/>
    </xf>
    <xf numFmtId="0" fontId="52" fillId="5" borderId="8" xfId="0" applyFont="1" applyFill="1" applyBorder="1" applyAlignment="1">
      <alignment horizontal="center" vertical="center" wrapText="1"/>
    </xf>
    <xf numFmtId="0" fontId="52" fillId="5" borderId="7" xfId="0" applyFont="1" applyFill="1" applyBorder="1" applyAlignment="1">
      <alignment horizontal="center" vertical="center" wrapText="1"/>
    </xf>
    <xf numFmtId="0" fontId="52" fillId="5" borderId="1" xfId="0" applyFont="1" applyFill="1" applyBorder="1" applyAlignment="1">
      <alignment horizontal="center" vertical="center"/>
    </xf>
    <xf numFmtId="0" fontId="52" fillId="0" borderId="17" xfId="0" applyFont="1" applyBorder="1" applyAlignment="1">
      <alignment horizontal="center" vertical="center" wrapText="1"/>
    </xf>
    <xf numFmtId="0" fontId="52" fillId="0" borderId="1" xfId="0" applyFont="1" applyBorder="1" applyAlignment="1">
      <alignment horizontal="left" vertical="center" wrapText="1"/>
    </xf>
  </cellXfs>
  <cellStyles count="1110">
    <cellStyle name="Comma" xfId="1" builtinId="3"/>
    <cellStyle name="Comma 2" xfId="2"/>
    <cellStyle name="Comma 2 2" xfId="116"/>
    <cellStyle name="Comma 2 2 2" xfId="223"/>
    <cellStyle name="Comma 2 2 2 2" xfId="888"/>
    <cellStyle name="Comma 2 2 3" xfId="559"/>
    <cellStyle name="Comma 2 3" xfId="118"/>
    <cellStyle name="Comma 2 3 2" xfId="673"/>
    <cellStyle name="Comma 2 4" xfId="225"/>
    <cellStyle name="Comma 2 4 2" xfId="774"/>
    <cellStyle name="Comma 2 5" xfId="333"/>
    <cellStyle name="Comma 2 6" xfId="442"/>
    <cellStyle name="Comma 2 7" xfId="1002"/>
    <cellStyle name="Comma 3" xfId="104"/>
    <cellStyle name="Comma 3 2" xfId="215"/>
    <cellStyle name="Comma 3 2 2" xfId="985"/>
    <cellStyle name="Comma 3 2 3" xfId="656"/>
    <cellStyle name="Comma 3 3" xfId="322"/>
    <cellStyle name="Comma 3 3 2" xfId="871"/>
    <cellStyle name="Comma 3 4" xfId="331"/>
    <cellStyle name="Comma 3 5" xfId="430"/>
    <cellStyle name="Comma 3 6" xfId="539"/>
    <cellStyle name="Comma 3 7" xfId="1099"/>
    <cellStyle name="Comma 4" xfId="117"/>
    <cellStyle name="Comma 4 2" xfId="887"/>
    <cellStyle name="Comma 4 3" xfId="558"/>
    <cellStyle name="Comma 5" xfId="224"/>
    <cellStyle name="Comma 5 2" xfId="672"/>
    <cellStyle name="Comma 6" xfId="330"/>
    <cellStyle name="Comma 6 2" xfId="773"/>
    <cellStyle name="Comma 7" xfId="332"/>
    <cellStyle name="Comma 8" xfId="441"/>
    <cellStyle name="Comma 9" xfId="1001"/>
    <cellStyle name="Hyperlink" xfId="3" builtinId="8"/>
    <cellStyle name="Hyperlink 2" xfId="106"/>
    <cellStyle name="Normal" xfId="0" builtinId="0"/>
    <cellStyle name="Normal 10" xfId="113"/>
    <cellStyle name="Normal 10 2" xfId="114"/>
    <cellStyle name="Normal 10 3" xfId="661"/>
    <cellStyle name="Normal 10 3 2" xfId="990"/>
    <cellStyle name="Normal 10 4" xfId="876"/>
    <cellStyle name="Normal 10 5" xfId="546"/>
    <cellStyle name="Normal 11" xfId="115"/>
    <cellStyle name="Normal 11 2" xfId="222"/>
    <cellStyle name="Normal 11 3" xfId="329"/>
    <cellStyle name="Normal 11 4" xfId="437"/>
    <cellStyle name="Normal 11 5" xfId="1106"/>
    <cellStyle name="Normal 2" xfId="4"/>
    <cellStyle name="Normal 2 10" xfId="544"/>
    <cellStyle name="Normal 2 2" xfId="542"/>
    <cellStyle name="Normal 2 3" xfId="5"/>
    <cellStyle name="Normal 2 3 2" xfId="547"/>
    <cellStyle name="Normal 2 5" xfId="6"/>
    <cellStyle name="Normal 2 5 2" xfId="7"/>
    <cellStyle name="Normal 2 5 2 2" xfId="120"/>
    <cellStyle name="Normal 2 5 2 2 2" xfId="890"/>
    <cellStyle name="Normal 2 5 2 2 3" xfId="561"/>
    <cellStyle name="Normal 2 5 2 3" xfId="227"/>
    <cellStyle name="Normal 2 5 2 3 2" xfId="675"/>
    <cellStyle name="Normal 2 5 2 4" xfId="335"/>
    <cellStyle name="Normal 2 5 2 4 2" xfId="776"/>
    <cellStyle name="Normal 2 5 2 5" xfId="444"/>
    <cellStyle name="Normal 2 5 2 6" xfId="1004"/>
    <cellStyle name="Normal 2 5 3" xfId="119"/>
    <cellStyle name="Normal 2 5 3 2" xfId="889"/>
    <cellStyle name="Normal 2 5 3 3" xfId="560"/>
    <cellStyle name="Normal 2 5 4" xfId="226"/>
    <cellStyle name="Normal 2 5 4 2" xfId="674"/>
    <cellStyle name="Normal 2 5 5" xfId="334"/>
    <cellStyle name="Normal 2 5 5 2" xfId="775"/>
    <cellStyle name="Normal 2 5 6" xfId="443"/>
    <cellStyle name="Normal 2 5 7" xfId="1003"/>
    <cellStyle name="Normal 27" xfId="111"/>
    <cellStyle name="Normal 3" xfId="8"/>
    <cellStyle name="Normal 3 10" xfId="9"/>
    <cellStyle name="Normal 3 10 10" xfId="554"/>
    <cellStyle name="Normal 3 10 10 2" xfId="668"/>
    <cellStyle name="Normal 3 10 10 2 2" xfId="997"/>
    <cellStyle name="Normal 3 10 10 3" xfId="883"/>
    <cellStyle name="Normal 3 10 11" xfId="551"/>
    <cellStyle name="Normal 3 10 11 2" xfId="665"/>
    <cellStyle name="Normal 3 10 11 2 2" xfId="994"/>
    <cellStyle name="Normal 3 10 11 3" xfId="880"/>
    <cellStyle name="Normal 3 10 12" xfId="552"/>
    <cellStyle name="Normal 3 10 12 2" xfId="666"/>
    <cellStyle name="Normal 3 10 12 2 2" xfId="995"/>
    <cellStyle name="Normal 3 10 12 3" xfId="881"/>
    <cellStyle name="Normal 3 10 13" xfId="556"/>
    <cellStyle name="Normal 3 10 13 2" xfId="670"/>
    <cellStyle name="Normal 3 10 13 2 2" xfId="999"/>
    <cellStyle name="Normal 3 10 13 3" xfId="885"/>
    <cellStyle name="Normal 3 10 14" xfId="677"/>
    <cellStyle name="Normal 3 10 15" xfId="778"/>
    <cellStyle name="Normal 3 10 16" xfId="446"/>
    <cellStyle name="Normal 3 10 17" xfId="1006"/>
    <cellStyle name="Normal 3 10 2" xfId="10"/>
    <cellStyle name="Normal 3 10 2 2" xfId="123"/>
    <cellStyle name="Normal 3 10 2 2 2" xfId="439"/>
    <cellStyle name="Normal 3 10 2 2 2 2" xfId="769"/>
    <cellStyle name="Normal 3 10 2 2 3" xfId="893"/>
    <cellStyle name="Normal 3 10 2 2 4" xfId="564"/>
    <cellStyle name="Normal 3 10 2 2 5" xfId="1108"/>
    <cellStyle name="Normal 3 10 2 3" xfId="230"/>
    <cellStyle name="Normal 3 10 2 3 2" xfId="678"/>
    <cellStyle name="Normal 3 10 2 4" xfId="338"/>
    <cellStyle name="Normal 3 10 2 4 2" xfId="779"/>
    <cellStyle name="Normal 3 10 2 5" xfId="447"/>
    <cellStyle name="Normal 3 10 2 6" xfId="1007"/>
    <cellStyle name="Normal 3 10 3" xfId="105"/>
    <cellStyle name="Normal 3 10 3 2" xfId="216"/>
    <cellStyle name="Normal 3 10 3 2 2" xfId="986"/>
    <cellStyle name="Normal 3 10 3 2 3" xfId="657"/>
    <cellStyle name="Normal 3 10 3 3" xfId="323"/>
    <cellStyle name="Normal 3 10 3 3 2" xfId="872"/>
    <cellStyle name="Normal 3 10 3 4" xfId="431"/>
    <cellStyle name="Normal 3 10 3 5" xfId="540"/>
    <cellStyle name="Normal 3 10 3 6" xfId="1100"/>
    <cellStyle name="Normal 3 10 4" xfId="122"/>
    <cellStyle name="Normal 3 10 4 2" xfId="662"/>
    <cellStyle name="Normal 3 10 4 2 2" xfId="991"/>
    <cellStyle name="Normal 3 10 4 3" xfId="877"/>
    <cellStyle name="Normal 3 10 4 4" xfId="548"/>
    <cellStyle name="Normal 3 10 5" xfId="110"/>
    <cellStyle name="Normal 3 10 5 2" xfId="220"/>
    <cellStyle name="Normal 3 10 5 2 2" xfId="992"/>
    <cellStyle name="Normal 3 10 5 2 3" xfId="663"/>
    <cellStyle name="Normal 3 10 5 3" xfId="327"/>
    <cellStyle name="Normal 3 10 5 3 2" xfId="878"/>
    <cellStyle name="Normal 3 10 5 4" xfId="435"/>
    <cellStyle name="Normal 3 10 5 5" xfId="549"/>
    <cellStyle name="Normal 3 10 5 6" xfId="1104"/>
    <cellStyle name="Normal 3 10 6" xfId="229"/>
    <cellStyle name="Normal 3 10 6 2" xfId="664"/>
    <cellStyle name="Normal 3 10 6 2 2" xfId="993"/>
    <cellStyle name="Normal 3 10 6 3" xfId="879"/>
    <cellStyle name="Normal 3 10 6 4" xfId="550"/>
    <cellStyle name="Normal 3 10 7" xfId="337"/>
    <cellStyle name="Normal 3 10 7 2" xfId="669"/>
    <cellStyle name="Normal 3 10 7 2 2" xfId="998"/>
    <cellStyle name="Normal 3 10 7 3" xfId="884"/>
    <cellStyle name="Normal 3 10 7 4" xfId="555"/>
    <cellStyle name="Normal 3 10 8" xfId="557"/>
    <cellStyle name="Normal 3 10 8 2" xfId="553"/>
    <cellStyle name="Normal 3 10 8 2 2" xfId="667"/>
    <cellStyle name="Normal 3 10 8 2 2 2" xfId="996"/>
    <cellStyle name="Normal 3 10 8 2 3" xfId="882"/>
    <cellStyle name="Normal 3 10 8 3" xfId="671"/>
    <cellStyle name="Normal 3 10 8 3 2" xfId="1000"/>
    <cellStyle name="Normal 3 10 8 4" xfId="886"/>
    <cellStyle name="Normal 3 10 9" xfId="563"/>
    <cellStyle name="Normal 3 10 9 2" xfId="892"/>
    <cellStyle name="Normal 3 11" xfId="228"/>
    <cellStyle name="Normal 3 11 2" xfId="676"/>
    <cellStyle name="Normal 3 12" xfId="336"/>
    <cellStyle name="Normal 3 12 2" xfId="777"/>
    <cellStyle name="Normal 3 13" xfId="445"/>
    <cellStyle name="Normal 3 14" xfId="1005"/>
    <cellStyle name="Normal 3 2" xfId="11"/>
    <cellStyle name="Normal 3 2 10" xfId="339"/>
    <cellStyle name="Normal 3 2 10 2" xfId="109"/>
    <cellStyle name="Normal 3 2 10 2 2" xfId="219"/>
    <cellStyle name="Normal 3 2 10 2 2 2" xfId="440"/>
    <cellStyle name="Normal 3 2 10 2 2 3" xfId="1109"/>
    <cellStyle name="Normal 3 2 10 2 3" xfId="326"/>
    <cellStyle name="Normal 3 2 10 2 4" xfId="434"/>
    <cellStyle name="Normal 3 2 10 2 5" xfId="1103"/>
    <cellStyle name="Normal 3 2 10 3" xfId="780"/>
    <cellStyle name="Normal 3 2 11" xfId="448"/>
    <cellStyle name="Normal 3 2 12" xfId="1008"/>
    <cellStyle name="Normal 3 2 13" xfId="12"/>
    <cellStyle name="Normal 3 2 13 2" xfId="13"/>
    <cellStyle name="Normal 3 2 13 2 2" xfId="126"/>
    <cellStyle name="Normal 3 2 13 2 2 2" xfId="896"/>
    <cellStyle name="Normal 3 2 13 2 2 3" xfId="567"/>
    <cellStyle name="Normal 3 2 13 2 3" xfId="233"/>
    <cellStyle name="Normal 3 2 13 2 3 2" xfId="681"/>
    <cellStyle name="Normal 3 2 13 2 4" xfId="341"/>
    <cellStyle name="Normal 3 2 13 2 4 2" xfId="782"/>
    <cellStyle name="Normal 3 2 13 2 5" xfId="450"/>
    <cellStyle name="Normal 3 2 13 2 6" xfId="1010"/>
    <cellStyle name="Normal 3 2 13 3" xfId="125"/>
    <cellStyle name="Normal 3 2 13 3 2" xfId="895"/>
    <cellStyle name="Normal 3 2 13 3 3" xfId="566"/>
    <cellStyle name="Normal 3 2 13 4" xfId="232"/>
    <cellStyle name="Normal 3 2 13 4 2" xfId="680"/>
    <cellStyle name="Normal 3 2 13 5" xfId="340"/>
    <cellStyle name="Normal 3 2 13 5 2" xfId="781"/>
    <cellStyle name="Normal 3 2 13 6" xfId="449"/>
    <cellStyle name="Normal 3 2 13 7" xfId="1009"/>
    <cellStyle name="Normal 3 2 15" xfId="14"/>
    <cellStyle name="Normal 3 2 15 2" xfId="15"/>
    <cellStyle name="Normal 3 2 15 2 2" xfId="128"/>
    <cellStyle name="Normal 3 2 15 2 2 2" xfId="898"/>
    <cellStyle name="Normal 3 2 15 2 2 3" xfId="569"/>
    <cellStyle name="Normal 3 2 15 2 3" xfId="235"/>
    <cellStyle name="Normal 3 2 15 2 3 2" xfId="683"/>
    <cellStyle name="Normal 3 2 15 2 4" xfId="343"/>
    <cellStyle name="Normal 3 2 15 2 4 2" xfId="784"/>
    <cellStyle name="Normal 3 2 15 2 5" xfId="452"/>
    <cellStyle name="Normal 3 2 15 2 6" xfId="1012"/>
    <cellStyle name="Normal 3 2 15 3" xfId="127"/>
    <cellStyle name="Normal 3 2 15 3 2" xfId="897"/>
    <cellStyle name="Normal 3 2 15 3 3" xfId="568"/>
    <cellStyle name="Normal 3 2 15 4" xfId="234"/>
    <cellStyle name="Normal 3 2 15 4 2" xfId="682"/>
    <cellStyle name="Normal 3 2 15 5" xfId="342"/>
    <cellStyle name="Normal 3 2 15 5 2" xfId="783"/>
    <cellStyle name="Normal 3 2 15 6" xfId="451"/>
    <cellStyle name="Normal 3 2 15 7" xfId="1011"/>
    <cellStyle name="Normal 3 2 16" xfId="16"/>
    <cellStyle name="Normal 3 2 16 2" xfId="17"/>
    <cellStyle name="Normal 3 2 16 2 2" xfId="130"/>
    <cellStyle name="Normal 3 2 16 2 2 2" xfId="900"/>
    <cellStyle name="Normal 3 2 16 2 2 3" xfId="571"/>
    <cellStyle name="Normal 3 2 16 2 3" xfId="237"/>
    <cellStyle name="Normal 3 2 16 2 3 2" xfId="685"/>
    <cellStyle name="Normal 3 2 16 2 4" xfId="345"/>
    <cellStyle name="Normal 3 2 16 2 4 2" xfId="786"/>
    <cellStyle name="Normal 3 2 16 2 5" xfId="454"/>
    <cellStyle name="Normal 3 2 16 2 6" xfId="1014"/>
    <cellStyle name="Normal 3 2 16 3" xfId="129"/>
    <cellStyle name="Normal 3 2 16 3 2" xfId="899"/>
    <cellStyle name="Normal 3 2 16 3 3" xfId="570"/>
    <cellStyle name="Normal 3 2 16 4" xfId="236"/>
    <cellStyle name="Normal 3 2 16 4 2" xfId="684"/>
    <cellStyle name="Normal 3 2 16 5" xfId="344"/>
    <cellStyle name="Normal 3 2 16 5 2" xfId="785"/>
    <cellStyle name="Normal 3 2 16 6" xfId="453"/>
    <cellStyle name="Normal 3 2 16 7" xfId="1013"/>
    <cellStyle name="Normal 3 2 17" xfId="18"/>
    <cellStyle name="Normal 3 2 17 2" xfId="19"/>
    <cellStyle name="Normal 3 2 17 2 2" xfId="132"/>
    <cellStyle name="Normal 3 2 17 2 2 2" xfId="902"/>
    <cellStyle name="Normal 3 2 17 2 2 3" xfId="573"/>
    <cellStyle name="Normal 3 2 17 2 3" xfId="239"/>
    <cellStyle name="Normal 3 2 17 2 3 2" xfId="687"/>
    <cellStyle name="Normal 3 2 17 2 4" xfId="347"/>
    <cellStyle name="Normal 3 2 17 2 4 2" xfId="788"/>
    <cellStyle name="Normal 3 2 17 2 5" xfId="456"/>
    <cellStyle name="Normal 3 2 17 2 6" xfId="1016"/>
    <cellStyle name="Normal 3 2 17 3" xfId="131"/>
    <cellStyle name="Normal 3 2 17 3 2" xfId="901"/>
    <cellStyle name="Normal 3 2 17 3 3" xfId="572"/>
    <cellStyle name="Normal 3 2 17 4" xfId="238"/>
    <cellStyle name="Normal 3 2 17 4 2" xfId="686"/>
    <cellStyle name="Normal 3 2 17 5" xfId="346"/>
    <cellStyle name="Normal 3 2 17 5 2" xfId="787"/>
    <cellStyle name="Normal 3 2 17 6" xfId="455"/>
    <cellStyle name="Normal 3 2 17 7" xfId="1015"/>
    <cellStyle name="Normal 3 2 18" xfId="20"/>
    <cellStyle name="Normal 3 2 18 2" xfId="21"/>
    <cellStyle name="Normal 3 2 18 2 2" xfId="134"/>
    <cellStyle name="Normal 3 2 18 2 2 2" xfId="904"/>
    <cellStyle name="Normal 3 2 18 2 2 3" xfId="575"/>
    <cellStyle name="Normal 3 2 18 2 3" xfId="241"/>
    <cellStyle name="Normal 3 2 18 2 3 2" xfId="689"/>
    <cellStyle name="Normal 3 2 18 2 4" xfId="349"/>
    <cellStyle name="Normal 3 2 18 2 4 2" xfId="790"/>
    <cellStyle name="Normal 3 2 18 2 5" xfId="458"/>
    <cellStyle name="Normal 3 2 18 2 6" xfId="1018"/>
    <cellStyle name="Normal 3 2 18 3" xfId="133"/>
    <cellStyle name="Normal 3 2 18 3 2" xfId="903"/>
    <cellStyle name="Normal 3 2 18 3 3" xfId="574"/>
    <cellStyle name="Normal 3 2 18 4" xfId="240"/>
    <cellStyle name="Normal 3 2 18 4 2" xfId="688"/>
    <cellStyle name="Normal 3 2 18 5" xfId="348"/>
    <cellStyle name="Normal 3 2 18 5 2" xfId="789"/>
    <cellStyle name="Normal 3 2 18 6" xfId="457"/>
    <cellStyle name="Normal 3 2 18 7" xfId="1017"/>
    <cellStyle name="Normal 3 2 19" xfId="22"/>
    <cellStyle name="Normal 3 2 19 2" xfId="23"/>
    <cellStyle name="Normal 3 2 19 2 2" xfId="136"/>
    <cellStyle name="Normal 3 2 19 2 2 2" xfId="906"/>
    <cellStyle name="Normal 3 2 19 2 2 3" xfId="577"/>
    <cellStyle name="Normal 3 2 19 2 3" xfId="243"/>
    <cellStyle name="Normal 3 2 19 2 3 2" xfId="691"/>
    <cellStyle name="Normal 3 2 19 2 4" xfId="351"/>
    <cellStyle name="Normal 3 2 19 2 4 2" xfId="792"/>
    <cellStyle name="Normal 3 2 19 2 5" xfId="460"/>
    <cellStyle name="Normal 3 2 19 2 6" xfId="1020"/>
    <cellStyle name="Normal 3 2 19 3" xfId="135"/>
    <cellStyle name="Normal 3 2 19 3 2" xfId="905"/>
    <cellStyle name="Normal 3 2 19 3 3" xfId="576"/>
    <cellStyle name="Normal 3 2 19 4" xfId="242"/>
    <cellStyle name="Normal 3 2 19 4 2" xfId="690"/>
    <cellStyle name="Normal 3 2 19 5" xfId="350"/>
    <cellStyle name="Normal 3 2 19 5 2" xfId="791"/>
    <cellStyle name="Normal 3 2 19 6" xfId="459"/>
    <cellStyle name="Normal 3 2 19 7" xfId="1019"/>
    <cellStyle name="Normal 3 2 2" xfId="24"/>
    <cellStyle name="Normal 3 2 2 2" xfId="25"/>
    <cellStyle name="Normal 3 2 2 2 2" xfId="138"/>
    <cellStyle name="Normal 3 2 2 2 2 2" xfId="908"/>
    <cellStyle name="Normal 3 2 2 2 2 3" xfId="579"/>
    <cellStyle name="Normal 3 2 2 2 3" xfId="245"/>
    <cellStyle name="Normal 3 2 2 2 3 2" xfId="693"/>
    <cellStyle name="Normal 3 2 2 2 4" xfId="353"/>
    <cellStyle name="Normal 3 2 2 2 4 2" xfId="794"/>
    <cellStyle name="Normal 3 2 2 2 5" xfId="462"/>
    <cellStyle name="Normal 3 2 2 2 6" xfId="1022"/>
    <cellStyle name="Normal 3 2 2 3" xfId="137"/>
    <cellStyle name="Normal 3 2 2 3 2" xfId="907"/>
    <cellStyle name="Normal 3 2 2 3 3" xfId="578"/>
    <cellStyle name="Normal 3 2 2 4" xfId="244"/>
    <cellStyle name="Normal 3 2 2 4 2" xfId="692"/>
    <cellStyle name="Normal 3 2 2 5" xfId="352"/>
    <cellStyle name="Normal 3 2 2 5 2" xfId="793"/>
    <cellStyle name="Normal 3 2 2 6" xfId="461"/>
    <cellStyle name="Normal 3 2 2 7" xfId="1021"/>
    <cellStyle name="Normal 3 2 20" xfId="26"/>
    <cellStyle name="Normal 3 2 20 2" xfId="27"/>
    <cellStyle name="Normal 3 2 20 2 2" xfId="140"/>
    <cellStyle name="Normal 3 2 20 2 2 2" xfId="910"/>
    <cellStyle name="Normal 3 2 20 2 2 3" xfId="581"/>
    <cellStyle name="Normal 3 2 20 2 3" xfId="247"/>
    <cellStyle name="Normal 3 2 20 2 3 2" xfId="695"/>
    <cellStyle name="Normal 3 2 20 2 4" xfId="355"/>
    <cellStyle name="Normal 3 2 20 2 4 2" xfId="796"/>
    <cellStyle name="Normal 3 2 20 2 5" xfId="464"/>
    <cellStyle name="Normal 3 2 20 2 6" xfId="1024"/>
    <cellStyle name="Normal 3 2 20 3" xfId="139"/>
    <cellStyle name="Normal 3 2 20 3 2" xfId="909"/>
    <cellStyle name="Normal 3 2 20 3 3" xfId="580"/>
    <cellStyle name="Normal 3 2 20 4" xfId="246"/>
    <cellStyle name="Normal 3 2 20 4 2" xfId="694"/>
    <cellStyle name="Normal 3 2 20 5" xfId="354"/>
    <cellStyle name="Normal 3 2 20 5 2" xfId="795"/>
    <cellStyle name="Normal 3 2 20 6" xfId="463"/>
    <cellStyle name="Normal 3 2 20 7" xfId="1023"/>
    <cellStyle name="Normal 3 2 21" xfId="28"/>
    <cellStyle name="Normal 3 2 21 2" xfId="29"/>
    <cellStyle name="Normal 3 2 21 2 2" xfId="142"/>
    <cellStyle name="Normal 3 2 21 2 2 2" xfId="912"/>
    <cellStyle name="Normal 3 2 21 2 2 3" xfId="583"/>
    <cellStyle name="Normal 3 2 21 2 3" xfId="249"/>
    <cellStyle name="Normal 3 2 21 2 3 2" xfId="697"/>
    <cellStyle name="Normal 3 2 21 2 4" xfId="357"/>
    <cellStyle name="Normal 3 2 21 2 4 2" xfId="798"/>
    <cellStyle name="Normal 3 2 21 2 5" xfId="466"/>
    <cellStyle name="Normal 3 2 21 2 6" xfId="1026"/>
    <cellStyle name="Normal 3 2 21 3" xfId="141"/>
    <cellStyle name="Normal 3 2 21 3 2" xfId="911"/>
    <cellStyle name="Normal 3 2 21 3 3" xfId="582"/>
    <cellStyle name="Normal 3 2 21 4" xfId="248"/>
    <cellStyle name="Normal 3 2 21 4 2" xfId="696"/>
    <cellStyle name="Normal 3 2 21 5" xfId="356"/>
    <cellStyle name="Normal 3 2 21 5 2" xfId="797"/>
    <cellStyle name="Normal 3 2 21 6" xfId="465"/>
    <cellStyle name="Normal 3 2 21 7" xfId="1025"/>
    <cellStyle name="Normal 3 2 22" xfId="30"/>
    <cellStyle name="Normal 3 2 22 2" xfId="31"/>
    <cellStyle name="Normal 3 2 22 2 2" xfId="144"/>
    <cellStyle name="Normal 3 2 22 2 2 2" xfId="914"/>
    <cellStyle name="Normal 3 2 22 2 2 3" xfId="585"/>
    <cellStyle name="Normal 3 2 22 2 3" xfId="251"/>
    <cellStyle name="Normal 3 2 22 2 3 2" xfId="699"/>
    <cellStyle name="Normal 3 2 22 2 4" xfId="359"/>
    <cellStyle name="Normal 3 2 22 2 4 2" xfId="800"/>
    <cellStyle name="Normal 3 2 22 2 5" xfId="468"/>
    <cellStyle name="Normal 3 2 22 2 6" xfId="1028"/>
    <cellStyle name="Normal 3 2 22 3" xfId="143"/>
    <cellStyle name="Normal 3 2 22 3 2" xfId="913"/>
    <cellStyle name="Normal 3 2 22 3 3" xfId="584"/>
    <cellStyle name="Normal 3 2 22 4" xfId="250"/>
    <cellStyle name="Normal 3 2 22 4 2" xfId="698"/>
    <cellStyle name="Normal 3 2 22 5" xfId="358"/>
    <cellStyle name="Normal 3 2 22 5 2" xfId="799"/>
    <cellStyle name="Normal 3 2 22 6" xfId="467"/>
    <cellStyle name="Normal 3 2 22 7" xfId="1027"/>
    <cellStyle name="Normal 3 2 23" xfId="32"/>
    <cellStyle name="Normal 3 2 23 2" xfId="33"/>
    <cellStyle name="Normal 3 2 23 2 2" xfId="146"/>
    <cellStyle name="Normal 3 2 23 2 2 2" xfId="916"/>
    <cellStyle name="Normal 3 2 23 2 2 3" xfId="587"/>
    <cellStyle name="Normal 3 2 23 2 3" xfId="253"/>
    <cellStyle name="Normal 3 2 23 2 3 2" xfId="701"/>
    <cellStyle name="Normal 3 2 23 2 4" xfId="361"/>
    <cellStyle name="Normal 3 2 23 2 4 2" xfId="802"/>
    <cellStyle name="Normal 3 2 23 2 5" xfId="470"/>
    <cellStyle name="Normal 3 2 23 2 6" xfId="1030"/>
    <cellStyle name="Normal 3 2 23 3" xfId="145"/>
    <cellStyle name="Normal 3 2 23 3 2" xfId="915"/>
    <cellStyle name="Normal 3 2 23 3 3" xfId="586"/>
    <cellStyle name="Normal 3 2 23 4" xfId="252"/>
    <cellStyle name="Normal 3 2 23 4 2" xfId="700"/>
    <cellStyle name="Normal 3 2 23 5" xfId="360"/>
    <cellStyle name="Normal 3 2 23 5 2" xfId="801"/>
    <cellStyle name="Normal 3 2 23 6" xfId="469"/>
    <cellStyle name="Normal 3 2 23 7" xfId="1029"/>
    <cellStyle name="Normal 3 2 24" xfId="34"/>
    <cellStyle name="Normal 3 2 24 2" xfId="35"/>
    <cellStyle name="Normal 3 2 24 2 2" xfId="148"/>
    <cellStyle name="Normal 3 2 24 2 2 2" xfId="918"/>
    <cellStyle name="Normal 3 2 24 2 2 3" xfId="589"/>
    <cellStyle name="Normal 3 2 24 2 3" xfId="255"/>
    <cellStyle name="Normal 3 2 24 2 3 2" xfId="703"/>
    <cellStyle name="Normal 3 2 24 2 4" xfId="363"/>
    <cellStyle name="Normal 3 2 24 2 4 2" xfId="804"/>
    <cellStyle name="Normal 3 2 24 2 5" xfId="472"/>
    <cellStyle name="Normal 3 2 24 2 6" xfId="1032"/>
    <cellStyle name="Normal 3 2 24 3" xfId="147"/>
    <cellStyle name="Normal 3 2 24 3 2" xfId="917"/>
    <cellStyle name="Normal 3 2 24 3 3" xfId="588"/>
    <cellStyle name="Normal 3 2 24 4" xfId="254"/>
    <cellStyle name="Normal 3 2 24 4 2" xfId="702"/>
    <cellStyle name="Normal 3 2 24 5" xfId="362"/>
    <cellStyle name="Normal 3 2 24 5 2" xfId="803"/>
    <cellStyle name="Normal 3 2 24 6" xfId="471"/>
    <cellStyle name="Normal 3 2 24 7" xfId="1031"/>
    <cellStyle name="Normal 3 2 25" xfId="36"/>
    <cellStyle name="Normal 3 2 25 2" xfId="37"/>
    <cellStyle name="Normal 3 2 25 2 2" xfId="150"/>
    <cellStyle name="Normal 3 2 25 2 2 2" xfId="920"/>
    <cellStyle name="Normal 3 2 25 2 2 3" xfId="591"/>
    <cellStyle name="Normal 3 2 25 2 3" xfId="257"/>
    <cellStyle name="Normal 3 2 25 2 3 2" xfId="705"/>
    <cellStyle name="Normal 3 2 25 2 4" xfId="365"/>
    <cellStyle name="Normal 3 2 25 2 4 2" xfId="806"/>
    <cellStyle name="Normal 3 2 25 2 5" xfId="474"/>
    <cellStyle name="Normal 3 2 25 2 6" xfId="1034"/>
    <cellStyle name="Normal 3 2 25 3" xfId="149"/>
    <cellStyle name="Normal 3 2 25 3 2" xfId="919"/>
    <cellStyle name="Normal 3 2 25 3 3" xfId="590"/>
    <cellStyle name="Normal 3 2 25 4" xfId="256"/>
    <cellStyle name="Normal 3 2 25 4 2" xfId="704"/>
    <cellStyle name="Normal 3 2 25 5" xfId="364"/>
    <cellStyle name="Normal 3 2 25 5 2" xfId="805"/>
    <cellStyle name="Normal 3 2 25 6" xfId="473"/>
    <cellStyle name="Normal 3 2 25 7" xfId="1033"/>
    <cellStyle name="Normal 3 2 3" xfId="38"/>
    <cellStyle name="Normal 3 2 3 10" xfId="1035"/>
    <cellStyle name="Normal 3 2 3 2" xfId="39"/>
    <cellStyle name="Normal 3 2 3 2 2" xfId="40"/>
    <cellStyle name="Normal 3 2 3 2 2 2" xfId="41"/>
    <cellStyle name="Normal 3 2 3 2 2 2 2" xfId="154"/>
    <cellStyle name="Normal 3 2 3 2 2 2 2 2" xfId="438"/>
    <cellStyle name="Normal 3 2 3 2 2 2 2 2 2" xfId="924"/>
    <cellStyle name="Normal 3 2 3 2 2 2 2 3" xfId="595"/>
    <cellStyle name="Normal 3 2 3 2 2 2 2 4" xfId="1107"/>
    <cellStyle name="Normal 3 2 3 2 2 2 3" xfId="261"/>
    <cellStyle name="Normal 3 2 3 2 2 2 3 2" xfId="709"/>
    <cellStyle name="Normal 3 2 3 2 2 2 4" xfId="369"/>
    <cellStyle name="Normal 3 2 3 2 2 2 4 2" xfId="810"/>
    <cellStyle name="Normal 3 2 3 2 2 2 5" xfId="478"/>
    <cellStyle name="Normal 3 2 3 2 2 2 6" xfId="1038"/>
    <cellStyle name="Normal 3 2 3 2 2 3" xfId="103"/>
    <cellStyle name="Normal 3 2 3 2 2 3 2" xfId="214"/>
    <cellStyle name="Normal 3 2 3 2 2 3 2 2" xfId="984"/>
    <cellStyle name="Normal 3 2 3 2 2 3 2 3" xfId="655"/>
    <cellStyle name="Normal 3 2 3 2 2 3 3" xfId="321"/>
    <cellStyle name="Normal 3 2 3 2 2 3 3 2" xfId="870"/>
    <cellStyle name="Normal 3 2 3 2 2 3 4" xfId="429"/>
    <cellStyle name="Normal 3 2 3 2 2 3 5" xfId="538"/>
    <cellStyle name="Normal 3 2 3 2 2 3 6" xfId="1098"/>
    <cellStyle name="Normal 3 2 3 2 2 4" xfId="153"/>
    <cellStyle name="Normal 3 2 3 2 2 4 2" xfId="923"/>
    <cellStyle name="Normal 3 2 3 2 2 4 3" xfId="594"/>
    <cellStyle name="Normal 3 2 3 2 2 5" xfId="260"/>
    <cellStyle name="Normal 3 2 3 2 2 5 2" xfId="708"/>
    <cellStyle name="Normal 3 2 3 2 2 6" xfId="368"/>
    <cellStyle name="Normal 3 2 3 2 2 6 2" xfId="809"/>
    <cellStyle name="Normal 3 2 3 2 2 7" xfId="477"/>
    <cellStyle name="Normal 3 2 3 2 2 8" xfId="1037"/>
    <cellStyle name="Normal 3 2 3 2 3" xfId="42"/>
    <cellStyle name="Normal 3 2 3 2 3 2" xfId="155"/>
    <cellStyle name="Normal 3 2 3 2 3 2 2" xfId="925"/>
    <cellStyle name="Normal 3 2 3 2 3 2 3" xfId="596"/>
    <cellStyle name="Normal 3 2 3 2 3 3" xfId="262"/>
    <cellStyle name="Normal 3 2 3 2 3 3 2" xfId="710"/>
    <cellStyle name="Normal 3 2 3 2 3 4" xfId="370"/>
    <cellStyle name="Normal 3 2 3 2 3 4 2" xfId="811"/>
    <cellStyle name="Normal 3 2 3 2 3 5" xfId="479"/>
    <cellStyle name="Normal 3 2 3 2 3 6" xfId="1039"/>
    <cellStyle name="Normal 3 2 3 2 4" xfId="152"/>
    <cellStyle name="Normal 3 2 3 2 4 2" xfId="922"/>
    <cellStyle name="Normal 3 2 3 2 4 3" xfId="593"/>
    <cellStyle name="Normal 3 2 3 2 5" xfId="259"/>
    <cellStyle name="Normal 3 2 3 2 5 2" xfId="707"/>
    <cellStyle name="Normal 3 2 3 2 6" xfId="367"/>
    <cellStyle name="Normal 3 2 3 2 6 2" xfId="808"/>
    <cellStyle name="Normal 3 2 3 2 7" xfId="476"/>
    <cellStyle name="Normal 3 2 3 2 8" xfId="1036"/>
    <cellStyle name="Normal 3 2 3 3" xfId="43"/>
    <cellStyle name="Normal 3 2 3 3 2" xfId="156"/>
    <cellStyle name="Normal 3 2 3 3 2 2" xfId="926"/>
    <cellStyle name="Normal 3 2 3 3 2 3" xfId="597"/>
    <cellStyle name="Normal 3 2 3 3 3" xfId="263"/>
    <cellStyle name="Normal 3 2 3 3 3 2" xfId="711"/>
    <cellStyle name="Normal 3 2 3 3 4" xfId="371"/>
    <cellStyle name="Normal 3 2 3 3 4 2" xfId="812"/>
    <cellStyle name="Normal 3 2 3 3 5" xfId="480"/>
    <cellStyle name="Normal 3 2 3 3 6" xfId="1040"/>
    <cellStyle name="Normal 3 2 3 4" xfId="102"/>
    <cellStyle name="Normal 3 2 3 4 2" xfId="213"/>
    <cellStyle name="Normal 3 2 3 4 2 2" xfId="983"/>
    <cellStyle name="Normal 3 2 3 4 2 3" xfId="654"/>
    <cellStyle name="Normal 3 2 3 4 3" xfId="320"/>
    <cellStyle name="Normal 3 2 3 4 3 2" xfId="869"/>
    <cellStyle name="Normal 3 2 3 4 4" xfId="428"/>
    <cellStyle name="Normal 3 2 3 4 5" xfId="537"/>
    <cellStyle name="Normal 3 2 3 4 6" xfId="1097"/>
    <cellStyle name="Normal 3 2 3 5" xfId="151"/>
    <cellStyle name="Normal 3 2 3 5 2" xfId="659"/>
    <cellStyle name="Normal 3 2 3 5 2 2" xfId="988"/>
    <cellStyle name="Normal 3 2 3 5 3" xfId="766"/>
    <cellStyle name="Normal 3 2 3 5 4" xfId="874"/>
    <cellStyle name="Normal 3 2 3 5 5" xfId="543"/>
    <cellStyle name="Normal 3 2 3 6" xfId="258"/>
    <cellStyle name="Normal 3 2 3 6 2" xfId="921"/>
    <cellStyle name="Normal 3 2 3 6 3" xfId="592"/>
    <cellStyle name="Normal 3 2 3 7" xfId="366"/>
    <cellStyle name="Normal 3 2 3 7 2" xfId="706"/>
    <cellStyle name="Normal 3 2 3 8" xfId="807"/>
    <cellStyle name="Normal 3 2 3 9" xfId="475"/>
    <cellStyle name="Normal 3 2 4" xfId="44"/>
    <cellStyle name="Normal 3 2 4 2" xfId="45"/>
    <cellStyle name="Normal 3 2 4 2 2" xfId="46"/>
    <cellStyle name="Normal 3 2 4 2 2 2" xfId="159"/>
    <cellStyle name="Normal 3 2 4 2 2 2 2" xfId="929"/>
    <cellStyle name="Normal 3 2 4 2 2 2 3" xfId="600"/>
    <cellStyle name="Normal 3 2 4 2 2 3" xfId="266"/>
    <cellStyle name="Normal 3 2 4 2 2 3 2" xfId="714"/>
    <cellStyle name="Normal 3 2 4 2 2 4" xfId="374"/>
    <cellStyle name="Normal 3 2 4 2 2 4 2" xfId="815"/>
    <cellStyle name="Normal 3 2 4 2 2 5" xfId="483"/>
    <cellStyle name="Normal 3 2 4 2 2 6" xfId="1043"/>
    <cellStyle name="Normal 3 2 4 2 3" xfId="158"/>
    <cellStyle name="Normal 3 2 4 2 3 2" xfId="928"/>
    <cellStyle name="Normal 3 2 4 2 3 3" xfId="599"/>
    <cellStyle name="Normal 3 2 4 2 4" xfId="265"/>
    <cellStyle name="Normal 3 2 4 2 4 2" xfId="713"/>
    <cellStyle name="Normal 3 2 4 2 5" xfId="373"/>
    <cellStyle name="Normal 3 2 4 2 5 2" xfId="814"/>
    <cellStyle name="Normal 3 2 4 2 6" xfId="482"/>
    <cellStyle name="Normal 3 2 4 2 7" xfId="1042"/>
    <cellStyle name="Normal 3 2 4 3" xfId="47"/>
    <cellStyle name="Normal 3 2 4 3 2" xfId="160"/>
    <cellStyle name="Normal 3 2 4 3 2 2" xfId="930"/>
    <cellStyle name="Normal 3 2 4 3 2 3" xfId="601"/>
    <cellStyle name="Normal 3 2 4 3 3" xfId="267"/>
    <cellStyle name="Normal 3 2 4 3 3 2" xfId="715"/>
    <cellStyle name="Normal 3 2 4 3 4" xfId="375"/>
    <cellStyle name="Normal 3 2 4 3 4 2" xfId="816"/>
    <cellStyle name="Normal 3 2 4 3 5" xfId="484"/>
    <cellStyle name="Normal 3 2 4 3 6" xfId="1044"/>
    <cellStyle name="Normal 3 2 4 4" xfId="157"/>
    <cellStyle name="Normal 3 2 4 4 2" xfId="927"/>
    <cellStyle name="Normal 3 2 4 4 3" xfId="598"/>
    <cellStyle name="Normal 3 2 4 5" xfId="264"/>
    <cellStyle name="Normal 3 2 4 5 2" xfId="712"/>
    <cellStyle name="Normal 3 2 4 6" xfId="372"/>
    <cellStyle name="Normal 3 2 4 6 2" xfId="813"/>
    <cellStyle name="Normal 3 2 4 7" xfId="481"/>
    <cellStyle name="Normal 3 2 4 8" xfId="1041"/>
    <cellStyle name="Normal 3 2 5" xfId="48"/>
    <cellStyle name="Normal 3 2 5 2" xfId="49"/>
    <cellStyle name="Normal 3 2 5 2 2" xfId="162"/>
    <cellStyle name="Normal 3 2 5 2 2 2" xfId="771"/>
    <cellStyle name="Normal 3 2 5 2 2 3" xfId="932"/>
    <cellStyle name="Normal 3 2 5 2 2 4" xfId="603"/>
    <cellStyle name="Normal 3 2 5 2 3" xfId="269"/>
    <cellStyle name="Normal 3 2 5 2 3 2" xfId="717"/>
    <cellStyle name="Normal 3 2 5 2 4" xfId="377"/>
    <cellStyle name="Normal 3 2 5 2 4 2" xfId="818"/>
    <cellStyle name="Normal 3 2 5 2 5" xfId="486"/>
    <cellStyle name="Normal 3 2 5 2 6" xfId="1046"/>
    <cellStyle name="Normal 3 2 5 3" xfId="161"/>
    <cellStyle name="Normal 3 2 5 3 2" xfId="931"/>
    <cellStyle name="Normal 3 2 5 3 3" xfId="602"/>
    <cellStyle name="Normal 3 2 5 4" xfId="268"/>
    <cellStyle name="Normal 3 2 5 4 2" xfId="716"/>
    <cellStyle name="Normal 3 2 5 5" xfId="376"/>
    <cellStyle name="Normal 3 2 5 5 2" xfId="660"/>
    <cellStyle name="Normal 3 2 5 5 2 2" xfId="989"/>
    <cellStyle name="Normal 3 2 5 5 3" xfId="768"/>
    <cellStyle name="Normal 3 2 5 5 4" xfId="875"/>
    <cellStyle name="Normal 3 2 5 5 5" xfId="545"/>
    <cellStyle name="Normal 3 2 5 6" xfId="817"/>
    <cellStyle name="Normal 3 2 5 7" xfId="485"/>
    <cellStyle name="Normal 3 2 5 8" xfId="1045"/>
    <cellStyle name="Normal 3 2 6" xfId="50"/>
    <cellStyle name="Normal 3 2 6 2" xfId="51"/>
    <cellStyle name="Normal 3 2 6 2 2" xfId="164"/>
    <cellStyle name="Normal 3 2 6 2 2 2" xfId="934"/>
    <cellStyle name="Normal 3 2 6 2 2 3" xfId="605"/>
    <cellStyle name="Normal 3 2 6 2 3" xfId="271"/>
    <cellStyle name="Normal 3 2 6 2 3 2" xfId="719"/>
    <cellStyle name="Normal 3 2 6 2 4" xfId="379"/>
    <cellStyle name="Normal 3 2 6 2 4 2" xfId="820"/>
    <cellStyle name="Normal 3 2 6 2 5" xfId="488"/>
    <cellStyle name="Normal 3 2 6 2 6" xfId="1048"/>
    <cellStyle name="Normal 3 2 6 3" xfId="163"/>
    <cellStyle name="Normal 3 2 6 3 2" xfId="933"/>
    <cellStyle name="Normal 3 2 6 3 3" xfId="604"/>
    <cellStyle name="Normal 3 2 6 4" xfId="270"/>
    <cellStyle name="Normal 3 2 6 4 2" xfId="718"/>
    <cellStyle name="Normal 3 2 6 5" xfId="378"/>
    <cellStyle name="Normal 3 2 6 5 2" xfId="819"/>
    <cellStyle name="Normal 3 2 6 6" xfId="487"/>
    <cellStyle name="Normal 3 2 6 7" xfId="1047"/>
    <cellStyle name="Normal 3 2 7" xfId="52"/>
    <cellStyle name="Normal 3 2 7 2" xfId="165"/>
    <cellStyle name="Normal 3 2 7 2 2" xfId="935"/>
    <cellStyle name="Normal 3 2 7 2 3" xfId="606"/>
    <cellStyle name="Normal 3 2 7 3" xfId="272"/>
    <cellStyle name="Normal 3 2 7 3 2" xfId="720"/>
    <cellStyle name="Normal 3 2 7 4" xfId="380"/>
    <cellStyle name="Normal 3 2 7 4 2" xfId="821"/>
    <cellStyle name="Normal 3 2 7 5" xfId="489"/>
    <cellStyle name="Normal 3 2 7 6" xfId="1049"/>
    <cellStyle name="Normal 3 2 8" xfId="124"/>
    <cellStyle name="Normal 3 2 8 2" xfId="894"/>
    <cellStyle name="Normal 3 2 8 3" xfId="565"/>
    <cellStyle name="Normal 3 2 9" xfId="231"/>
    <cellStyle name="Normal 3 2 9 2" xfId="679"/>
    <cellStyle name="Normal 3 3" xfId="53"/>
    <cellStyle name="Normal 3 3 2" xfId="166"/>
    <cellStyle name="Normal 3 3 2 2" xfId="936"/>
    <cellStyle name="Normal 3 3 2 3" xfId="607"/>
    <cellStyle name="Normal 3 3 3" xfId="273"/>
    <cellStyle name="Normal 3 3 3 2" xfId="721"/>
    <cellStyle name="Normal 3 3 4" xfId="381"/>
    <cellStyle name="Normal 3 3 4 2" xfId="822"/>
    <cellStyle name="Normal 3 3 5" xfId="490"/>
    <cellStyle name="Normal 3 3 6" xfId="1050"/>
    <cellStyle name="Normal 3 4" xfId="101"/>
    <cellStyle name="Normal 3 4 2" xfId="212"/>
    <cellStyle name="Normal 3 4 2 2" xfId="982"/>
    <cellStyle name="Normal 3 4 2 3" xfId="653"/>
    <cellStyle name="Normal 3 4 3" xfId="319"/>
    <cellStyle name="Normal 3 4 3 2" xfId="868"/>
    <cellStyle name="Normal 3 4 4" xfId="427"/>
    <cellStyle name="Normal 3 4 5" xfId="536"/>
    <cellStyle name="Normal 3 4 6" xfId="1096"/>
    <cellStyle name="Normal 3 5" xfId="121"/>
    <cellStyle name="Normal 3 5 2" xfId="891"/>
    <cellStyle name="Normal 3 5 3" xfId="562"/>
    <cellStyle name="Normal 3 6" xfId="54"/>
    <cellStyle name="Normal 3 6 2" xfId="55"/>
    <cellStyle name="Normal 3 6 2 2" xfId="168"/>
    <cellStyle name="Normal 3 6 2 2 2" xfId="938"/>
    <cellStyle name="Normal 3 6 2 2 3" xfId="609"/>
    <cellStyle name="Normal 3 6 2 3" xfId="275"/>
    <cellStyle name="Normal 3 6 2 3 2" xfId="723"/>
    <cellStyle name="Normal 3 6 2 4" xfId="383"/>
    <cellStyle name="Normal 3 6 2 4 2" xfId="824"/>
    <cellStyle name="Normal 3 6 2 5" xfId="492"/>
    <cellStyle name="Normal 3 6 2 6" xfId="1052"/>
    <cellStyle name="Normal 3 6 3" xfId="167"/>
    <cellStyle name="Normal 3 6 3 2" xfId="937"/>
    <cellStyle name="Normal 3 6 3 3" xfId="608"/>
    <cellStyle name="Normal 3 6 4" xfId="274"/>
    <cellStyle name="Normal 3 6 4 2" xfId="722"/>
    <cellStyle name="Normal 3 6 5" xfId="382"/>
    <cellStyle name="Normal 3 6 5 2" xfId="823"/>
    <cellStyle name="Normal 3 6 6" xfId="491"/>
    <cellStyle name="Normal 3 6 7" xfId="1051"/>
    <cellStyle name="Normal 3 7" xfId="56"/>
    <cellStyle name="Normal 3 7 2" xfId="57"/>
    <cellStyle name="Normal 3 7 2 2" xfId="170"/>
    <cellStyle name="Normal 3 7 2 2 2" xfId="940"/>
    <cellStyle name="Normal 3 7 2 2 3" xfId="611"/>
    <cellStyle name="Normal 3 7 2 3" xfId="277"/>
    <cellStyle name="Normal 3 7 2 3 2" xfId="725"/>
    <cellStyle name="Normal 3 7 2 4" xfId="385"/>
    <cellStyle name="Normal 3 7 2 4 2" xfId="826"/>
    <cellStyle name="Normal 3 7 2 5" xfId="494"/>
    <cellStyle name="Normal 3 7 2 6" xfId="1054"/>
    <cellStyle name="Normal 3 7 3" xfId="169"/>
    <cellStyle name="Normal 3 7 3 2" xfId="939"/>
    <cellStyle name="Normal 3 7 3 3" xfId="610"/>
    <cellStyle name="Normal 3 7 4" xfId="276"/>
    <cellStyle name="Normal 3 7 4 2" xfId="724"/>
    <cellStyle name="Normal 3 7 5" xfId="384"/>
    <cellStyle name="Normal 3 7 5 2" xfId="825"/>
    <cellStyle name="Normal 3 7 6" xfId="493"/>
    <cellStyle name="Normal 3 7 7" xfId="1053"/>
    <cellStyle name="Normal 3 8" xfId="58"/>
    <cellStyle name="Normal 3 8 2" xfId="59"/>
    <cellStyle name="Normal 3 8 2 2" xfId="172"/>
    <cellStyle name="Normal 3 8 2 2 2" xfId="942"/>
    <cellStyle name="Normal 3 8 2 2 3" xfId="613"/>
    <cellStyle name="Normal 3 8 2 3" xfId="279"/>
    <cellStyle name="Normal 3 8 2 3 2" xfId="727"/>
    <cellStyle name="Normal 3 8 2 4" xfId="387"/>
    <cellStyle name="Normal 3 8 2 4 2" xfId="828"/>
    <cellStyle name="Normal 3 8 2 5" xfId="496"/>
    <cellStyle name="Normal 3 8 2 6" xfId="1056"/>
    <cellStyle name="Normal 3 8 3" xfId="171"/>
    <cellStyle name="Normal 3 8 3 2" xfId="941"/>
    <cellStyle name="Normal 3 8 3 3" xfId="612"/>
    <cellStyle name="Normal 3 8 4" xfId="278"/>
    <cellStyle name="Normal 3 8 4 2" xfId="726"/>
    <cellStyle name="Normal 3 8 5" xfId="386"/>
    <cellStyle name="Normal 3 8 5 2" xfId="827"/>
    <cellStyle name="Normal 3 8 6" xfId="495"/>
    <cellStyle name="Normal 3 8 7" xfId="1055"/>
    <cellStyle name="Normal 3 9" xfId="60"/>
    <cellStyle name="Normal 3 9 2" xfId="61"/>
    <cellStyle name="Normal 3 9 2 2" xfId="174"/>
    <cellStyle name="Normal 3 9 2 2 2" xfId="944"/>
    <cellStyle name="Normal 3 9 2 2 3" xfId="615"/>
    <cellStyle name="Normal 3 9 2 3" xfId="281"/>
    <cellStyle name="Normal 3 9 2 3 2" xfId="729"/>
    <cellStyle name="Normal 3 9 2 4" xfId="389"/>
    <cellStyle name="Normal 3 9 2 4 2" xfId="830"/>
    <cellStyle name="Normal 3 9 2 5" xfId="498"/>
    <cellStyle name="Normal 3 9 2 6" xfId="1058"/>
    <cellStyle name="Normal 3 9 3" xfId="173"/>
    <cellStyle name="Normal 3 9 3 2" xfId="943"/>
    <cellStyle name="Normal 3 9 3 3" xfId="614"/>
    <cellStyle name="Normal 3 9 4" xfId="280"/>
    <cellStyle name="Normal 3 9 4 2" xfId="728"/>
    <cellStyle name="Normal 3 9 5" xfId="388"/>
    <cellStyle name="Normal 3 9 5 2" xfId="829"/>
    <cellStyle name="Normal 3 9 6" xfId="497"/>
    <cellStyle name="Normal 3 9 7" xfId="1057"/>
    <cellStyle name="Normal 4" xfId="62"/>
    <cellStyle name="Normal 4 10" xfId="63"/>
    <cellStyle name="Normal 4 10 2" xfId="64"/>
    <cellStyle name="Normal 4 10 2 2" xfId="177"/>
    <cellStyle name="Normal 4 10 2 2 2" xfId="947"/>
    <cellStyle name="Normal 4 10 2 2 3" xfId="618"/>
    <cellStyle name="Normal 4 10 2 3" xfId="284"/>
    <cellStyle name="Normal 4 10 2 3 2" xfId="732"/>
    <cellStyle name="Normal 4 10 2 4" xfId="392"/>
    <cellStyle name="Normal 4 10 2 4 2" xfId="833"/>
    <cellStyle name="Normal 4 10 2 5" xfId="501"/>
    <cellStyle name="Normal 4 10 2 6" xfId="1061"/>
    <cellStyle name="Normal 4 10 3" xfId="176"/>
    <cellStyle name="Normal 4 10 3 2" xfId="946"/>
    <cellStyle name="Normal 4 10 3 3" xfId="617"/>
    <cellStyle name="Normal 4 10 4" xfId="283"/>
    <cellStyle name="Normal 4 10 4 2" xfId="731"/>
    <cellStyle name="Normal 4 10 5" xfId="391"/>
    <cellStyle name="Normal 4 10 5 2" xfId="832"/>
    <cellStyle name="Normal 4 10 6" xfId="500"/>
    <cellStyle name="Normal 4 10 7" xfId="1060"/>
    <cellStyle name="Normal 4 11" xfId="65"/>
    <cellStyle name="Normal 4 11 2" xfId="66"/>
    <cellStyle name="Normal 4 11 2 2" xfId="179"/>
    <cellStyle name="Normal 4 11 2 2 2" xfId="949"/>
    <cellStyle name="Normal 4 11 2 2 3" xfId="620"/>
    <cellStyle name="Normal 4 11 2 3" xfId="286"/>
    <cellStyle name="Normal 4 11 2 3 2" xfId="734"/>
    <cellStyle name="Normal 4 11 2 4" xfId="394"/>
    <cellStyle name="Normal 4 11 2 4 2" xfId="835"/>
    <cellStyle name="Normal 4 11 2 5" xfId="503"/>
    <cellStyle name="Normal 4 11 2 6" xfId="1063"/>
    <cellStyle name="Normal 4 11 3" xfId="178"/>
    <cellStyle name="Normal 4 11 3 2" xfId="948"/>
    <cellStyle name="Normal 4 11 3 3" xfId="619"/>
    <cellStyle name="Normal 4 11 4" xfId="285"/>
    <cellStyle name="Normal 4 11 4 2" xfId="733"/>
    <cellStyle name="Normal 4 11 5" xfId="393"/>
    <cellStyle name="Normal 4 11 5 2" xfId="834"/>
    <cellStyle name="Normal 4 11 6" xfId="502"/>
    <cellStyle name="Normal 4 11 7" xfId="1062"/>
    <cellStyle name="Normal 4 12" xfId="67"/>
    <cellStyle name="Normal 4 12 2" xfId="68"/>
    <cellStyle name="Normal 4 12 2 2" xfId="181"/>
    <cellStyle name="Normal 4 12 2 2 2" xfId="951"/>
    <cellStyle name="Normal 4 12 2 2 3" xfId="622"/>
    <cellStyle name="Normal 4 12 2 3" xfId="288"/>
    <cellStyle name="Normal 4 12 2 3 2" xfId="736"/>
    <cellStyle name="Normal 4 12 2 4" xfId="396"/>
    <cellStyle name="Normal 4 12 2 4 2" xfId="837"/>
    <cellStyle name="Normal 4 12 2 5" xfId="505"/>
    <cellStyle name="Normal 4 12 2 6" xfId="1065"/>
    <cellStyle name="Normal 4 12 3" xfId="180"/>
    <cellStyle name="Normal 4 12 3 2" xfId="950"/>
    <cellStyle name="Normal 4 12 3 3" xfId="621"/>
    <cellStyle name="Normal 4 12 4" xfId="287"/>
    <cellStyle name="Normal 4 12 4 2" xfId="735"/>
    <cellStyle name="Normal 4 12 5" xfId="395"/>
    <cellStyle name="Normal 4 12 5 2" xfId="836"/>
    <cellStyle name="Normal 4 12 6" xfId="504"/>
    <cellStyle name="Normal 4 12 7" xfId="1064"/>
    <cellStyle name="Normal 4 13" xfId="69"/>
    <cellStyle name="Normal 4 13 2" xfId="70"/>
    <cellStyle name="Normal 4 13 2 2" xfId="183"/>
    <cellStyle name="Normal 4 13 2 2 2" xfId="953"/>
    <cellStyle name="Normal 4 13 2 2 3" xfId="624"/>
    <cellStyle name="Normal 4 13 2 3" xfId="290"/>
    <cellStyle name="Normal 4 13 2 3 2" xfId="738"/>
    <cellStyle name="Normal 4 13 2 4" xfId="398"/>
    <cellStyle name="Normal 4 13 2 4 2" xfId="839"/>
    <cellStyle name="Normal 4 13 2 5" xfId="507"/>
    <cellStyle name="Normal 4 13 2 6" xfId="1067"/>
    <cellStyle name="Normal 4 13 3" xfId="182"/>
    <cellStyle name="Normal 4 13 3 2" xfId="952"/>
    <cellStyle name="Normal 4 13 3 3" xfId="623"/>
    <cellStyle name="Normal 4 13 4" xfId="289"/>
    <cellStyle name="Normal 4 13 4 2" xfId="737"/>
    <cellStyle name="Normal 4 13 5" xfId="397"/>
    <cellStyle name="Normal 4 13 5 2" xfId="838"/>
    <cellStyle name="Normal 4 13 6" xfId="506"/>
    <cellStyle name="Normal 4 13 7" xfId="1066"/>
    <cellStyle name="Normal 4 14" xfId="71"/>
    <cellStyle name="Normal 4 14 2" xfId="72"/>
    <cellStyle name="Normal 4 14 2 2" xfId="185"/>
    <cellStyle name="Normal 4 14 2 2 2" xfId="955"/>
    <cellStyle name="Normal 4 14 2 2 3" xfId="626"/>
    <cellStyle name="Normal 4 14 2 3" xfId="292"/>
    <cellStyle name="Normal 4 14 2 3 2" xfId="740"/>
    <cellStyle name="Normal 4 14 2 4" xfId="400"/>
    <cellStyle name="Normal 4 14 2 4 2" xfId="841"/>
    <cellStyle name="Normal 4 14 2 5" xfId="509"/>
    <cellStyle name="Normal 4 14 2 6" xfId="1069"/>
    <cellStyle name="Normal 4 14 3" xfId="184"/>
    <cellStyle name="Normal 4 14 3 2" xfId="954"/>
    <cellStyle name="Normal 4 14 3 3" xfId="625"/>
    <cellStyle name="Normal 4 14 4" xfId="291"/>
    <cellStyle name="Normal 4 14 4 2" xfId="739"/>
    <cellStyle name="Normal 4 14 5" xfId="399"/>
    <cellStyle name="Normal 4 14 5 2" xfId="840"/>
    <cellStyle name="Normal 4 14 6" xfId="508"/>
    <cellStyle name="Normal 4 14 7" xfId="1068"/>
    <cellStyle name="Normal 4 15" xfId="73"/>
    <cellStyle name="Normal 4 15 2" xfId="74"/>
    <cellStyle name="Normal 4 15 2 2" xfId="187"/>
    <cellStyle name="Normal 4 15 2 2 2" xfId="957"/>
    <cellStyle name="Normal 4 15 2 2 3" xfId="628"/>
    <cellStyle name="Normal 4 15 2 3" xfId="294"/>
    <cellStyle name="Normal 4 15 2 3 2" xfId="742"/>
    <cellStyle name="Normal 4 15 2 4" xfId="402"/>
    <cellStyle name="Normal 4 15 2 4 2" xfId="843"/>
    <cellStyle name="Normal 4 15 2 5" xfId="511"/>
    <cellStyle name="Normal 4 15 2 6" xfId="1071"/>
    <cellStyle name="Normal 4 15 3" xfId="186"/>
    <cellStyle name="Normal 4 15 3 2" xfId="956"/>
    <cellStyle name="Normal 4 15 3 3" xfId="627"/>
    <cellStyle name="Normal 4 15 4" xfId="293"/>
    <cellStyle name="Normal 4 15 4 2" xfId="741"/>
    <cellStyle name="Normal 4 15 5" xfId="401"/>
    <cellStyle name="Normal 4 15 5 2" xfId="842"/>
    <cellStyle name="Normal 4 15 6" xfId="510"/>
    <cellStyle name="Normal 4 15 7" xfId="1070"/>
    <cellStyle name="Normal 4 16" xfId="75"/>
    <cellStyle name="Normal 4 16 2" xfId="76"/>
    <cellStyle name="Normal 4 16 2 2" xfId="189"/>
    <cellStyle name="Normal 4 16 2 2 2" xfId="959"/>
    <cellStyle name="Normal 4 16 2 2 3" xfId="630"/>
    <cellStyle name="Normal 4 16 2 3" xfId="296"/>
    <cellStyle name="Normal 4 16 2 3 2" xfId="744"/>
    <cellStyle name="Normal 4 16 2 4" xfId="404"/>
    <cellStyle name="Normal 4 16 2 4 2" xfId="845"/>
    <cellStyle name="Normal 4 16 2 5" xfId="513"/>
    <cellStyle name="Normal 4 16 2 6" xfId="1073"/>
    <cellStyle name="Normal 4 16 3" xfId="188"/>
    <cellStyle name="Normal 4 16 3 2" xfId="958"/>
    <cellStyle name="Normal 4 16 3 3" xfId="629"/>
    <cellStyle name="Normal 4 16 4" xfId="295"/>
    <cellStyle name="Normal 4 16 4 2" xfId="743"/>
    <cellStyle name="Normal 4 16 5" xfId="403"/>
    <cellStyle name="Normal 4 16 5 2" xfId="844"/>
    <cellStyle name="Normal 4 16 6" xfId="512"/>
    <cellStyle name="Normal 4 16 7" xfId="1072"/>
    <cellStyle name="Normal 4 17" xfId="77"/>
    <cellStyle name="Normal 4 17 2" xfId="78"/>
    <cellStyle name="Normal 4 17 2 2" xfId="191"/>
    <cellStyle name="Normal 4 17 2 2 2" xfId="961"/>
    <cellStyle name="Normal 4 17 2 2 3" xfId="632"/>
    <cellStyle name="Normal 4 17 2 3" xfId="298"/>
    <cellStyle name="Normal 4 17 2 3 2" xfId="746"/>
    <cellStyle name="Normal 4 17 2 4" xfId="406"/>
    <cellStyle name="Normal 4 17 2 4 2" xfId="847"/>
    <cellStyle name="Normal 4 17 2 5" xfId="515"/>
    <cellStyle name="Normal 4 17 2 6" xfId="1075"/>
    <cellStyle name="Normal 4 17 3" xfId="190"/>
    <cellStyle name="Normal 4 17 3 2" xfId="960"/>
    <cellStyle name="Normal 4 17 3 3" xfId="631"/>
    <cellStyle name="Normal 4 17 4" xfId="297"/>
    <cellStyle name="Normal 4 17 4 2" xfId="745"/>
    <cellStyle name="Normal 4 17 5" xfId="405"/>
    <cellStyle name="Normal 4 17 5 2" xfId="846"/>
    <cellStyle name="Normal 4 17 6" xfId="514"/>
    <cellStyle name="Normal 4 17 7" xfId="1074"/>
    <cellStyle name="Normal 4 2" xfId="79"/>
    <cellStyle name="Normal 4 2 2" xfId="192"/>
    <cellStyle name="Normal 4 2 2 2" xfId="962"/>
    <cellStyle name="Normal 4 2 2 3" xfId="633"/>
    <cellStyle name="Normal 4 2 3" xfId="299"/>
    <cellStyle name="Normal 4 2 3 2" xfId="747"/>
    <cellStyle name="Normal 4 2 4" xfId="407"/>
    <cellStyle name="Normal 4 2 4 2" xfId="848"/>
    <cellStyle name="Normal 4 2 5" xfId="516"/>
    <cellStyle name="Normal 4 2 6" xfId="1076"/>
    <cellStyle name="Normal 4 20" xfId="80"/>
    <cellStyle name="Normal 4 20 2" xfId="81"/>
    <cellStyle name="Normal 4 20 2 2" xfId="194"/>
    <cellStyle name="Normal 4 20 2 2 2" xfId="964"/>
    <cellStyle name="Normal 4 20 2 2 3" xfId="635"/>
    <cellStyle name="Normal 4 20 2 3" xfId="301"/>
    <cellStyle name="Normal 4 20 2 3 2" xfId="749"/>
    <cellStyle name="Normal 4 20 2 4" xfId="409"/>
    <cellStyle name="Normal 4 20 2 4 2" xfId="850"/>
    <cellStyle name="Normal 4 20 2 5" xfId="518"/>
    <cellStyle name="Normal 4 20 2 6" xfId="1078"/>
    <cellStyle name="Normal 4 20 3" xfId="193"/>
    <cellStyle name="Normal 4 20 3 2" xfId="963"/>
    <cellStyle name="Normal 4 20 3 3" xfId="634"/>
    <cellStyle name="Normal 4 20 4" xfId="300"/>
    <cellStyle name="Normal 4 20 4 2" xfId="748"/>
    <cellStyle name="Normal 4 20 5" xfId="408"/>
    <cellStyle name="Normal 4 20 5 2" xfId="849"/>
    <cellStyle name="Normal 4 20 6" xfId="517"/>
    <cellStyle name="Normal 4 20 7" xfId="1077"/>
    <cellStyle name="Normal 4 3" xfId="175"/>
    <cellStyle name="Normal 4 3 2" xfId="945"/>
    <cellStyle name="Normal 4 3 3" xfId="616"/>
    <cellStyle name="Normal 4 4" xfId="282"/>
    <cellStyle name="Normal 4 4 2" xfId="730"/>
    <cellStyle name="Normal 4 5" xfId="390"/>
    <cellStyle name="Normal 4 5 2" xfId="831"/>
    <cellStyle name="Normal 4 6" xfId="499"/>
    <cellStyle name="Normal 4 7" xfId="1059"/>
    <cellStyle name="Normal 5" xfId="82"/>
    <cellStyle name="Normal 5 2" xfId="83"/>
    <cellStyle name="Normal 5 2 2" xfId="196"/>
    <cellStyle name="Normal 5 2 2 2" xfId="966"/>
    <cellStyle name="Normal 5 2 2 3" xfId="637"/>
    <cellStyle name="Normal 5 2 3" xfId="303"/>
    <cellStyle name="Normal 5 2 3 2" xfId="751"/>
    <cellStyle name="Normal 5 2 4" xfId="411"/>
    <cellStyle name="Normal 5 2 4 2" xfId="852"/>
    <cellStyle name="Normal 5 2 5" xfId="520"/>
    <cellStyle name="Normal 5 2 6" xfId="1080"/>
    <cellStyle name="Normal 5 3" xfId="84"/>
    <cellStyle name="Normal 5 4" xfId="195"/>
    <cellStyle name="Normal 5 4 2" xfId="965"/>
    <cellStyle name="Normal 5 4 3" xfId="636"/>
    <cellStyle name="Normal 5 5" xfId="302"/>
    <cellStyle name="Normal 5 5 2" xfId="750"/>
    <cellStyle name="Normal 5 6" xfId="410"/>
    <cellStyle name="Normal 5 6 2" xfId="851"/>
    <cellStyle name="Normal 5 7" xfId="519"/>
    <cellStyle name="Normal 5 8" xfId="1079"/>
    <cellStyle name="Normal 5 9" xfId="85"/>
    <cellStyle name="Normal 5 9 2" xfId="86"/>
    <cellStyle name="Normal 5 9 2 2" xfId="198"/>
    <cellStyle name="Normal 5 9 2 2 2" xfId="968"/>
    <cellStyle name="Normal 5 9 2 2 3" xfId="639"/>
    <cellStyle name="Normal 5 9 2 3" xfId="305"/>
    <cellStyle name="Normal 5 9 2 3 2" xfId="753"/>
    <cellStyle name="Normal 5 9 2 4" xfId="413"/>
    <cellStyle name="Normal 5 9 2 4 2" xfId="854"/>
    <cellStyle name="Normal 5 9 2 5" xfId="522"/>
    <cellStyle name="Normal 5 9 2 6" xfId="1082"/>
    <cellStyle name="Normal 5 9 3" xfId="197"/>
    <cellStyle name="Normal 5 9 3 2" xfId="967"/>
    <cellStyle name="Normal 5 9 3 3" xfId="638"/>
    <cellStyle name="Normal 5 9 4" xfId="304"/>
    <cellStyle name="Normal 5 9 4 2" xfId="752"/>
    <cellStyle name="Normal 5 9 5" xfId="412"/>
    <cellStyle name="Normal 5 9 5 2" xfId="853"/>
    <cellStyle name="Normal 5 9 6" xfId="521"/>
    <cellStyle name="Normal 5 9 7" xfId="1081"/>
    <cellStyle name="Normal 6" xfId="87"/>
    <cellStyle name="Normal 6 10" xfId="414"/>
    <cellStyle name="Normal 6 11" xfId="523"/>
    <cellStyle name="Normal 6 12" xfId="1083"/>
    <cellStyle name="Normal 6 2" xfId="88"/>
    <cellStyle name="Normal 6 2 2" xfId="89"/>
    <cellStyle name="Normal 6 2 2 2" xfId="201"/>
    <cellStyle name="Normal 6 2 2 2 2" xfId="971"/>
    <cellStyle name="Normal 6 2 2 2 3" xfId="642"/>
    <cellStyle name="Normal 6 2 2 3" xfId="308"/>
    <cellStyle name="Normal 6 2 2 3 2" xfId="756"/>
    <cellStyle name="Normal 6 2 2 4" xfId="416"/>
    <cellStyle name="Normal 6 2 2 4 2" xfId="857"/>
    <cellStyle name="Normal 6 2 2 5" xfId="525"/>
    <cellStyle name="Normal 6 2 2 6" xfId="1085"/>
    <cellStyle name="Normal 6 2 3" xfId="200"/>
    <cellStyle name="Normal 6 2 3 2" xfId="970"/>
    <cellStyle name="Normal 6 2 3 3" xfId="641"/>
    <cellStyle name="Normal 6 2 4" xfId="307"/>
    <cellStyle name="Normal 6 2 4 2" xfId="755"/>
    <cellStyle name="Normal 6 2 5" xfId="415"/>
    <cellStyle name="Normal 6 2 5 2" xfId="856"/>
    <cellStyle name="Normal 6 2 6" xfId="524"/>
    <cellStyle name="Normal 6 2 7" xfId="1084"/>
    <cellStyle name="Normal 6 3" xfId="90"/>
    <cellStyle name="Normal 6 3 2" xfId="202"/>
    <cellStyle name="Normal 6 3 2 2" xfId="972"/>
    <cellStyle name="Normal 6 3 2 3" xfId="643"/>
    <cellStyle name="Normal 6 3 3" xfId="309"/>
    <cellStyle name="Normal 6 3 3 2" xfId="757"/>
    <cellStyle name="Normal 6 3 4" xfId="417"/>
    <cellStyle name="Normal 6 3 4 2" xfId="858"/>
    <cellStyle name="Normal 6 3 5" xfId="526"/>
    <cellStyle name="Normal 6 3 6" xfId="1086"/>
    <cellStyle name="Normal 6 4" xfId="91"/>
    <cellStyle name="Normal 6 4 2" xfId="92"/>
    <cellStyle name="Normal 6 4 2 2" xfId="204"/>
    <cellStyle name="Normal 6 4 2 2 2" xfId="974"/>
    <cellStyle name="Normal 6 4 2 2 3" xfId="645"/>
    <cellStyle name="Normal 6 4 2 3" xfId="311"/>
    <cellStyle name="Normal 6 4 2 3 2" xfId="759"/>
    <cellStyle name="Normal 6 4 2 4" xfId="419"/>
    <cellStyle name="Normal 6 4 2 4 2" xfId="860"/>
    <cellStyle name="Normal 6 4 2 5" xfId="528"/>
    <cellStyle name="Normal 6 4 2 6" xfId="1088"/>
    <cellStyle name="Normal 6 4 3" xfId="203"/>
    <cellStyle name="Normal 6 4 3 2" xfId="973"/>
    <cellStyle name="Normal 6 4 3 3" xfId="644"/>
    <cellStyle name="Normal 6 4 4" xfId="310"/>
    <cellStyle name="Normal 6 4 4 2" xfId="758"/>
    <cellStyle name="Normal 6 4 5" xfId="418"/>
    <cellStyle name="Normal 6 4 5 2" xfId="859"/>
    <cellStyle name="Normal 6 4 6" xfId="527"/>
    <cellStyle name="Normal 6 4 7" xfId="1087"/>
    <cellStyle name="Normal 6 5" xfId="93"/>
    <cellStyle name="Normal 6 5 2" xfId="94"/>
    <cellStyle name="Normal 6 5 2 2" xfId="206"/>
    <cellStyle name="Normal 6 5 2 2 2" xfId="976"/>
    <cellStyle name="Normal 6 5 2 2 3" xfId="647"/>
    <cellStyle name="Normal 6 5 2 3" xfId="313"/>
    <cellStyle name="Normal 6 5 2 3 2" xfId="761"/>
    <cellStyle name="Normal 6 5 2 4" xfId="421"/>
    <cellStyle name="Normal 6 5 2 4 2" xfId="862"/>
    <cellStyle name="Normal 6 5 2 5" xfId="530"/>
    <cellStyle name="Normal 6 5 2 6" xfId="1090"/>
    <cellStyle name="Normal 6 5 3" xfId="205"/>
    <cellStyle name="Normal 6 5 3 2" xfId="975"/>
    <cellStyle name="Normal 6 5 3 3" xfId="646"/>
    <cellStyle name="Normal 6 5 4" xfId="312"/>
    <cellStyle name="Normal 6 5 4 2" xfId="760"/>
    <cellStyle name="Normal 6 5 5" xfId="420"/>
    <cellStyle name="Normal 6 5 5 2" xfId="861"/>
    <cellStyle name="Normal 6 5 6" xfId="529"/>
    <cellStyle name="Normal 6 5 7" xfId="1089"/>
    <cellStyle name="Normal 6 6" xfId="95"/>
    <cellStyle name="Normal 6 6 2" xfId="96"/>
    <cellStyle name="Normal 6 6 2 2" xfId="208"/>
    <cellStyle name="Normal 6 6 2 2 2" xfId="978"/>
    <cellStyle name="Normal 6 6 2 2 3" xfId="649"/>
    <cellStyle name="Normal 6 6 2 3" xfId="315"/>
    <cellStyle name="Normal 6 6 2 3 2" xfId="763"/>
    <cellStyle name="Normal 6 6 2 4" xfId="423"/>
    <cellStyle name="Normal 6 6 2 4 2" xfId="864"/>
    <cellStyle name="Normal 6 6 2 5" xfId="532"/>
    <cellStyle name="Normal 6 6 2 6" xfId="1092"/>
    <cellStyle name="Normal 6 6 3" xfId="207"/>
    <cellStyle name="Normal 6 6 3 2" xfId="977"/>
    <cellStyle name="Normal 6 6 3 3" xfId="648"/>
    <cellStyle name="Normal 6 6 4" xfId="314"/>
    <cellStyle name="Normal 6 6 4 2" xfId="762"/>
    <cellStyle name="Normal 6 6 5" xfId="422"/>
    <cellStyle name="Normal 6 6 5 2" xfId="863"/>
    <cellStyle name="Normal 6 6 6" xfId="531"/>
    <cellStyle name="Normal 6 6 7" xfId="1091"/>
    <cellStyle name="Normal 6 7" xfId="199"/>
    <cellStyle name="Normal 6 7 2" xfId="969"/>
    <cellStyle name="Normal 6 7 3" xfId="640"/>
    <cellStyle name="Normal 6 8" xfId="306"/>
    <cellStyle name="Normal 6 8 2" xfId="754"/>
    <cellStyle name="Normal 6 9" xfId="108"/>
    <cellStyle name="Normal 6 9 2" xfId="218"/>
    <cellStyle name="Normal 6 9 3" xfId="325"/>
    <cellStyle name="Normal 6 9 4" xfId="433"/>
    <cellStyle name="Normal 6 9 5" xfId="855"/>
    <cellStyle name="Normal 6 9 6" xfId="1102"/>
    <cellStyle name="Normal 7" xfId="97"/>
    <cellStyle name="Normal 7 2" xfId="98"/>
    <cellStyle name="Normal 7 2 2" xfId="210"/>
    <cellStyle name="Normal 7 2 2 2" xfId="770"/>
    <cellStyle name="Normal 7 2 2 3" xfId="980"/>
    <cellStyle name="Normal 7 2 2 4" xfId="651"/>
    <cellStyle name="Normal 7 2 3" xfId="317"/>
    <cellStyle name="Normal 7 2 3 2" xfId="772"/>
    <cellStyle name="Normal 7 2 4" xfId="425"/>
    <cellStyle name="Normal 7 2 4 2" xfId="765"/>
    <cellStyle name="Normal 7 2 5" xfId="866"/>
    <cellStyle name="Normal 7 2 6" xfId="534"/>
    <cellStyle name="Normal 7 2 7" xfId="1094"/>
    <cellStyle name="Normal 7 3" xfId="209"/>
    <cellStyle name="Normal 7 3 2" xfId="979"/>
    <cellStyle name="Normal 7 3 3" xfId="650"/>
    <cellStyle name="Normal 7 4" xfId="316"/>
    <cellStyle name="Normal 7 4 2" xfId="764"/>
    <cellStyle name="Normal 7 5" xfId="424"/>
    <cellStyle name="Normal 7 5 2" xfId="865"/>
    <cellStyle name="Normal 7 6" xfId="533"/>
    <cellStyle name="Normal 7 7" xfId="1093"/>
    <cellStyle name="Normal 8" xfId="100"/>
    <cellStyle name="Normal 8 2" xfId="211"/>
    <cellStyle name="Normal 8 2 2" xfId="981"/>
    <cellStyle name="Normal 8 2 3" xfId="652"/>
    <cellStyle name="Normal 8 3" xfId="318"/>
    <cellStyle name="Normal 8 3 2" xfId="767"/>
    <cellStyle name="Normal 8 4" xfId="426"/>
    <cellStyle name="Normal 8 4 2" xfId="867"/>
    <cellStyle name="Normal 8 5" xfId="535"/>
    <cellStyle name="Normal 8 6" xfId="1095"/>
    <cellStyle name="Normal 9" xfId="107"/>
    <cellStyle name="Normal 9 2" xfId="112"/>
    <cellStyle name="Normal 9 2 2" xfId="221"/>
    <cellStyle name="Normal 9 2 2 2" xfId="987"/>
    <cellStyle name="Normal 9 2 3" xfId="328"/>
    <cellStyle name="Normal 9 2 4" xfId="436"/>
    <cellStyle name="Normal 9 2 5" xfId="658"/>
    <cellStyle name="Normal 9 2 6" xfId="1105"/>
    <cellStyle name="Normal 9 3" xfId="217"/>
    <cellStyle name="Normal 9 3 2" xfId="873"/>
    <cellStyle name="Normal 9 4" xfId="324"/>
    <cellStyle name="Normal 9 5" xfId="432"/>
    <cellStyle name="Normal 9 6" xfId="541"/>
    <cellStyle name="Normal 9 7" xfId="1101"/>
    <cellStyle name="Percent" xfId="99" builtinId="5"/>
  </cellStyles>
  <dxfs count="0"/>
  <tableStyles count="0" defaultTableStyle="TableStyleMedium2" defaultPivotStyle="PivotStyleLight16"/>
  <colors>
    <mruColors>
      <color rgb="FF66FFFF"/>
      <color rgb="FF5B9BD5"/>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drawing1.xml><?xml version="1.0" encoding="utf-8"?>
<xdr:wsDr xmlns:xdr="http://schemas.openxmlformats.org/drawingml/2006/spreadsheetDrawing" xmlns:a="http://schemas.openxmlformats.org/drawingml/2006/main">
  <xdr:oneCellAnchor>
    <xdr:from>
      <xdr:col>3</xdr:col>
      <xdr:colOff>2305050</xdr:colOff>
      <xdr:row>16</xdr:row>
      <xdr:rowOff>104775</xdr:rowOff>
    </xdr:from>
    <xdr:ext cx="309880" cy="273685"/>
    <xdr:sp macro="" textlink="">
      <xdr:nvSpPr>
        <xdr:cNvPr id="2" name="Text Box 1">
          <a:extLst>
            <a:ext uri="{FF2B5EF4-FFF2-40B4-BE49-F238E27FC236}">
              <a16:creationId xmlns:a16="http://schemas.microsoft.com/office/drawing/2014/main" xmlns="" id="{00000000-0008-0000-0300-000002000000}"/>
            </a:ext>
          </a:extLst>
        </xdr:cNvPr>
        <xdr:cNvSpPr txBox="1"/>
      </xdr:nvSpPr>
      <xdr:spPr>
        <a:xfrm>
          <a:off x="9410700" y="11382375"/>
          <a:ext cx="309880" cy="27368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endParaRPr lang="en-US" sz="1100"/>
        </a:p>
      </xdr:txBody>
    </xdr:sp>
    <xdr:clientData/>
  </xdr:oneCellAnchor>
  <xdr:oneCellAnchor>
    <xdr:from>
      <xdr:col>3</xdr:col>
      <xdr:colOff>2305050</xdr:colOff>
      <xdr:row>16</xdr:row>
      <xdr:rowOff>104775</xdr:rowOff>
    </xdr:from>
    <xdr:ext cx="309880" cy="273685"/>
    <xdr:sp macro="" textlink="">
      <xdr:nvSpPr>
        <xdr:cNvPr id="3" name="Text Box 1">
          <a:extLst>
            <a:ext uri="{FF2B5EF4-FFF2-40B4-BE49-F238E27FC236}">
              <a16:creationId xmlns:a16="http://schemas.microsoft.com/office/drawing/2014/main" xmlns="" id="{00000000-0008-0000-0300-000003000000}"/>
            </a:ext>
          </a:extLst>
        </xdr:cNvPr>
        <xdr:cNvSpPr txBox="1"/>
      </xdr:nvSpPr>
      <xdr:spPr>
        <a:xfrm>
          <a:off x="9410700" y="14249400"/>
          <a:ext cx="309880" cy="27368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endParaRPr 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PIP\2021-22\NHM%20PIP%20budget%20sheet%202021-22_21%20Nov%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Sources of Funding"/>
      <sheetName val="Dist Allocation and Sub Plan"/>
      <sheetName val="Summary Table"/>
      <sheetName val="Budget Summary I"/>
      <sheetName val="Budget Summary II"/>
      <sheetName val="Summary of Abstracts"/>
      <sheetName val="NUHM Summary"/>
      <sheetName val="1.SD Facility Based Annex"/>
      <sheetName val="2.SD Community Based Annex"/>
      <sheetName val="3.Community Intervention Annex"/>
      <sheetName val="4.Untied grants Annex"/>
      <sheetName val="5.Infrastructure Annex"/>
      <sheetName val="6.Procurement Annex"/>
      <sheetName val="7.Referral Transport Annex"/>
      <sheetName val="8.Human Resources (SD) Annex"/>
      <sheetName val="9.Training Annex"/>
      <sheetName val="10.Review Research &amp; Surveillen"/>
      <sheetName val="11.IEC-BCC Annex"/>
      <sheetName val="12.Printing Annex"/>
      <sheetName val="13.Quality Assurance Annex"/>
      <sheetName val="14.Drug warehouse &amp;Logistic Anx"/>
      <sheetName val="15.PPP Annex"/>
      <sheetName val="16.PM Annex"/>
      <sheetName val="16.1.PM sub Annex - activities "/>
      <sheetName val="17.IT Initiatives_SD"/>
      <sheetName val="18.Innovation"/>
      <sheetName val="NUHM-Non Metro Abst"/>
      <sheetName val="NUHM Metro Abst"/>
      <sheetName val="Ab1. RMNCH+A"/>
      <sheetName val="Ab2. NIDDCP"/>
      <sheetName val="Ab3. ASHA"/>
      <sheetName val="Ab4. HMIS-MCTS"/>
      <sheetName val="Abs5. Blood services &amp; Disorder"/>
      <sheetName val="Abs6. H&amp;WC"/>
      <sheetName val="Abs7. AYUSH"/>
      <sheetName val="Abs8. NPPCD"/>
      <sheetName val="Abs9. NPPCF"/>
      <sheetName val="Abs10. NOHP"/>
      <sheetName val="Abs11. NPPC"/>
      <sheetName val="Abs12. Burns &amp; Injury"/>
      <sheetName val="Abs13. IDSP"/>
      <sheetName val="Abs14. NVBDCP"/>
      <sheetName val="Abs15. NLEP"/>
      <sheetName val="Abs16. NTEP"/>
      <sheetName val="Abs17. NVHCP"/>
      <sheetName val="Abs18. NRCP"/>
      <sheetName val="Abs19. PPCL"/>
      <sheetName val="Abs20. NPCB"/>
      <sheetName val="Abs21. NMHP"/>
      <sheetName val="Abs22. NPHCE"/>
      <sheetName val="Abs23. NTCP"/>
      <sheetName val="Abs24. NPCDCS"/>
      <sheetName val="Abs25. PMNDP"/>
      <sheetName val="Abs26. NPCCHH"/>
      <sheetName val="Capex Expenditur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2">
          <cell r="P92">
            <v>0</v>
          </cell>
        </row>
      </sheetData>
      <sheetData sheetId="13">
        <row r="35">
          <cell r="A35" t="str">
            <v>6.1.1.6.1</v>
          </cell>
        </row>
      </sheetData>
      <sheetData sheetId="14"/>
      <sheetData sheetId="15"/>
      <sheetData sheetId="16"/>
      <sheetData sheetId="17">
        <row r="14">
          <cell r="A14" t="str">
            <v>10.2.2</v>
          </cell>
        </row>
      </sheetData>
      <sheetData sheetId="18">
        <row r="51">
          <cell r="A51" t="str">
            <v>11.14.1</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92D050"/>
  </sheetPr>
  <dimension ref="A1:H39"/>
  <sheetViews>
    <sheetView zoomScale="90" zoomScaleNormal="90" workbookViewId="0">
      <pane xSplit="2" ySplit="1" topLeftCell="D2" activePane="bottomRight" state="frozen"/>
      <selection pane="topRight" activeCell="C1" sqref="C1"/>
      <selection pane="bottomLeft" activeCell="A2" sqref="A2"/>
      <selection pane="bottomRight" activeCell="F3" sqref="F3"/>
    </sheetView>
  </sheetViews>
  <sheetFormatPr defaultColWidth="8.7109375" defaultRowHeight="12.75" x14ac:dyDescent="0.2"/>
  <cols>
    <col min="1" max="1" width="40.28515625" style="5" bestFit="1" customWidth="1"/>
    <col min="2" max="2" width="7.42578125" style="5" bestFit="1" customWidth="1"/>
    <col min="3" max="3" width="38.42578125" style="5" bestFit="1" customWidth="1"/>
    <col min="4" max="4" width="16.85546875" style="5" customWidth="1"/>
    <col min="5" max="5" width="16.42578125" style="5" bestFit="1" customWidth="1"/>
    <col min="6" max="6" width="13.5703125" style="5" bestFit="1" customWidth="1"/>
    <col min="7" max="7" width="88.28515625" style="5" bestFit="1" customWidth="1"/>
    <col min="8" max="8" width="21.7109375" style="5" bestFit="1" customWidth="1"/>
    <col min="9" max="12" width="8.7109375" style="5"/>
    <col min="13" max="13" width="8.7109375" style="5" customWidth="1"/>
    <col min="14" max="16384" width="8.7109375" style="5"/>
  </cols>
  <sheetData>
    <row r="1" spans="1:8" x14ac:dyDescent="0.2">
      <c r="A1" s="3728" t="s">
        <v>4805</v>
      </c>
      <c r="B1" s="3729"/>
      <c r="C1" s="3726" t="s">
        <v>3850</v>
      </c>
      <c r="D1" s="3726"/>
      <c r="E1" s="3727" t="s">
        <v>3303</v>
      </c>
      <c r="F1" s="3727"/>
      <c r="G1" s="276" t="s">
        <v>3851</v>
      </c>
      <c r="H1" s="276"/>
    </row>
    <row r="2" spans="1:8" x14ac:dyDescent="0.2">
      <c r="A2" s="281" t="s">
        <v>4804</v>
      </c>
      <c r="B2" s="22" t="str">
        <f>HYPERLINK("#'Sources of Funding'!A1:J1", "Table A")</f>
        <v>Table A</v>
      </c>
      <c r="C2" s="21" t="s">
        <v>3858</v>
      </c>
      <c r="D2" s="22" t="str">
        <f>HYPERLINK("#'1.SD Facility Based Annex'!A3:A4", "Anx 1")</f>
        <v>Anx 1</v>
      </c>
      <c r="E2" s="744" t="s">
        <v>3856</v>
      </c>
      <c r="F2" s="25" t="str">
        <f>HYPERLINK("#'NUHM-Non Metro Abst'!A3:A4", "Annex/ Abs_NM")</f>
        <v>Annex/ Abs_NM</v>
      </c>
      <c r="G2" s="49" t="s">
        <v>4626</v>
      </c>
      <c r="H2" s="49"/>
    </row>
    <row r="3" spans="1:8" x14ac:dyDescent="0.2">
      <c r="A3" s="281" t="s">
        <v>4806</v>
      </c>
      <c r="B3" s="22" t="str">
        <f>HYPERLINK("#'Dist Allocation and Sub Plan'!A4:A5", "Table B")</f>
        <v>Table B</v>
      </c>
      <c r="C3" s="21" t="s">
        <v>3859</v>
      </c>
      <c r="D3" s="22" t="str">
        <f>HYPERLINK("#'2.SD Community Based Annex'!A3:A4", "Anx 2")</f>
        <v>Anx 2</v>
      </c>
      <c r="E3" s="744" t="s">
        <v>3857</v>
      </c>
      <c r="F3" s="25" t="str">
        <f>HYPERLINK("#'NUHM Metro Abst'!A3:A4", "Annex/ Abs_M")</f>
        <v>Annex/ Abs_M</v>
      </c>
      <c r="G3" s="21" t="s">
        <v>3853</v>
      </c>
      <c r="H3" s="22" t="str">
        <f>HYPERLINK("#'Ab1. RMNCH+A'!A1:C1", "Abst 1")</f>
        <v>Abst 1</v>
      </c>
    </row>
    <row r="4" spans="1:8" x14ac:dyDescent="0.2">
      <c r="A4" s="281" t="s">
        <v>4807</v>
      </c>
      <c r="B4" s="22" t="str">
        <f>HYPERLINK("#'Summary Table'!A4:A5", "Table C")</f>
        <v>Table C</v>
      </c>
      <c r="C4" s="21" t="s">
        <v>3860</v>
      </c>
      <c r="D4" s="22" t="str">
        <f>HYPERLINK("#'3.Community Intervention Annexn'!A5:A6", "Anx 3")</f>
        <v>Anx 3</v>
      </c>
      <c r="G4" s="24" t="s">
        <v>5366</v>
      </c>
      <c r="H4" s="27" t="str">
        <f>HYPERLINK("#'Ab1. RMNCH+A'!A6", "RMNCH+A Sub Abst 1")</f>
        <v>RMNCH+A Sub Abst 1</v>
      </c>
    </row>
    <row r="5" spans="1:8" x14ac:dyDescent="0.2">
      <c r="A5" s="281" t="s">
        <v>4361</v>
      </c>
      <c r="B5" s="280" t="str">
        <f>HYPERLINK("#'Budget Summary I'!A2", "Table D")</f>
        <v>Table D</v>
      </c>
      <c r="C5" s="24" t="s">
        <v>5690</v>
      </c>
      <c r="D5" s="22" t="str">
        <f>HYPERLINK("#'3-A. CI Sub-Annex'!A3:A4", "CI-Sub Anx")</f>
        <v>CI-Sub Anx</v>
      </c>
      <c r="G5" s="24" t="s">
        <v>4070</v>
      </c>
      <c r="H5" s="27" t="str">
        <f>HYPERLINK("#'Ab1. RMNCH+A'!A101", "RMNCH+A Sub Abst 2")</f>
        <v>RMNCH+A Sub Abst 2</v>
      </c>
    </row>
    <row r="6" spans="1:8" x14ac:dyDescent="0.2">
      <c r="A6" s="281" t="s">
        <v>4360</v>
      </c>
      <c r="B6" s="280" t="str">
        <f>HYPERLINK("#'Budget Summary II'!A1", "Table E")</f>
        <v>Table E</v>
      </c>
      <c r="C6" s="21" t="s">
        <v>3861</v>
      </c>
      <c r="D6" s="22" t="str">
        <f>HYPERLINK("#'4.Untied grants Annex'!A3:A4", "Anx 4")</f>
        <v>Anx 4</v>
      </c>
      <c r="G6" s="24" t="s">
        <v>2948</v>
      </c>
      <c r="H6" s="27" t="str">
        <f>HYPERLINK("#'Ab1. RMNCH+A'!A196", "RMNCH+A Sub Abst 3")</f>
        <v>RMNCH+A Sub Abst 3</v>
      </c>
    </row>
    <row r="7" spans="1:8" x14ac:dyDescent="0.2">
      <c r="A7" s="281" t="s">
        <v>4786</v>
      </c>
      <c r="B7" s="22" t="str">
        <f>HYPERLINK("#'NUHM Summary'!A3:A4", "Table G")</f>
        <v>Table G</v>
      </c>
      <c r="C7" s="21" t="s">
        <v>3862</v>
      </c>
      <c r="D7" s="22" t="str">
        <f>HYPERLINK("#'5.Infrastructure Annex'!A3:A4", "Anx 5")</f>
        <v>Anx 5</v>
      </c>
      <c r="G7" s="24" t="s">
        <v>4078</v>
      </c>
      <c r="H7" s="27" t="str">
        <f>HYPERLINK("#'Ab1. RMNCH+A'!A288", "RMNCH+A Sub Abst 4")</f>
        <v>RMNCH+A Sub Abst 4</v>
      </c>
    </row>
    <row r="8" spans="1:8" x14ac:dyDescent="0.2">
      <c r="C8" s="21" t="s">
        <v>3863</v>
      </c>
      <c r="D8" s="22" t="str">
        <f>HYPERLINK("#'6.Procurement Annex'!A3:A4", "Anx 6")</f>
        <v>Anx 6</v>
      </c>
      <c r="G8" s="24" t="s">
        <v>96</v>
      </c>
      <c r="H8" s="27" t="str">
        <f>HYPERLINK("#'Ab1. RMNCH+A'!A341", "RMNCH+A Sub Abst 5")</f>
        <v>RMNCH+A Sub Abst 5</v>
      </c>
    </row>
    <row r="9" spans="1:8" x14ac:dyDescent="0.2">
      <c r="C9" s="24" t="s">
        <v>5691</v>
      </c>
      <c r="D9" s="22" t="str">
        <f>HYPERLINK("#'6-A. Proc. Sub-Annex'!A3:A4", "Proc Sub Anx")</f>
        <v>Proc Sub Anx</v>
      </c>
      <c r="G9" s="24" t="s">
        <v>4071</v>
      </c>
      <c r="H9" s="27" t="str">
        <f>HYPERLINK("#'Ab1. RMNCH+A'!A377", "RMNCH+A Sub Abst 6")</f>
        <v>RMNCH+A Sub Abst 6</v>
      </c>
    </row>
    <row r="10" spans="1:8" x14ac:dyDescent="0.2">
      <c r="A10" s="282"/>
      <c r="B10" s="15"/>
      <c r="C10" s="21" t="s">
        <v>3864</v>
      </c>
      <c r="D10" s="22" t="str">
        <f>HYPERLINK("#'7.Referral Transport Annex'!A3:A4", "Anx 7")</f>
        <v>Anx 7</v>
      </c>
      <c r="G10" s="24" t="s">
        <v>4072</v>
      </c>
      <c r="H10" s="27" t="str">
        <f>HYPERLINK("#'Ab1. RMNCH+A'!A394", "RMNCH+A Sub Abst 7")</f>
        <v>RMNCH+A Sub Abst 7</v>
      </c>
    </row>
    <row r="11" spans="1:8" x14ac:dyDescent="0.2">
      <c r="A11" s="282"/>
      <c r="B11" s="15"/>
      <c r="C11" s="21" t="s">
        <v>3865</v>
      </c>
      <c r="D11" s="22" t="str">
        <f>HYPERLINK("#'8.Human Resources (SD) Annex'!A3:A4", "Anx 8")</f>
        <v>Anx 8</v>
      </c>
      <c r="G11" s="24" t="s">
        <v>4073</v>
      </c>
      <c r="H11" s="27" t="str">
        <f>HYPERLINK("#'Ab1. RMNCH+A'!A432", "RMNCH+A Sub Abst 8")</f>
        <v>RMNCH+A Sub Abst 8</v>
      </c>
    </row>
    <row r="12" spans="1:8" x14ac:dyDescent="0.2">
      <c r="A12" s="282"/>
      <c r="B12" s="15"/>
      <c r="C12" s="21" t="s">
        <v>3866</v>
      </c>
      <c r="D12" s="22" t="str">
        <f>HYPERLINK("#'9.Training Annex'!A3:A4", "Anx 9")</f>
        <v>Anx 9</v>
      </c>
      <c r="G12" s="21" t="s">
        <v>3884</v>
      </c>
      <c r="H12" s="22" t="str">
        <f>HYPERLINK("#'Ab2. NIDDCP'!A1:C1", "Abst 2")</f>
        <v>Abst 2</v>
      </c>
    </row>
    <row r="13" spans="1:8" x14ac:dyDescent="0.2">
      <c r="A13" s="282"/>
      <c r="B13" s="15"/>
      <c r="C13" s="24" t="s">
        <v>5692</v>
      </c>
      <c r="D13" s="22" t="str">
        <f>HYPERLINK("#'9-A.Training Sub-Annex'!A3:A4", "Training Sub Anx")</f>
        <v>Training Sub Anx</v>
      </c>
      <c r="G13" s="669" t="s">
        <v>4625</v>
      </c>
      <c r="H13" s="669"/>
    </row>
    <row r="14" spans="1:8" x14ac:dyDescent="0.2">
      <c r="A14" s="282"/>
      <c r="B14" s="15"/>
      <c r="C14" s="21" t="s">
        <v>3867</v>
      </c>
      <c r="D14" s="22" t="str">
        <f>HYPERLINK("#'10.Review Research &amp; Surveillen'!A3:A4", "Anx 10")</f>
        <v>Anx 10</v>
      </c>
      <c r="G14" s="21" t="s">
        <v>3855</v>
      </c>
      <c r="H14" s="22" t="str">
        <f>HYPERLINK("#'Ab3. ASHA'!A1:C1", "Abst 3")</f>
        <v>Abst 3</v>
      </c>
    </row>
    <row r="15" spans="1:8" x14ac:dyDescent="0.2">
      <c r="A15" s="282"/>
      <c r="B15" s="15"/>
      <c r="C15" s="21" t="s">
        <v>3868</v>
      </c>
      <c r="D15" s="22" t="str">
        <f>HYPERLINK("#'11.IEC-BCC Annex'!A3:A4", "Anx 11")</f>
        <v>Anx 11</v>
      </c>
      <c r="G15" s="21" t="s">
        <v>4794</v>
      </c>
      <c r="H15" s="22" t="str">
        <f>HYPERLINK("#'Ab4. HMIS-MCTS'!A1:C1", "Abst 4")</f>
        <v>Abst 4</v>
      </c>
    </row>
    <row r="16" spans="1:8" x14ac:dyDescent="0.2">
      <c r="A16" s="282"/>
      <c r="B16" s="15"/>
      <c r="C16" s="24" t="s">
        <v>5693</v>
      </c>
      <c r="D16" s="22" t="str">
        <f>HYPERLINK("#'11-A. IEC Sub-Annex'!A3:A4", "IEC-BCC Sub Anx")</f>
        <v>IEC-BCC Sub Anx</v>
      </c>
      <c r="G16" s="21" t="s">
        <v>3852</v>
      </c>
      <c r="H16" s="22" t="str">
        <f>HYPERLINK("#'Abs5. Blood services &amp; Disorder'!A1:C1", "Abst 5")</f>
        <v>Abst 5</v>
      </c>
    </row>
    <row r="17" spans="1:8" x14ac:dyDescent="0.2">
      <c r="A17" s="282"/>
      <c r="B17" s="15"/>
      <c r="C17" s="21" t="s">
        <v>3869</v>
      </c>
      <c r="D17" s="22" t="str">
        <f>HYPERLINK("#'12.Printing Annex'!A3:A4", "Anx 12")</f>
        <v>Anx 12</v>
      </c>
      <c r="G17" s="21" t="s">
        <v>4680</v>
      </c>
      <c r="H17" s="22" t="str">
        <f>HYPERLINK("#'Abs6. CPHC'!A1:C1", "Abst 6")</f>
        <v>Abst 6</v>
      </c>
    </row>
    <row r="18" spans="1:8" x14ac:dyDescent="0.2">
      <c r="C18" s="24" t="s">
        <v>5694</v>
      </c>
      <c r="D18" s="22" t="str">
        <f>HYPERLINK("#'12-A. Print Sub-Annex'!A3:A4", "Printing Sub Anx")</f>
        <v>Printing Sub Anx</v>
      </c>
      <c r="G18" s="21" t="s">
        <v>3854</v>
      </c>
      <c r="H18" s="22" t="str">
        <f>HYPERLINK("#'Abs7. AYUSH'!A1:C1", "Abst 7")</f>
        <v>Abst 7</v>
      </c>
    </row>
    <row r="19" spans="1:8" x14ac:dyDescent="0.2">
      <c r="C19" s="21" t="s">
        <v>3870</v>
      </c>
      <c r="D19" s="22" t="str">
        <f>HYPERLINK("#'13.Quality Assurance Annex'!A3:A4", "Anx 13")</f>
        <v>Anx 13</v>
      </c>
      <c r="G19" s="49" t="s">
        <v>4627</v>
      </c>
      <c r="H19" s="49"/>
    </row>
    <row r="20" spans="1:8" x14ac:dyDescent="0.2">
      <c r="C20" s="21" t="s">
        <v>3901</v>
      </c>
      <c r="D20" s="22" t="str">
        <f>HYPERLINK("#'14.Drug warehouse &amp;Logistic Anx'!A3:A4", "Anx 14")</f>
        <v>Anx 14</v>
      </c>
      <c r="G20" s="21" t="s">
        <v>3879</v>
      </c>
      <c r="H20" s="22" t="str">
        <f>HYPERLINK("#'Abs8. IDSP'!A1:C1", "Abst 8")</f>
        <v>Abst 8</v>
      </c>
    </row>
    <row r="21" spans="1:8" x14ac:dyDescent="0.2">
      <c r="A21" s="282"/>
      <c r="B21" s="15"/>
      <c r="C21" s="21" t="s">
        <v>3871</v>
      </c>
      <c r="D21" s="22" t="str">
        <f>HYPERLINK("#'15.PPP Annex'!A3:A4", "Anx 15")</f>
        <v>Anx 15</v>
      </c>
      <c r="G21" s="21" t="s">
        <v>3880</v>
      </c>
      <c r="H21" s="22" t="str">
        <f>HYPERLINK("#'Abs9. NVBDCP'!A1:C1", "Abst 9")</f>
        <v>Abst 9</v>
      </c>
    </row>
    <row r="22" spans="1:8" x14ac:dyDescent="0.2">
      <c r="A22" s="282"/>
      <c r="B22" s="15"/>
      <c r="C22" s="21" t="s">
        <v>3872</v>
      </c>
      <c r="D22" s="22" t="str">
        <f>HYPERLINK("#'16.PM Annex'!A3:A4", "Anx 16")</f>
        <v>Anx 16</v>
      </c>
      <c r="G22" s="21" t="s">
        <v>3881</v>
      </c>
      <c r="H22" s="22" t="str">
        <f>HYPERLINK("#'Abs10. NLEP'!A1:C1", "Abst 10")</f>
        <v>Abst 10</v>
      </c>
    </row>
    <row r="23" spans="1:8" x14ac:dyDescent="0.2">
      <c r="C23" s="24" t="s">
        <v>5689</v>
      </c>
      <c r="D23" s="22" t="str">
        <f>HYPERLINK("#'16-A. PM sub Annex'!A3:A4", "PM Activity Sub Anx")</f>
        <v>PM Activity Sub Anx</v>
      </c>
      <c r="G23" s="21" t="s">
        <v>4628</v>
      </c>
      <c r="H23" s="22" t="str">
        <f>HYPERLINK("#'Abs11. NTEP'!A1:C1", "Abst 11")</f>
        <v>Abst 11</v>
      </c>
    </row>
    <row r="24" spans="1:8" x14ac:dyDescent="0.2">
      <c r="C24" s="21" t="s">
        <v>3873</v>
      </c>
      <c r="D24" s="22" t="str">
        <f>HYPERLINK("#'17.IT Initiatives_SD'!A3:A4", "Anx 17")</f>
        <v>Anx 17</v>
      </c>
      <c r="G24" s="21" t="s">
        <v>3882</v>
      </c>
      <c r="H24" s="22" t="str">
        <f>HYPERLINK("#'Abs12. NVHCP'!A1:C1", "Abst 12")</f>
        <v>Abst 12</v>
      </c>
    </row>
    <row r="25" spans="1:8" x14ac:dyDescent="0.2">
      <c r="C25" s="21" t="s">
        <v>3874</v>
      </c>
      <c r="D25" s="22" t="str">
        <f>HYPERLINK("#'18.Innovation'!A3:A4", "Anx 18")</f>
        <v>Anx 18</v>
      </c>
      <c r="G25" s="21" t="s">
        <v>3900</v>
      </c>
      <c r="H25" s="22" t="str">
        <f>HYPERLINK("#'Abs13. NRCP'!A1:C1", "Abst 13")</f>
        <v>Abst 13</v>
      </c>
    </row>
    <row r="26" spans="1:8" x14ac:dyDescent="0.2">
      <c r="G26" s="21" t="s">
        <v>4696</v>
      </c>
      <c r="H26" s="22" t="str">
        <f>HYPERLINK("#'Abs14. PPCL'!A1:C1", "Abst 14")</f>
        <v>Abst 14</v>
      </c>
    </row>
    <row r="27" spans="1:8" ht="12.6" customHeight="1" x14ac:dyDescent="0.2">
      <c r="G27" s="49" t="s">
        <v>4819</v>
      </c>
      <c r="H27" s="49"/>
    </row>
    <row r="28" spans="1:8" ht="12.6" customHeight="1" x14ac:dyDescent="0.2">
      <c r="G28" s="21" t="s">
        <v>3886</v>
      </c>
      <c r="H28" s="22" t="str">
        <f>HYPERLINK("#'Abs15. NPCB'!A1:C1", "Abst 15")</f>
        <v>Abst 15</v>
      </c>
    </row>
    <row r="29" spans="1:8" x14ac:dyDescent="0.2">
      <c r="G29" s="21" t="s">
        <v>3887</v>
      </c>
      <c r="H29" s="22" t="str">
        <f>HYPERLINK("#'Abs16. NMHP'!A1:C1", "Abst 16")</f>
        <v>Abst 16</v>
      </c>
    </row>
    <row r="30" spans="1:8" x14ac:dyDescent="0.2">
      <c r="G30" s="21" t="s">
        <v>3885</v>
      </c>
      <c r="H30" s="22" t="str">
        <f>HYPERLINK("#'Abs17. NPHCE'!A1:C1", "Abst 17")</f>
        <v>Abst 17</v>
      </c>
    </row>
    <row r="31" spans="1:8" x14ac:dyDescent="0.2">
      <c r="G31" s="21" t="s">
        <v>3883</v>
      </c>
      <c r="H31" s="22" t="str">
        <f>HYPERLINK("#'Abs18. NTCP'!A1:C1", "Abst 18")</f>
        <v>Abst 18</v>
      </c>
    </row>
    <row r="32" spans="1:8" ht="25.5" x14ac:dyDescent="0.2">
      <c r="G32" s="23" t="s">
        <v>3888</v>
      </c>
      <c r="H32" s="22" t="str">
        <f>HYPERLINK("#'Abs19. NPCDCS'!A1:C1","Abst 19")</f>
        <v>Abst 19</v>
      </c>
    </row>
    <row r="33" spans="7:8" x14ac:dyDescent="0.2">
      <c r="G33" s="21" t="s">
        <v>1339</v>
      </c>
      <c r="H33" s="22" t="str">
        <f>HYPERLINK("#'Abs20. PMNDP'!A1:C1", "Abst 20")</f>
        <v>Abst 20</v>
      </c>
    </row>
    <row r="34" spans="7:8" x14ac:dyDescent="0.2">
      <c r="G34" s="21" t="s">
        <v>4143</v>
      </c>
      <c r="H34" s="27" t="str">
        <f>HYPERLINK("#'Abs21. NPCCHH'!A4:A5", "Abst 21")</f>
        <v>Abst 21</v>
      </c>
    </row>
    <row r="35" spans="7:8" x14ac:dyDescent="0.2">
      <c r="G35" s="21" t="s">
        <v>3877</v>
      </c>
      <c r="H35" s="22" t="str">
        <f>HYPERLINK("#'Abs22. NPPCD'!A1:C1", "Abst 22")</f>
        <v>Abst 22</v>
      </c>
    </row>
    <row r="36" spans="7:8" x14ac:dyDescent="0.2">
      <c r="G36" s="21" t="s">
        <v>4079</v>
      </c>
      <c r="H36" s="22" t="str">
        <f>HYPERLINK("#'Abs23. NPPCF'!A1:C1", "Abst 23")</f>
        <v>Abst 23</v>
      </c>
    </row>
    <row r="37" spans="7:8" x14ac:dyDescent="0.2">
      <c r="G37" s="21" t="s">
        <v>3878</v>
      </c>
      <c r="H37" s="22" t="str">
        <f>HYPERLINK("#'Abs24. NOHP'!A1:C1", "Abst 24")</f>
        <v>Abst 24</v>
      </c>
    </row>
    <row r="38" spans="7:8" x14ac:dyDescent="0.2">
      <c r="G38" s="21" t="s">
        <v>4080</v>
      </c>
      <c r="H38" s="22" t="str">
        <f>HYPERLINK("#'Abs25. NPPC'!A1:C1", "Abst 25")</f>
        <v>Abst 25</v>
      </c>
    </row>
    <row r="39" spans="7:8" x14ac:dyDescent="0.2">
      <c r="G39" s="21" t="s">
        <v>3899</v>
      </c>
      <c r="H39" s="22" t="str">
        <f>HYPERLINK("#'Abs26. Burns &amp; Injury'!A1:C1", "Abst 26")</f>
        <v>Abst 26</v>
      </c>
    </row>
  </sheetData>
  <sheetProtection formatCells="0" autoFilter="0"/>
  <mergeCells count="3">
    <mergeCell ref="C1:D1"/>
    <mergeCell ref="E1:F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U56"/>
  <sheetViews>
    <sheetView zoomScale="110" zoomScaleNormal="110" workbookViewId="0">
      <selection activeCell="C7" sqref="C7:C11"/>
    </sheetView>
  </sheetViews>
  <sheetFormatPr defaultColWidth="8.7109375" defaultRowHeight="12.75" x14ac:dyDescent="0.2"/>
  <cols>
    <col min="1" max="1" width="7.85546875" style="7" bestFit="1" customWidth="1"/>
    <col min="2" max="2" width="36" style="1" customWidth="1"/>
    <col min="3" max="3" width="17.5703125" style="1" bestFit="1" customWidth="1"/>
    <col min="4" max="4" width="20" style="5" customWidth="1"/>
    <col min="5" max="5" width="21.5703125" style="5" customWidth="1"/>
    <col min="6" max="6" width="14.5703125" style="5" customWidth="1"/>
    <col min="7" max="7" width="12.5703125" style="5" bestFit="1" customWidth="1"/>
    <col min="8" max="8" width="10.5703125" style="5" customWidth="1"/>
    <col min="9" max="9" width="7.7109375" style="5" bestFit="1" customWidth="1"/>
    <col min="10" max="10" width="7.5703125" style="5" bestFit="1" customWidth="1"/>
    <col min="11" max="11" width="9.7109375" style="5" customWidth="1"/>
    <col min="12" max="12" width="11.42578125" style="5" bestFit="1" customWidth="1"/>
    <col min="13" max="13" width="4.28515625" style="5" bestFit="1" customWidth="1"/>
    <col min="14" max="14" width="11.85546875" style="5" bestFit="1" customWidth="1"/>
    <col min="15" max="15" width="18.7109375" style="5" customWidth="1"/>
    <col min="16" max="16" width="12.7109375" style="5" customWidth="1"/>
    <col min="17" max="17" width="7.7109375" style="5" bestFit="1" customWidth="1"/>
    <col min="18" max="18" width="16.42578125" style="5" customWidth="1"/>
    <col min="19" max="19" width="25.140625" style="5" customWidth="1"/>
    <col min="20" max="20" width="11.140625" style="5" bestFit="1" customWidth="1"/>
    <col min="21" max="21" width="13" style="5" customWidth="1"/>
    <col min="22" max="16384" width="8.7109375" style="5"/>
  </cols>
  <sheetData>
    <row r="1" spans="1:21" x14ac:dyDescent="0.2">
      <c r="A1" s="26" t="str">
        <f>HYPERLINK("#Index!B1", "Index Pg")</f>
        <v>Index Pg</v>
      </c>
      <c r="B1" s="279" t="str">
        <f>HYPERLINK("#'Budget Summary I'!A2", "Budget Summary I")</f>
        <v>Budget Summary I</v>
      </c>
      <c r="C1" s="279" t="str">
        <f>HYPERLINK("#'Budget Summary II'!A2:B2", "Budget Summary II")</f>
        <v>Budget Summary II</v>
      </c>
    </row>
    <row r="2" spans="1:21" x14ac:dyDescent="0.2">
      <c r="A2" s="3733" t="s">
        <v>4772</v>
      </c>
      <c r="B2" s="3733"/>
      <c r="C2" s="3733"/>
      <c r="D2" s="3733"/>
      <c r="E2" s="3733"/>
      <c r="F2" s="3733"/>
      <c r="G2" s="3733"/>
      <c r="H2" s="3733"/>
      <c r="I2" s="3733"/>
      <c r="J2" s="3733"/>
      <c r="K2" s="3733"/>
      <c r="L2" s="3733"/>
      <c r="M2" s="3733"/>
      <c r="N2" s="3733"/>
      <c r="O2" s="3733"/>
      <c r="P2" s="3733"/>
      <c r="Q2" s="3733"/>
      <c r="R2" s="3733"/>
      <c r="S2" s="3733"/>
      <c r="T2" s="3733"/>
      <c r="U2" s="3733"/>
    </row>
    <row r="3" spans="1:21" s="15" customFormat="1" ht="14.45" customHeight="1" x14ac:dyDescent="0.2">
      <c r="A3" s="3734" t="s">
        <v>4768</v>
      </c>
      <c r="B3" s="3735" t="s">
        <v>4771</v>
      </c>
      <c r="C3" s="3736" t="s">
        <v>4770</v>
      </c>
      <c r="D3" s="3737" t="s">
        <v>4769</v>
      </c>
      <c r="E3" s="3737"/>
      <c r="F3" s="3737"/>
      <c r="G3" s="3737"/>
      <c r="H3" s="3737"/>
      <c r="I3" s="3737"/>
      <c r="J3" s="3737"/>
      <c r="K3" s="3737"/>
      <c r="L3" s="3737"/>
      <c r="M3" s="3737"/>
      <c r="N3" s="3737"/>
      <c r="O3" s="3737"/>
      <c r="P3" s="3737"/>
      <c r="Q3" s="3737"/>
      <c r="R3" s="3737"/>
      <c r="S3" s="3737"/>
      <c r="T3" s="3737"/>
      <c r="U3" s="3737"/>
    </row>
    <row r="4" spans="1:21" s="15" customFormat="1" ht="14.45" customHeight="1" x14ac:dyDescent="0.2">
      <c r="A4" s="3734"/>
      <c r="B4" s="3735"/>
      <c r="C4" s="3736"/>
      <c r="D4" s="3736" t="s">
        <v>5</v>
      </c>
      <c r="E4" s="3736"/>
      <c r="F4" s="3736"/>
      <c r="G4" s="3736"/>
      <c r="H4" s="3736"/>
      <c r="I4" s="3736"/>
      <c r="J4" s="3736"/>
      <c r="K4" s="3736"/>
      <c r="L4" s="3736" t="s">
        <v>4687</v>
      </c>
      <c r="M4" s="3736"/>
      <c r="N4" s="3736" t="s">
        <v>4688</v>
      </c>
      <c r="O4" s="3736"/>
      <c r="P4" s="3736" t="s">
        <v>4698</v>
      </c>
      <c r="Q4" s="3736"/>
      <c r="R4" s="745" t="s">
        <v>4699</v>
      </c>
      <c r="S4" s="3736" t="s">
        <v>4689</v>
      </c>
      <c r="T4" s="3736"/>
      <c r="U4" s="745" t="s">
        <v>2348</v>
      </c>
    </row>
    <row r="5" spans="1:21" s="16" customFormat="1" ht="45" x14ac:dyDescent="0.2">
      <c r="A5" s="3734"/>
      <c r="B5" s="3735"/>
      <c r="C5" s="3736"/>
      <c r="D5" s="284" t="s">
        <v>4</v>
      </c>
      <c r="E5" s="284" t="s">
        <v>6</v>
      </c>
      <c r="F5" s="284" t="s">
        <v>10</v>
      </c>
      <c r="G5" s="284" t="s">
        <v>14</v>
      </c>
      <c r="H5" s="284" t="s">
        <v>20</v>
      </c>
      <c r="I5" s="284" t="s">
        <v>1342</v>
      </c>
      <c r="J5" s="284" t="s">
        <v>29</v>
      </c>
      <c r="K5" s="284" t="s">
        <v>30</v>
      </c>
      <c r="L5" s="284" t="s">
        <v>2729</v>
      </c>
      <c r="M5" s="284" t="s">
        <v>33</v>
      </c>
      <c r="N5" s="284" t="s">
        <v>18</v>
      </c>
      <c r="O5" s="284" t="s">
        <v>1264</v>
      </c>
      <c r="P5" s="284" t="s">
        <v>41</v>
      </c>
      <c r="Q5" s="284" t="s">
        <v>742</v>
      </c>
      <c r="R5" s="284" t="s">
        <v>34</v>
      </c>
      <c r="S5" s="284" t="s">
        <v>2862</v>
      </c>
      <c r="T5" s="284" t="s">
        <v>4700</v>
      </c>
      <c r="U5" s="284" t="s">
        <v>2789</v>
      </c>
    </row>
    <row r="6" spans="1:21" s="16" customFormat="1" ht="14.45" customHeight="1" x14ac:dyDescent="0.2">
      <c r="A6" s="3730" t="s">
        <v>5272</v>
      </c>
      <c r="B6" s="3731"/>
      <c r="C6" s="3731"/>
      <c r="D6" s="3731"/>
      <c r="E6" s="3731"/>
      <c r="F6" s="3731"/>
      <c r="G6" s="3731"/>
      <c r="H6" s="3731"/>
      <c r="I6" s="3731"/>
      <c r="J6" s="3731"/>
      <c r="K6" s="3731"/>
      <c r="L6" s="3731"/>
      <c r="M6" s="3731"/>
      <c r="N6" s="3731"/>
      <c r="O6" s="3731"/>
      <c r="P6" s="3731"/>
      <c r="Q6" s="3731"/>
      <c r="R6" s="3731"/>
      <c r="S6" s="3731"/>
      <c r="T6" s="3731"/>
      <c r="U6" s="3732"/>
    </row>
    <row r="7" spans="1:21" x14ac:dyDescent="0.2">
      <c r="A7" s="293">
        <v>1</v>
      </c>
      <c r="B7" s="23" t="s">
        <v>4756</v>
      </c>
      <c r="C7" s="781"/>
      <c r="D7" s="782"/>
      <c r="E7" s="782"/>
      <c r="F7" s="782"/>
      <c r="G7" s="782"/>
      <c r="H7" s="782"/>
      <c r="I7" s="782"/>
      <c r="J7" s="782"/>
      <c r="K7" s="782"/>
      <c r="L7" s="782"/>
      <c r="M7" s="782"/>
      <c r="N7" s="782"/>
      <c r="O7" s="782"/>
      <c r="P7" s="782"/>
      <c r="Q7" s="782"/>
      <c r="R7" s="782"/>
      <c r="S7" s="782"/>
      <c r="T7" s="782"/>
      <c r="U7" s="782"/>
    </row>
    <row r="8" spans="1:21" x14ac:dyDescent="0.2">
      <c r="A8" s="293">
        <v>2</v>
      </c>
      <c r="B8" s="23" t="s">
        <v>4757</v>
      </c>
      <c r="C8" s="781"/>
      <c r="D8" s="782"/>
      <c r="E8" s="782"/>
      <c r="F8" s="782"/>
      <c r="G8" s="782"/>
      <c r="H8" s="782"/>
      <c r="I8" s="782"/>
      <c r="J8" s="782"/>
      <c r="K8" s="782"/>
      <c r="L8" s="782"/>
      <c r="M8" s="782"/>
      <c r="N8" s="782"/>
      <c r="O8" s="782"/>
      <c r="P8" s="782"/>
      <c r="Q8" s="782"/>
      <c r="R8" s="782"/>
      <c r="S8" s="782"/>
      <c r="T8" s="782"/>
      <c r="U8" s="782"/>
    </row>
    <row r="9" spans="1:21" ht="25.5" x14ac:dyDescent="0.2">
      <c r="A9" s="293">
        <v>3</v>
      </c>
      <c r="B9" s="23" t="s">
        <v>5270</v>
      </c>
      <c r="C9" s="781"/>
      <c r="D9" s="782"/>
      <c r="E9" s="782"/>
      <c r="F9" s="782"/>
      <c r="G9" s="782"/>
      <c r="H9" s="782"/>
      <c r="I9" s="782"/>
      <c r="J9" s="782"/>
      <c r="K9" s="782"/>
      <c r="L9" s="782"/>
      <c r="M9" s="782"/>
      <c r="N9" s="782"/>
      <c r="O9" s="782"/>
      <c r="P9" s="782"/>
      <c r="Q9" s="782"/>
      <c r="R9" s="782"/>
      <c r="S9" s="782"/>
      <c r="T9" s="782"/>
      <c r="U9" s="782"/>
    </row>
    <row r="10" spans="1:21" ht="38.25" x14ac:dyDescent="0.2">
      <c r="A10" s="293">
        <v>4</v>
      </c>
      <c r="B10" s="23" t="s">
        <v>4821</v>
      </c>
      <c r="C10" s="781"/>
      <c r="D10" s="782"/>
      <c r="E10" s="782"/>
      <c r="F10" s="782"/>
      <c r="G10" s="782"/>
      <c r="H10" s="782"/>
      <c r="I10" s="782"/>
      <c r="J10" s="782"/>
      <c r="K10" s="782"/>
      <c r="L10" s="782"/>
      <c r="M10" s="782"/>
      <c r="N10" s="782"/>
      <c r="O10" s="782"/>
      <c r="P10" s="782"/>
      <c r="Q10" s="782"/>
      <c r="R10" s="782"/>
      <c r="S10" s="782"/>
      <c r="T10" s="782"/>
      <c r="U10" s="782"/>
    </row>
    <row r="11" spans="1:21" x14ac:dyDescent="0.2">
      <c r="A11" s="293">
        <v>5</v>
      </c>
      <c r="B11" s="23" t="s">
        <v>5554</v>
      </c>
      <c r="C11" s="781"/>
      <c r="D11" s="782"/>
      <c r="E11" s="782"/>
      <c r="F11" s="782"/>
      <c r="G11" s="782"/>
      <c r="H11" s="782"/>
      <c r="I11" s="782"/>
      <c r="J11" s="782"/>
      <c r="K11" s="782"/>
      <c r="L11" s="782"/>
      <c r="M11" s="782"/>
      <c r="N11" s="782"/>
      <c r="O11" s="782"/>
      <c r="P11" s="782"/>
      <c r="Q11" s="782"/>
      <c r="R11" s="782"/>
      <c r="S11" s="782"/>
      <c r="T11" s="782"/>
      <c r="U11" s="782"/>
    </row>
    <row r="12" spans="1:21" x14ac:dyDescent="0.2">
      <c r="A12" s="293">
        <v>6</v>
      </c>
      <c r="B12" s="23" t="s">
        <v>4822</v>
      </c>
      <c r="C12" s="781"/>
      <c r="D12" s="782"/>
      <c r="E12" s="782"/>
      <c r="F12" s="782"/>
      <c r="G12" s="782"/>
      <c r="H12" s="782"/>
      <c r="I12" s="782"/>
      <c r="J12" s="782"/>
      <c r="K12" s="782"/>
      <c r="L12" s="782"/>
      <c r="M12" s="782"/>
      <c r="N12" s="782"/>
      <c r="O12" s="782"/>
      <c r="P12" s="782"/>
      <c r="Q12" s="782"/>
      <c r="R12" s="782"/>
      <c r="S12" s="782"/>
      <c r="T12" s="782"/>
      <c r="U12" s="782"/>
    </row>
    <row r="13" spans="1:21" x14ac:dyDescent="0.2">
      <c r="A13" s="293">
        <v>7</v>
      </c>
      <c r="B13" s="23" t="s">
        <v>4823</v>
      </c>
      <c r="C13" s="781"/>
      <c r="D13" s="782"/>
      <c r="E13" s="782"/>
      <c r="F13" s="782"/>
      <c r="G13" s="782"/>
      <c r="H13" s="782"/>
      <c r="I13" s="782"/>
      <c r="J13" s="782"/>
      <c r="K13" s="782"/>
      <c r="L13" s="782"/>
      <c r="M13" s="782"/>
      <c r="N13" s="782"/>
      <c r="O13" s="782"/>
      <c r="P13" s="782"/>
      <c r="Q13" s="782"/>
      <c r="R13" s="782"/>
      <c r="S13" s="782"/>
      <c r="T13" s="782"/>
      <c r="U13" s="782"/>
    </row>
    <row r="14" spans="1:21" x14ac:dyDescent="0.2">
      <c r="A14" s="293">
        <v>8</v>
      </c>
      <c r="B14" s="23" t="s">
        <v>4758</v>
      </c>
      <c r="C14" s="781"/>
      <c r="D14" s="782"/>
      <c r="E14" s="782"/>
      <c r="F14" s="782"/>
      <c r="G14" s="782"/>
      <c r="H14" s="782"/>
      <c r="I14" s="782"/>
      <c r="J14" s="782"/>
      <c r="K14" s="782"/>
      <c r="L14" s="782"/>
      <c r="M14" s="782"/>
      <c r="N14" s="782"/>
      <c r="O14" s="782"/>
      <c r="P14" s="782"/>
      <c r="Q14" s="782"/>
      <c r="R14" s="782"/>
      <c r="S14" s="782"/>
      <c r="T14" s="782"/>
      <c r="U14" s="782"/>
    </row>
    <row r="15" spans="1:21" x14ac:dyDescent="0.2">
      <c r="A15" s="293">
        <v>9</v>
      </c>
      <c r="B15" s="23" t="s">
        <v>4759</v>
      </c>
      <c r="C15" s="781"/>
      <c r="D15" s="782"/>
      <c r="E15" s="782"/>
      <c r="F15" s="782"/>
      <c r="G15" s="782"/>
      <c r="H15" s="782"/>
      <c r="I15" s="782"/>
      <c r="J15" s="782"/>
      <c r="K15" s="782"/>
      <c r="L15" s="782"/>
      <c r="M15" s="782"/>
      <c r="N15" s="782"/>
      <c r="O15" s="782"/>
      <c r="P15" s="782"/>
      <c r="Q15" s="782"/>
      <c r="R15" s="782"/>
      <c r="S15" s="782"/>
      <c r="T15" s="782"/>
      <c r="U15" s="782"/>
    </row>
    <row r="16" spans="1:21" ht="25.5" x14ac:dyDescent="0.2">
      <c r="A16" s="293">
        <v>10</v>
      </c>
      <c r="B16" s="23" t="s">
        <v>4760</v>
      </c>
      <c r="C16" s="781"/>
      <c r="D16" s="782"/>
      <c r="E16" s="782"/>
      <c r="F16" s="782"/>
      <c r="G16" s="782"/>
      <c r="H16" s="782"/>
      <c r="I16" s="782"/>
      <c r="J16" s="782"/>
      <c r="K16" s="782"/>
      <c r="L16" s="782"/>
      <c r="M16" s="782"/>
      <c r="N16" s="782"/>
      <c r="O16" s="782"/>
      <c r="P16" s="782"/>
      <c r="Q16" s="782"/>
      <c r="R16" s="782"/>
      <c r="S16" s="782"/>
      <c r="T16" s="782"/>
      <c r="U16" s="782"/>
    </row>
    <row r="17" spans="1:21" ht="25.5" x14ac:dyDescent="0.2">
      <c r="A17" s="293">
        <v>11</v>
      </c>
      <c r="B17" s="23" t="s">
        <v>4761</v>
      </c>
      <c r="C17" s="781"/>
      <c r="D17" s="782"/>
      <c r="E17" s="782"/>
      <c r="F17" s="782"/>
      <c r="G17" s="782"/>
      <c r="H17" s="782"/>
      <c r="I17" s="782"/>
      <c r="J17" s="782"/>
      <c r="K17" s="782"/>
      <c r="L17" s="782"/>
      <c r="M17" s="782"/>
      <c r="N17" s="782"/>
      <c r="O17" s="782"/>
      <c r="P17" s="782"/>
      <c r="Q17" s="782"/>
      <c r="R17" s="782"/>
      <c r="S17" s="782"/>
      <c r="T17" s="782"/>
      <c r="U17" s="782"/>
    </row>
    <row r="18" spans="1:21" ht="25.5" x14ac:dyDescent="0.2">
      <c r="A18" s="293">
        <v>12</v>
      </c>
      <c r="B18" s="23" t="s">
        <v>4762</v>
      </c>
      <c r="C18" s="781"/>
      <c r="D18" s="782"/>
      <c r="E18" s="782"/>
      <c r="F18" s="782"/>
      <c r="G18" s="782"/>
      <c r="H18" s="782"/>
      <c r="I18" s="782"/>
      <c r="J18" s="782"/>
      <c r="K18" s="782"/>
      <c r="L18" s="782"/>
      <c r="M18" s="782"/>
      <c r="N18" s="782"/>
      <c r="O18" s="782"/>
      <c r="P18" s="782"/>
      <c r="Q18" s="782"/>
      <c r="R18" s="782"/>
      <c r="S18" s="782"/>
      <c r="T18" s="782"/>
      <c r="U18" s="782"/>
    </row>
    <row r="19" spans="1:21" ht="25.5" x14ac:dyDescent="0.2">
      <c r="A19" s="293">
        <v>13</v>
      </c>
      <c r="B19" s="23" t="s">
        <v>4763</v>
      </c>
      <c r="C19" s="781"/>
      <c r="D19" s="782"/>
      <c r="E19" s="782"/>
      <c r="F19" s="782"/>
      <c r="G19" s="782"/>
      <c r="H19" s="782"/>
      <c r="I19" s="782"/>
      <c r="J19" s="782"/>
      <c r="K19" s="782"/>
      <c r="L19" s="782"/>
      <c r="M19" s="782"/>
      <c r="N19" s="782"/>
      <c r="O19" s="782"/>
      <c r="P19" s="782"/>
      <c r="Q19" s="782"/>
      <c r="R19" s="782"/>
      <c r="S19" s="782"/>
      <c r="T19" s="782"/>
      <c r="U19" s="782"/>
    </row>
    <row r="20" spans="1:21" x14ac:dyDescent="0.2">
      <c r="A20" s="293">
        <v>14</v>
      </c>
      <c r="B20" s="23" t="s">
        <v>4764</v>
      </c>
      <c r="C20" s="781"/>
      <c r="D20" s="782"/>
      <c r="E20" s="782"/>
      <c r="F20" s="782"/>
      <c r="G20" s="782"/>
      <c r="H20" s="782"/>
      <c r="I20" s="782"/>
      <c r="J20" s="782"/>
      <c r="K20" s="782"/>
      <c r="L20" s="782"/>
      <c r="M20" s="782"/>
      <c r="N20" s="782"/>
      <c r="O20" s="782"/>
      <c r="P20" s="782"/>
      <c r="Q20" s="782"/>
      <c r="R20" s="782"/>
      <c r="S20" s="782"/>
      <c r="T20" s="782"/>
      <c r="U20" s="782"/>
    </row>
    <row r="21" spans="1:21" x14ac:dyDescent="0.2">
      <c r="A21" s="293">
        <v>15</v>
      </c>
      <c r="B21" s="23" t="s">
        <v>4765</v>
      </c>
      <c r="C21" s="781"/>
      <c r="D21" s="782"/>
      <c r="E21" s="782"/>
      <c r="F21" s="782"/>
      <c r="G21" s="782"/>
      <c r="H21" s="782"/>
      <c r="I21" s="782"/>
      <c r="J21" s="782"/>
      <c r="K21" s="782"/>
      <c r="L21" s="782"/>
      <c r="M21" s="782"/>
      <c r="N21" s="782"/>
      <c r="O21" s="782"/>
      <c r="P21" s="782"/>
      <c r="Q21" s="782"/>
      <c r="R21" s="782"/>
      <c r="S21" s="782"/>
      <c r="T21" s="782"/>
      <c r="U21" s="782"/>
    </row>
    <row r="22" spans="1:21" x14ac:dyDescent="0.2">
      <c r="A22" s="293">
        <v>16</v>
      </c>
      <c r="B22" s="23" t="s">
        <v>4766</v>
      </c>
      <c r="C22" s="781"/>
      <c r="D22" s="782"/>
      <c r="E22" s="782"/>
      <c r="F22" s="782"/>
      <c r="G22" s="782"/>
      <c r="H22" s="782"/>
      <c r="I22" s="782"/>
      <c r="J22" s="782"/>
      <c r="K22" s="782"/>
      <c r="L22" s="782"/>
      <c r="M22" s="782"/>
      <c r="N22" s="782"/>
      <c r="O22" s="782"/>
      <c r="P22" s="782"/>
      <c r="Q22" s="782"/>
      <c r="R22" s="782"/>
      <c r="S22" s="782"/>
      <c r="T22" s="782"/>
      <c r="U22" s="782"/>
    </row>
    <row r="23" spans="1:21" x14ac:dyDescent="0.2">
      <c r="A23" s="293">
        <v>17</v>
      </c>
      <c r="B23" s="23" t="s">
        <v>4767</v>
      </c>
      <c r="C23" s="781"/>
      <c r="D23" s="782"/>
      <c r="E23" s="782"/>
      <c r="F23" s="782"/>
      <c r="G23" s="782"/>
      <c r="H23" s="782"/>
      <c r="I23" s="782"/>
      <c r="J23" s="782"/>
      <c r="K23" s="782"/>
      <c r="L23" s="782"/>
      <c r="M23" s="782"/>
      <c r="N23" s="782"/>
      <c r="O23" s="782"/>
      <c r="P23" s="782"/>
      <c r="Q23" s="782"/>
      <c r="R23" s="782"/>
      <c r="S23" s="782"/>
      <c r="T23" s="782"/>
      <c r="U23" s="782"/>
    </row>
    <row r="24" spans="1:21" x14ac:dyDescent="0.2">
      <c r="A24" s="293">
        <v>18</v>
      </c>
      <c r="B24" s="23" t="s">
        <v>4824</v>
      </c>
      <c r="C24" s="781"/>
      <c r="D24" s="782"/>
      <c r="E24" s="782"/>
      <c r="F24" s="782"/>
      <c r="G24" s="782"/>
      <c r="H24" s="782"/>
      <c r="I24" s="782"/>
      <c r="J24" s="782"/>
      <c r="K24" s="782"/>
      <c r="L24" s="782"/>
      <c r="M24" s="782"/>
      <c r="N24" s="782"/>
      <c r="O24" s="782"/>
      <c r="P24" s="782"/>
      <c r="Q24" s="782"/>
      <c r="R24" s="782"/>
      <c r="S24" s="782"/>
      <c r="T24" s="782"/>
      <c r="U24" s="782"/>
    </row>
    <row r="25" spans="1:21" ht="25.5" customHeight="1" x14ac:dyDescent="0.2">
      <c r="A25" s="293">
        <v>19</v>
      </c>
      <c r="B25" s="23" t="s">
        <v>5271</v>
      </c>
      <c r="C25" s="781"/>
      <c r="D25" s="782"/>
      <c r="E25" s="782"/>
      <c r="F25" s="782"/>
      <c r="G25" s="782"/>
      <c r="H25" s="782"/>
      <c r="I25" s="782"/>
      <c r="J25" s="782"/>
      <c r="K25" s="782"/>
      <c r="L25" s="782"/>
      <c r="M25" s="782"/>
      <c r="N25" s="782"/>
      <c r="O25" s="782"/>
      <c r="P25" s="782"/>
      <c r="Q25" s="782"/>
      <c r="R25" s="782"/>
      <c r="S25" s="782"/>
      <c r="T25" s="782"/>
      <c r="U25" s="782"/>
    </row>
    <row r="26" spans="1:21" x14ac:dyDescent="0.2">
      <c r="A26" s="293">
        <v>20</v>
      </c>
      <c r="B26" s="781"/>
      <c r="C26" s="781"/>
      <c r="D26" s="782"/>
      <c r="E26" s="782"/>
      <c r="F26" s="782"/>
      <c r="G26" s="782"/>
      <c r="H26" s="782"/>
      <c r="I26" s="782"/>
      <c r="J26" s="782"/>
      <c r="K26" s="782"/>
      <c r="L26" s="782"/>
      <c r="M26" s="782"/>
      <c r="N26" s="782"/>
      <c r="O26" s="782"/>
      <c r="P26" s="782"/>
      <c r="Q26" s="782"/>
      <c r="R26" s="782"/>
      <c r="S26" s="782"/>
      <c r="T26" s="782"/>
      <c r="U26" s="782"/>
    </row>
    <row r="27" spans="1:21" x14ac:dyDescent="0.2">
      <c r="A27" s="293">
        <v>21</v>
      </c>
      <c r="B27" s="781"/>
      <c r="C27" s="781"/>
      <c r="D27" s="782"/>
      <c r="E27" s="782"/>
      <c r="F27" s="782"/>
      <c r="G27" s="782"/>
      <c r="H27" s="782"/>
      <c r="I27" s="782"/>
      <c r="J27" s="782"/>
      <c r="K27" s="782"/>
      <c r="L27" s="782"/>
      <c r="M27" s="782"/>
      <c r="N27" s="782"/>
      <c r="O27" s="782"/>
      <c r="P27" s="782"/>
      <c r="Q27" s="782"/>
      <c r="R27" s="782"/>
      <c r="S27" s="782"/>
      <c r="T27" s="782"/>
      <c r="U27" s="782"/>
    </row>
    <row r="28" spans="1:21" x14ac:dyDescent="0.2">
      <c r="A28" s="293">
        <v>22</v>
      </c>
      <c r="B28" s="781"/>
      <c r="C28" s="781"/>
      <c r="D28" s="782"/>
      <c r="E28" s="782"/>
      <c r="F28" s="782"/>
      <c r="G28" s="782"/>
      <c r="H28" s="782"/>
      <c r="I28" s="782"/>
      <c r="J28" s="782"/>
      <c r="K28" s="782"/>
      <c r="L28" s="782"/>
      <c r="M28" s="782"/>
      <c r="N28" s="782"/>
      <c r="O28" s="782"/>
      <c r="P28" s="782"/>
      <c r="Q28" s="782"/>
      <c r="R28" s="782"/>
      <c r="S28" s="782"/>
      <c r="T28" s="782"/>
      <c r="U28" s="782"/>
    </row>
    <row r="29" spans="1:21" x14ac:dyDescent="0.2">
      <c r="A29" s="293">
        <v>23</v>
      </c>
      <c r="B29" s="781"/>
      <c r="C29" s="781"/>
      <c r="D29" s="782"/>
      <c r="E29" s="782"/>
      <c r="F29" s="782"/>
      <c r="G29" s="782"/>
      <c r="H29" s="782"/>
      <c r="I29" s="782"/>
      <c r="J29" s="782"/>
      <c r="K29" s="782"/>
      <c r="L29" s="782"/>
      <c r="M29" s="782"/>
      <c r="N29" s="782"/>
      <c r="O29" s="782"/>
      <c r="P29" s="782"/>
      <c r="Q29" s="782"/>
      <c r="R29" s="782"/>
      <c r="S29" s="782"/>
      <c r="T29" s="782"/>
      <c r="U29" s="782"/>
    </row>
    <row r="30" spans="1:21" x14ac:dyDescent="0.2">
      <c r="A30" s="293">
        <v>24</v>
      </c>
      <c r="B30" s="781"/>
      <c r="C30" s="781"/>
      <c r="D30" s="782"/>
      <c r="E30" s="782"/>
      <c r="F30" s="782"/>
      <c r="G30" s="782"/>
      <c r="H30" s="782"/>
      <c r="I30" s="782"/>
      <c r="J30" s="782"/>
      <c r="K30" s="782"/>
      <c r="L30" s="782"/>
      <c r="M30" s="782"/>
      <c r="N30" s="782"/>
      <c r="O30" s="782"/>
      <c r="P30" s="782"/>
      <c r="Q30" s="782"/>
      <c r="R30" s="782"/>
      <c r="S30" s="782"/>
      <c r="T30" s="782"/>
      <c r="U30" s="782"/>
    </row>
    <row r="31" spans="1:21" x14ac:dyDescent="0.2">
      <c r="A31" s="293">
        <v>25</v>
      </c>
      <c r="B31" s="781"/>
      <c r="C31" s="781"/>
      <c r="D31" s="782"/>
      <c r="E31" s="782"/>
      <c r="F31" s="782"/>
      <c r="G31" s="782"/>
      <c r="H31" s="782"/>
      <c r="I31" s="782"/>
      <c r="J31" s="782"/>
      <c r="K31" s="782"/>
      <c r="L31" s="782"/>
      <c r="M31" s="782"/>
      <c r="N31" s="782"/>
      <c r="O31" s="782"/>
      <c r="P31" s="782"/>
      <c r="Q31" s="782"/>
      <c r="R31" s="782"/>
      <c r="S31" s="782"/>
      <c r="T31" s="782"/>
      <c r="U31" s="782"/>
    </row>
    <row r="32" spans="1:21" x14ac:dyDescent="0.2">
      <c r="A32" s="293">
        <v>26</v>
      </c>
      <c r="B32" s="781"/>
      <c r="C32" s="781"/>
      <c r="D32" s="782"/>
      <c r="E32" s="782"/>
      <c r="F32" s="782"/>
      <c r="G32" s="782"/>
      <c r="H32" s="782"/>
      <c r="I32" s="782"/>
      <c r="J32" s="782"/>
      <c r="K32" s="782"/>
      <c r="L32" s="782"/>
      <c r="M32" s="782"/>
      <c r="N32" s="782"/>
      <c r="O32" s="782"/>
      <c r="P32" s="782"/>
      <c r="Q32" s="782"/>
      <c r="R32" s="782"/>
      <c r="S32" s="782"/>
      <c r="T32" s="782"/>
      <c r="U32" s="782"/>
    </row>
    <row r="33" spans="1:21" x14ac:dyDescent="0.2">
      <c r="A33" s="293">
        <v>27</v>
      </c>
      <c r="B33" s="781"/>
      <c r="C33" s="781"/>
      <c r="D33" s="782"/>
      <c r="E33" s="782"/>
      <c r="F33" s="782"/>
      <c r="G33" s="782"/>
      <c r="H33" s="782"/>
      <c r="I33" s="782"/>
      <c r="J33" s="782"/>
      <c r="K33" s="782"/>
      <c r="L33" s="782"/>
      <c r="M33" s="782"/>
      <c r="N33" s="782"/>
      <c r="O33" s="782"/>
      <c r="P33" s="782"/>
      <c r="Q33" s="782"/>
      <c r="R33" s="782"/>
      <c r="S33" s="782"/>
      <c r="T33" s="782"/>
      <c r="U33" s="782"/>
    </row>
    <row r="34" spans="1:21" x14ac:dyDescent="0.2">
      <c r="A34" s="293">
        <v>28</v>
      </c>
      <c r="B34" s="781"/>
      <c r="C34" s="781"/>
      <c r="D34" s="782"/>
      <c r="E34" s="782"/>
      <c r="F34" s="782"/>
      <c r="G34" s="782"/>
      <c r="H34" s="782"/>
      <c r="I34" s="782"/>
      <c r="J34" s="782"/>
      <c r="K34" s="782"/>
      <c r="L34" s="782"/>
      <c r="M34" s="782"/>
      <c r="N34" s="782"/>
      <c r="O34" s="782"/>
      <c r="P34" s="782"/>
      <c r="Q34" s="782"/>
      <c r="R34" s="782"/>
      <c r="S34" s="782"/>
      <c r="T34" s="782"/>
      <c r="U34" s="782"/>
    </row>
    <row r="35" spans="1:21" x14ac:dyDescent="0.2">
      <c r="A35" s="293">
        <v>29</v>
      </c>
      <c r="B35" s="781"/>
      <c r="C35" s="781"/>
      <c r="D35" s="782"/>
      <c r="E35" s="782"/>
      <c r="F35" s="782"/>
      <c r="G35" s="782"/>
      <c r="H35" s="782"/>
      <c r="I35" s="782"/>
      <c r="J35" s="782"/>
      <c r="K35" s="782"/>
      <c r="L35" s="782"/>
      <c r="M35" s="782"/>
      <c r="N35" s="782"/>
      <c r="O35" s="782"/>
      <c r="P35" s="782"/>
      <c r="Q35" s="782"/>
      <c r="R35" s="782"/>
      <c r="S35" s="782"/>
      <c r="T35" s="782"/>
      <c r="U35" s="782"/>
    </row>
    <row r="36" spans="1:21" x14ac:dyDescent="0.2">
      <c r="A36" s="293">
        <v>30</v>
      </c>
      <c r="B36" s="781"/>
      <c r="C36" s="781"/>
      <c r="D36" s="782"/>
      <c r="E36" s="782"/>
      <c r="F36" s="782"/>
      <c r="G36" s="782"/>
      <c r="H36" s="782"/>
      <c r="I36" s="782"/>
      <c r="J36" s="782"/>
      <c r="K36" s="782"/>
      <c r="L36" s="782"/>
      <c r="M36" s="782"/>
      <c r="N36" s="782"/>
      <c r="O36" s="782"/>
      <c r="P36" s="782"/>
      <c r="Q36" s="782"/>
      <c r="R36" s="782"/>
      <c r="S36" s="782"/>
      <c r="T36" s="782"/>
      <c r="U36" s="782"/>
    </row>
    <row r="37" spans="1:21" x14ac:dyDescent="0.2">
      <c r="A37" s="293">
        <v>31</v>
      </c>
      <c r="B37" s="781"/>
      <c r="C37" s="781"/>
      <c r="D37" s="782"/>
      <c r="E37" s="782"/>
      <c r="F37" s="782"/>
      <c r="G37" s="782"/>
      <c r="H37" s="782"/>
      <c r="I37" s="782"/>
      <c r="J37" s="782"/>
      <c r="K37" s="782"/>
      <c r="L37" s="782"/>
      <c r="M37" s="782"/>
      <c r="N37" s="782"/>
      <c r="O37" s="782"/>
      <c r="P37" s="782"/>
      <c r="Q37" s="782"/>
      <c r="R37" s="782"/>
      <c r="S37" s="782"/>
      <c r="T37" s="782"/>
      <c r="U37" s="782"/>
    </row>
    <row r="38" spans="1:21" x14ac:dyDescent="0.2">
      <c r="A38" s="293">
        <v>32</v>
      </c>
      <c r="B38" s="781"/>
      <c r="C38" s="781"/>
      <c r="D38" s="782"/>
      <c r="E38" s="782"/>
      <c r="F38" s="782"/>
      <c r="G38" s="782"/>
      <c r="H38" s="782"/>
      <c r="I38" s="782"/>
      <c r="J38" s="782"/>
      <c r="K38" s="782"/>
      <c r="L38" s="782"/>
      <c r="M38" s="782"/>
      <c r="N38" s="782"/>
      <c r="O38" s="782"/>
      <c r="P38" s="782"/>
      <c r="Q38" s="782"/>
      <c r="R38" s="782"/>
      <c r="S38" s="782"/>
      <c r="T38" s="782"/>
      <c r="U38" s="782"/>
    </row>
    <row r="39" spans="1:21" x14ac:dyDescent="0.2">
      <c r="A39" s="293">
        <v>33</v>
      </c>
      <c r="B39" s="781"/>
      <c r="C39" s="781"/>
      <c r="D39" s="782"/>
      <c r="E39" s="782"/>
      <c r="F39" s="782"/>
      <c r="G39" s="782"/>
      <c r="H39" s="782"/>
      <c r="I39" s="782"/>
      <c r="J39" s="782"/>
      <c r="K39" s="782"/>
      <c r="L39" s="782"/>
      <c r="M39" s="782"/>
      <c r="N39" s="782"/>
      <c r="O39" s="782"/>
      <c r="P39" s="782"/>
      <c r="Q39" s="782"/>
      <c r="R39" s="782"/>
      <c r="S39" s="782"/>
      <c r="T39" s="782"/>
      <c r="U39" s="782"/>
    </row>
    <row r="40" spans="1:21" x14ac:dyDescent="0.2">
      <c r="A40" s="293">
        <v>34</v>
      </c>
      <c r="B40" s="781"/>
      <c r="C40" s="781"/>
      <c r="D40" s="782"/>
      <c r="E40" s="782"/>
      <c r="F40" s="782"/>
      <c r="G40" s="782"/>
      <c r="H40" s="782"/>
      <c r="I40" s="782"/>
      <c r="J40" s="782"/>
      <c r="K40" s="782"/>
      <c r="L40" s="782"/>
      <c r="M40" s="782"/>
      <c r="N40" s="782"/>
      <c r="O40" s="782"/>
      <c r="P40" s="782"/>
      <c r="Q40" s="782"/>
      <c r="R40" s="782"/>
      <c r="S40" s="782"/>
      <c r="T40" s="782"/>
      <c r="U40" s="782"/>
    </row>
    <row r="41" spans="1:21" x14ac:dyDescent="0.2">
      <c r="A41" s="293">
        <v>35</v>
      </c>
      <c r="B41" s="781"/>
      <c r="C41" s="781"/>
      <c r="D41" s="782"/>
      <c r="E41" s="782"/>
      <c r="F41" s="782"/>
      <c r="G41" s="782"/>
      <c r="H41" s="782"/>
      <c r="I41" s="782"/>
      <c r="J41" s="782"/>
      <c r="K41" s="782"/>
      <c r="L41" s="782"/>
      <c r="M41" s="782"/>
      <c r="N41" s="782"/>
      <c r="O41" s="782"/>
      <c r="P41" s="782"/>
      <c r="Q41" s="782"/>
      <c r="R41" s="782"/>
      <c r="S41" s="782"/>
      <c r="T41" s="782"/>
      <c r="U41" s="782"/>
    </row>
    <row r="42" spans="1:21" x14ac:dyDescent="0.2">
      <c r="A42" s="293">
        <v>36</v>
      </c>
      <c r="B42" s="781"/>
      <c r="C42" s="781"/>
      <c r="D42" s="782"/>
      <c r="E42" s="782"/>
      <c r="F42" s="782"/>
      <c r="G42" s="782"/>
      <c r="H42" s="782"/>
      <c r="I42" s="782"/>
      <c r="J42" s="782"/>
      <c r="K42" s="782"/>
      <c r="L42" s="782"/>
      <c r="M42" s="782"/>
      <c r="N42" s="782"/>
      <c r="O42" s="782"/>
      <c r="P42" s="782"/>
      <c r="Q42" s="782"/>
      <c r="R42" s="782"/>
      <c r="S42" s="782"/>
      <c r="T42" s="782"/>
      <c r="U42" s="782"/>
    </row>
    <row r="43" spans="1:21" x14ac:dyDescent="0.2">
      <c r="A43" s="293">
        <v>37</v>
      </c>
      <c r="B43" s="781"/>
      <c r="C43" s="781"/>
      <c r="D43" s="782"/>
      <c r="E43" s="782"/>
      <c r="F43" s="782"/>
      <c r="G43" s="782"/>
      <c r="H43" s="782"/>
      <c r="I43" s="782"/>
      <c r="J43" s="782"/>
      <c r="K43" s="782"/>
      <c r="L43" s="782"/>
      <c r="M43" s="782"/>
      <c r="N43" s="782"/>
      <c r="O43" s="782"/>
      <c r="P43" s="782"/>
      <c r="Q43" s="782"/>
      <c r="R43" s="782"/>
      <c r="S43" s="782"/>
      <c r="T43" s="782"/>
      <c r="U43" s="782"/>
    </row>
    <row r="44" spans="1:21" x14ac:dyDescent="0.2">
      <c r="A44" s="293">
        <v>38</v>
      </c>
      <c r="B44" s="781"/>
      <c r="C44" s="781"/>
      <c r="D44" s="782"/>
      <c r="E44" s="782"/>
      <c r="F44" s="782"/>
      <c r="G44" s="782"/>
      <c r="H44" s="782"/>
      <c r="I44" s="782"/>
      <c r="J44" s="782"/>
      <c r="K44" s="782"/>
      <c r="L44" s="782"/>
      <c r="M44" s="782"/>
      <c r="N44" s="782"/>
      <c r="O44" s="782"/>
      <c r="P44" s="782"/>
      <c r="Q44" s="782"/>
      <c r="R44" s="782"/>
      <c r="S44" s="782"/>
      <c r="T44" s="782"/>
      <c r="U44" s="782"/>
    </row>
    <row r="45" spans="1:21" x14ac:dyDescent="0.2">
      <c r="A45" s="293">
        <v>39</v>
      </c>
      <c r="B45" s="781"/>
      <c r="C45" s="781"/>
      <c r="D45" s="782"/>
      <c r="E45" s="782"/>
      <c r="F45" s="782"/>
      <c r="G45" s="782"/>
      <c r="H45" s="782"/>
      <c r="I45" s="782"/>
      <c r="J45" s="782"/>
      <c r="K45" s="782"/>
      <c r="L45" s="782"/>
      <c r="M45" s="782"/>
      <c r="N45" s="782"/>
      <c r="O45" s="782"/>
      <c r="P45" s="782"/>
      <c r="Q45" s="782"/>
      <c r="R45" s="782"/>
      <c r="S45" s="782"/>
      <c r="T45" s="782"/>
      <c r="U45" s="782"/>
    </row>
    <row r="46" spans="1:21" x14ac:dyDescent="0.2">
      <c r="A46" s="293">
        <v>40</v>
      </c>
      <c r="B46" s="781"/>
      <c r="C46" s="781"/>
      <c r="D46" s="782"/>
      <c r="E46" s="782"/>
      <c r="F46" s="782"/>
      <c r="G46" s="782"/>
      <c r="H46" s="782"/>
      <c r="I46" s="782"/>
      <c r="J46" s="782"/>
      <c r="K46" s="782"/>
      <c r="L46" s="782"/>
      <c r="M46" s="782"/>
      <c r="N46" s="782"/>
      <c r="O46" s="782"/>
      <c r="P46" s="782"/>
      <c r="Q46" s="782"/>
      <c r="R46" s="782"/>
      <c r="S46" s="782"/>
      <c r="T46" s="782"/>
      <c r="U46" s="782"/>
    </row>
    <row r="47" spans="1:21" x14ac:dyDescent="0.2">
      <c r="A47" s="293">
        <v>41</v>
      </c>
      <c r="B47" s="781"/>
      <c r="C47" s="781"/>
      <c r="D47" s="782"/>
      <c r="E47" s="782"/>
      <c r="F47" s="782"/>
      <c r="G47" s="782"/>
      <c r="H47" s="782"/>
      <c r="I47" s="782"/>
      <c r="J47" s="782"/>
      <c r="K47" s="782"/>
      <c r="L47" s="782"/>
      <c r="M47" s="782"/>
      <c r="N47" s="782"/>
      <c r="O47" s="782"/>
      <c r="P47" s="782"/>
      <c r="Q47" s="782"/>
      <c r="R47" s="782"/>
      <c r="S47" s="782"/>
      <c r="T47" s="782"/>
      <c r="U47" s="782"/>
    </row>
    <row r="48" spans="1:21" x14ac:dyDescent="0.2">
      <c r="A48" s="293">
        <v>42</v>
      </c>
      <c r="B48" s="781"/>
      <c r="C48" s="781"/>
      <c r="D48" s="782"/>
      <c r="E48" s="782"/>
      <c r="F48" s="782"/>
      <c r="G48" s="782"/>
      <c r="H48" s="782"/>
      <c r="I48" s="782"/>
      <c r="J48" s="782"/>
      <c r="K48" s="782"/>
      <c r="L48" s="782"/>
      <c r="M48" s="782"/>
      <c r="N48" s="782"/>
      <c r="O48" s="782"/>
      <c r="P48" s="782"/>
      <c r="Q48" s="782"/>
      <c r="R48" s="782"/>
      <c r="S48" s="782"/>
      <c r="T48" s="782"/>
      <c r="U48" s="782"/>
    </row>
    <row r="49" spans="1:21" x14ac:dyDescent="0.2">
      <c r="A49" s="293">
        <v>43</v>
      </c>
      <c r="B49" s="781"/>
      <c r="C49" s="781"/>
      <c r="D49" s="782"/>
      <c r="E49" s="782"/>
      <c r="F49" s="782"/>
      <c r="G49" s="782"/>
      <c r="H49" s="782"/>
      <c r="I49" s="782"/>
      <c r="J49" s="782"/>
      <c r="K49" s="782"/>
      <c r="L49" s="782"/>
      <c r="M49" s="782"/>
      <c r="N49" s="782"/>
      <c r="O49" s="782"/>
      <c r="P49" s="782"/>
      <c r="Q49" s="782"/>
      <c r="R49" s="782"/>
      <c r="S49" s="782"/>
      <c r="T49" s="782"/>
      <c r="U49" s="782"/>
    </row>
    <row r="50" spans="1:21" x14ac:dyDescent="0.2">
      <c r="A50" s="293">
        <v>44</v>
      </c>
      <c r="B50" s="781"/>
      <c r="C50" s="781"/>
      <c r="D50" s="782"/>
      <c r="E50" s="782"/>
      <c r="F50" s="782"/>
      <c r="G50" s="782"/>
      <c r="H50" s="782"/>
      <c r="I50" s="782"/>
      <c r="J50" s="782"/>
      <c r="K50" s="782"/>
      <c r="L50" s="782"/>
      <c r="M50" s="782"/>
      <c r="N50" s="782"/>
      <c r="O50" s="782"/>
      <c r="P50" s="782"/>
      <c r="Q50" s="782"/>
      <c r="R50" s="782"/>
      <c r="S50" s="782"/>
      <c r="T50" s="782"/>
      <c r="U50" s="782"/>
    </row>
    <row r="51" spans="1:21" x14ac:dyDescent="0.2">
      <c r="A51" s="293">
        <v>45</v>
      </c>
      <c r="B51" s="781"/>
      <c r="C51" s="781"/>
      <c r="D51" s="782"/>
      <c r="E51" s="782"/>
      <c r="F51" s="782"/>
      <c r="G51" s="782"/>
      <c r="H51" s="782"/>
      <c r="I51" s="782"/>
      <c r="J51" s="782"/>
      <c r="K51" s="782"/>
      <c r="L51" s="782"/>
      <c r="M51" s="782"/>
      <c r="N51" s="782"/>
      <c r="O51" s="782"/>
      <c r="P51" s="782"/>
      <c r="Q51" s="782"/>
      <c r="R51" s="782"/>
      <c r="S51" s="782"/>
      <c r="T51" s="782"/>
      <c r="U51" s="782"/>
    </row>
    <row r="52" spans="1:21" x14ac:dyDescent="0.2">
      <c r="A52" s="293">
        <v>46</v>
      </c>
      <c r="B52" s="781"/>
      <c r="C52" s="781"/>
      <c r="D52" s="782"/>
      <c r="E52" s="782"/>
      <c r="F52" s="782"/>
      <c r="G52" s="782"/>
      <c r="H52" s="782"/>
      <c r="I52" s="782"/>
      <c r="J52" s="782"/>
      <c r="K52" s="782"/>
      <c r="L52" s="782"/>
      <c r="M52" s="782"/>
      <c r="N52" s="782"/>
      <c r="O52" s="782"/>
      <c r="P52" s="782"/>
      <c r="Q52" s="782"/>
      <c r="R52" s="782"/>
      <c r="S52" s="782"/>
      <c r="T52" s="782"/>
      <c r="U52" s="782"/>
    </row>
    <row r="53" spans="1:21" x14ac:dyDescent="0.2">
      <c r="A53" s="293">
        <v>47</v>
      </c>
      <c r="B53" s="781"/>
      <c r="C53" s="781"/>
      <c r="D53" s="782"/>
      <c r="E53" s="782"/>
      <c r="F53" s="782"/>
      <c r="G53" s="782"/>
      <c r="H53" s="782"/>
      <c r="I53" s="782"/>
      <c r="J53" s="782"/>
      <c r="K53" s="782"/>
      <c r="L53" s="782"/>
      <c r="M53" s="782"/>
      <c r="N53" s="782"/>
      <c r="O53" s="782"/>
      <c r="P53" s="782"/>
      <c r="Q53" s="782"/>
      <c r="R53" s="782"/>
      <c r="S53" s="782"/>
      <c r="T53" s="782"/>
      <c r="U53" s="782"/>
    </row>
    <row r="54" spans="1:21" x14ac:dyDescent="0.2">
      <c r="A54" s="293">
        <v>48</v>
      </c>
      <c r="B54" s="781"/>
      <c r="C54" s="781"/>
      <c r="D54" s="782"/>
      <c r="E54" s="782"/>
      <c r="F54" s="782"/>
      <c r="G54" s="782"/>
      <c r="H54" s="782"/>
      <c r="I54" s="782"/>
      <c r="J54" s="782"/>
      <c r="K54" s="782"/>
      <c r="L54" s="782"/>
      <c r="M54" s="782"/>
      <c r="N54" s="782"/>
      <c r="O54" s="782"/>
      <c r="P54" s="782"/>
      <c r="Q54" s="782"/>
      <c r="R54" s="782"/>
      <c r="S54" s="782"/>
      <c r="T54" s="782"/>
      <c r="U54" s="782"/>
    </row>
    <row r="55" spans="1:21" x14ac:dyDescent="0.2">
      <c r="A55" s="293">
        <v>49</v>
      </c>
      <c r="B55" s="781"/>
      <c r="C55" s="781"/>
      <c r="D55" s="782"/>
      <c r="E55" s="782"/>
      <c r="F55" s="782"/>
      <c r="G55" s="782"/>
      <c r="H55" s="782"/>
      <c r="I55" s="782"/>
      <c r="J55" s="782"/>
      <c r="K55" s="782"/>
      <c r="L55" s="782"/>
      <c r="M55" s="782"/>
      <c r="N55" s="782"/>
      <c r="O55" s="782"/>
      <c r="P55" s="782"/>
      <c r="Q55" s="782"/>
      <c r="R55" s="782"/>
      <c r="S55" s="782"/>
      <c r="T55" s="782"/>
      <c r="U55" s="782"/>
    </row>
    <row r="56" spans="1:21" x14ac:dyDescent="0.2">
      <c r="A56" s="293">
        <v>50</v>
      </c>
      <c r="B56" s="781"/>
      <c r="C56" s="781"/>
      <c r="D56" s="782"/>
      <c r="E56" s="782"/>
      <c r="F56" s="782"/>
      <c r="G56" s="782"/>
      <c r="H56" s="782"/>
      <c r="I56" s="782"/>
      <c r="J56" s="782"/>
      <c r="K56" s="782"/>
      <c r="L56" s="782"/>
      <c r="M56" s="782"/>
      <c r="N56" s="782"/>
      <c r="O56" s="782"/>
      <c r="P56" s="782"/>
      <c r="Q56" s="782"/>
      <c r="R56" s="782"/>
      <c r="S56" s="782"/>
      <c r="T56" s="782"/>
      <c r="U56" s="782"/>
    </row>
  </sheetData>
  <mergeCells count="11">
    <mergeCell ref="A6:U6"/>
    <mergeCell ref="A2:U2"/>
    <mergeCell ref="A3:A5"/>
    <mergeCell ref="B3:B5"/>
    <mergeCell ref="C3:C5"/>
    <mergeCell ref="D3:U3"/>
    <mergeCell ref="L4:M4"/>
    <mergeCell ref="N4:O4"/>
    <mergeCell ref="P4:Q4"/>
    <mergeCell ref="S4:T4"/>
    <mergeCell ref="D4:K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42"/>
  <sheetViews>
    <sheetView zoomScale="120" zoomScaleNormal="120" workbookViewId="0">
      <pane xSplit="3" ySplit="4" topLeftCell="D5" activePane="bottomRight" state="frozen"/>
      <selection pane="topRight" activeCell="D1" sqref="D1"/>
      <selection pane="bottomLeft" activeCell="A6" sqref="A6"/>
      <selection pane="bottomRight" activeCell="H11" sqref="H11"/>
    </sheetView>
  </sheetViews>
  <sheetFormatPr defaultRowHeight="12.75" x14ac:dyDescent="0.2"/>
  <cols>
    <col min="2" max="2" width="35.7109375" bestFit="1" customWidth="1"/>
    <col min="3" max="3" width="16.28515625" bestFit="1" customWidth="1"/>
    <col min="4" max="4" width="16.28515625" customWidth="1"/>
    <col min="5" max="5" width="20.5703125" style="3662" bestFit="1" customWidth="1"/>
    <col min="6" max="6" width="16.140625" customWidth="1"/>
    <col min="7" max="7" width="19.5703125" style="3662" customWidth="1"/>
    <col min="8" max="8" width="27.5703125" customWidth="1"/>
    <col min="9" max="9" width="25.42578125" customWidth="1"/>
  </cols>
  <sheetData>
    <row r="1" spans="1:9" x14ac:dyDescent="0.2">
      <c r="A1" s="3738" t="s">
        <v>4777</v>
      </c>
      <c r="B1" s="3738"/>
      <c r="C1" s="270" t="s">
        <v>5782</v>
      </c>
      <c r="D1" s="180"/>
    </row>
    <row r="2" spans="1:9" x14ac:dyDescent="0.2">
      <c r="A2" s="3739" t="s">
        <v>4820</v>
      </c>
      <c r="B2" s="3739"/>
      <c r="C2" s="270">
        <v>2435</v>
      </c>
      <c r="D2" s="180"/>
    </row>
    <row r="3" spans="1:9" s="180" customFormat="1" x14ac:dyDescent="0.2">
      <c r="B3" s="271"/>
      <c r="E3" s="3663"/>
      <c r="F3" s="273"/>
      <c r="G3" s="3663"/>
      <c r="H3" s="273"/>
      <c r="I3" s="273"/>
    </row>
    <row r="4" spans="1:9" s="272" customFormat="1" ht="38.25" x14ac:dyDescent="0.2">
      <c r="A4" s="288" t="s">
        <v>4776</v>
      </c>
      <c r="B4" s="288" t="s">
        <v>4773</v>
      </c>
      <c r="C4" s="286" t="s">
        <v>4779</v>
      </c>
      <c r="D4" s="286" t="s">
        <v>4774</v>
      </c>
      <c r="E4" s="287" t="s">
        <v>4778</v>
      </c>
      <c r="F4" s="285" t="s">
        <v>4780</v>
      </c>
      <c r="G4" s="647" t="s">
        <v>5273</v>
      </c>
      <c r="H4" s="286" t="s">
        <v>5274</v>
      </c>
      <c r="I4" s="286" t="s">
        <v>4775</v>
      </c>
    </row>
    <row r="5" spans="1:9" ht="16.5" x14ac:dyDescent="0.2">
      <c r="A5" s="183">
        <v>1</v>
      </c>
      <c r="B5" s="2856" t="s">
        <v>5744</v>
      </c>
      <c r="C5" s="2857">
        <v>6</v>
      </c>
      <c r="D5" s="183" t="s">
        <v>4930</v>
      </c>
      <c r="E5" s="183"/>
      <c r="F5" s="182"/>
      <c r="G5" s="183"/>
      <c r="H5" s="182">
        <v>23.88</v>
      </c>
      <c r="I5" s="274">
        <f>H5/$C$2</f>
        <v>9.8069815195071866E-3</v>
      </c>
    </row>
    <row r="6" spans="1:9" ht="16.5" x14ac:dyDescent="0.2">
      <c r="A6" s="183">
        <v>2</v>
      </c>
      <c r="B6" s="2856" t="s">
        <v>5745</v>
      </c>
      <c r="C6" s="2857">
        <v>0</v>
      </c>
      <c r="D6" s="183" t="s">
        <v>4930</v>
      </c>
      <c r="E6" s="183"/>
      <c r="F6" s="182"/>
      <c r="G6" s="183"/>
      <c r="H6" s="182">
        <v>203.09</v>
      </c>
      <c r="I6" s="274">
        <f t="shared" ref="I6:I42" si="0">H6/$C$2</f>
        <v>8.3404517453798774E-2</v>
      </c>
    </row>
    <row r="7" spans="1:9" ht="16.5" x14ac:dyDescent="0.2">
      <c r="A7" s="183">
        <v>3</v>
      </c>
      <c r="B7" s="2856" t="s">
        <v>5746</v>
      </c>
      <c r="C7" s="2857">
        <v>8</v>
      </c>
      <c r="D7" s="183" t="s">
        <v>4930</v>
      </c>
      <c r="E7" s="183"/>
      <c r="F7" s="182"/>
      <c r="G7" s="183"/>
      <c r="H7" s="182">
        <v>87.9</v>
      </c>
      <c r="I7" s="274">
        <f t="shared" si="0"/>
        <v>3.6098562628336758E-2</v>
      </c>
    </row>
    <row r="8" spans="1:9" ht="16.5" x14ac:dyDescent="0.2">
      <c r="A8" s="183">
        <v>4</v>
      </c>
      <c r="B8" s="2856" t="s">
        <v>5747</v>
      </c>
      <c r="C8" s="2857">
        <v>12</v>
      </c>
      <c r="D8" s="183" t="s">
        <v>4930</v>
      </c>
      <c r="E8" s="183"/>
      <c r="F8" s="182"/>
      <c r="G8" s="183"/>
      <c r="H8" s="182">
        <v>120.65</v>
      </c>
      <c r="I8" s="274">
        <f t="shared" si="0"/>
        <v>4.9548254620123203E-2</v>
      </c>
    </row>
    <row r="9" spans="1:9" ht="16.5" x14ac:dyDescent="0.2">
      <c r="A9" s="183">
        <v>5</v>
      </c>
      <c r="B9" s="2856" t="s">
        <v>5748</v>
      </c>
      <c r="C9" s="2857">
        <v>13</v>
      </c>
      <c r="D9" s="183" t="s">
        <v>4930</v>
      </c>
      <c r="E9" s="183"/>
      <c r="F9" s="182"/>
      <c r="G9" s="183"/>
      <c r="H9" s="182">
        <v>86.58</v>
      </c>
      <c r="I9" s="274">
        <f t="shared" si="0"/>
        <v>3.5556468172484597E-2</v>
      </c>
    </row>
    <row r="10" spans="1:9" ht="16.5" x14ac:dyDescent="0.2">
      <c r="A10" s="183">
        <v>6</v>
      </c>
      <c r="B10" s="2856" t="s">
        <v>5772</v>
      </c>
      <c r="C10" s="2857">
        <v>8</v>
      </c>
      <c r="D10" s="183" t="s">
        <v>4930</v>
      </c>
      <c r="E10" s="183">
        <v>2</v>
      </c>
      <c r="F10" s="182"/>
      <c r="G10" s="183"/>
      <c r="H10" s="182">
        <v>50.96</v>
      </c>
      <c r="I10" s="274">
        <f t="shared" si="0"/>
        <v>2.0928131416837782E-2</v>
      </c>
    </row>
    <row r="11" spans="1:9" ht="16.5" x14ac:dyDescent="0.2">
      <c r="A11" s="183">
        <v>7</v>
      </c>
      <c r="B11" s="2856" t="s">
        <v>5749</v>
      </c>
      <c r="C11" s="2857">
        <v>14</v>
      </c>
      <c r="D11" s="183" t="s">
        <v>4930</v>
      </c>
      <c r="E11" s="183"/>
      <c r="F11" s="182"/>
      <c r="G11" s="183"/>
      <c r="H11" s="182">
        <f>40.96+30.14</f>
        <v>71.099999999999994</v>
      </c>
      <c r="I11" s="274">
        <f t="shared" si="0"/>
        <v>2.919917864476386E-2</v>
      </c>
    </row>
    <row r="12" spans="1:9" ht="16.5" x14ac:dyDescent="0.2">
      <c r="A12" s="183">
        <v>8</v>
      </c>
      <c r="B12" s="2856" t="s">
        <v>5750</v>
      </c>
      <c r="C12" s="2857">
        <v>14</v>
      </c>
      <c r="D12" s="183" t="s">
        <v>4930</v>
      </c>
      <c r="E12" s="183"/>
      <c r="F12" s="182"/>
      <c r="G12" s="183"/>
      <c r="H12" s="182">
        <v>74.12</v>
      </c>
      <c r="I12" s="274">
        <f t="shared" si="0"/>
        <v>3.0439425051334703E-2</v>
      </c>
    </row>
    <row r="13" spans="1:9" ht="16.5" x14ac:dyDescent="0.2">
      <c r="A13" s="183">
        <v>9</v>
      </c>
      <c r="B13" s="2856" t="s">
        <v>5751</v>
      </c>
      <c r="C13" s="2857">
        <v>9</v>
      </c>
      <c r="D13" s="183" t="s">
        <v>4930</v>
      </c>
      <c r="E13" s="183">
        <v>1</v>
      </c>
      <c r="F13" s="182"/>
      <c r="G13" s="183"/>
      <c r="H13" s="182">
        <v>57.93</v>
      </c>
      <c r="I13" s="274">
        <f t="shared" si="0"/>
        <v>2.3790554414784393E-2</v>
      </c>
    </row>
    <row r="14" spans="1:9" ht="16.5" x14ac:dyDescent="0.2">
      <c r="A14" s="183">
        <v>10</v>
      </c>
      <c r="B14" s="2856" t="s">
        <v>5773</v>
      </c>
      <c r="C14" s="2857">
        <v>5</v>
      </c>
      <c r="D14" s="183" t="s">
        <v>4930</v>
      </c>
      <c r="E14" s="183"/>
      <c r="F14" s="182"/>
      <c r="G14" s="183"/>
      <c r="H14" s="182">
        <v>56.96</v>
      </c>
      <c r="I14" s="274">
        <f t="shared" si="0"/>
        <v>2.3392197125256673E-2</v>
      </c>
    </row>
    <row r="15" spans="1:9" ht="16.5" x14ac:dyDescent="0.2">
      <c r="A15" s="183">
        <v>11</v>
      </c>
      <c r="B15" s="2856" t="s">
        <v>5774</v>
      </c>
      <c r="C15" s="2857">
        <v>9</v>
      </c>
      <c r="D15" s="183" t="s">
        <v>4930</v>
      </c>
      <c r="E15" s="183"/>
      <c r="F15" s="182"/>
      <c r="G15" s="183">
        <v>9</v>
      </c>
      <c r="H15" s="182">
        <v>60.66</v>
      </c>
      <c r="I15" s="274">
        <f t="shared" si="0"/>
        <v>2.491170431211499E-2</v>
      </c>
    </row>
    <row r="16" spans="1:9" ht="16.5" x14ac:dyDescent="0.2">
      <c r="A16" s="183">
        <v>12</v>
      </c>
      <c r="B16" s="2856" t="s">
        <v>5752</v>
      </c>
      <c r="C16" s="2857">
        <v>8</v>
      </c>
      <c r="D16" s="183" t="s">
        <v>4930</v>
      </c>
      <c r="E16" s="183"/>
      <c r="F16" s="182"/>
      <c r="G16" s="183"/>
      <c r="H16" s="182">
        <v>36.21</v>
      </c>
      <c r="I16" s="274">
        <f t="shared" si="0"/>
        <v>1.4870636550308009E-2</v>
      </c>
    </row>
    <row r="17" spans="1:9" ht="16.5" x14ac:dyDescent="0.2">
      <c r="A17" s="183">
        <v>13</v>
      </c>
      <c r="B17" s="2856" t="s">
        <v>5753</v>
      </c>
      <c r="C17" s="2857">
        <v>10</v>
      </c>
      <c r="D17" s="183" t="s">
        <v>4930</v>
      </c>
      <c r="E17" s="183"/>
      <c r="F17" s="182"/>
      <c r="G17" s="183"/>
      <c r="H17" s="182">
        <v>66.28</v>
      </c>
      <c r="I17" s="274">
        <f t="shared" si="0"/>
        <v>2.721971252566735E-2</v>
      </c>
    </row>
    <row r="18" spans="1:9" ht="16.5" x14ac:dyDescent="0.2">
      <c r="A18" s="183">
        <v>14</v>
      </c>
      <c r="B18" s="2856" t="s">
        <v>5754</v>
      </c>
      <c r="C18" s="2857">
        <v>13</v>
      </c>
      <c r="D18" s="183" t="s">
        <v>4930</v>
      </c>
      <c r="E18" s="183"/>
      <c r="F18" s="182"/>
      <c r="G18" s="183"/>
      <c r="H18" s="182">
        <v>104.72</v>
      </c>
      <c r="I18" s="274">
        <f t="shared" si="0"/>
        <v>4.300616016427105E-2</v>
      </c>
    </row>
    <row r="19" spans="1:9" ht="16.5" x14ac:dyDescent="0.2">
      <c r="A19" s="183">
        <v>15</v>
      </c>
      <c r="B19" s="2856" t="s">
        <v>5755</v>
      </c>
      <c r="C19" s="2857">
        <v>11</v>
      </c>
      <c r="D19" s="183" t="s">
        <v>4930</v>
      </c>
      <c r="E19" s="183"/>
      <c r="F19" s="182"/>
      <c r="G19" s="183"/>
      <c r="H19" s="182">
        <v>51.32</v>
      </c>
      <c r="I19" s="274">
        <f t="shared" si="0"/>
        <v>2.1075975359342917E-2</v>
      </c>
    </row>
    <row r="20" spans="1:9" ht="16.5" x14ac:dyDescent="0.2">
      <c r="A20" s="183">
        <v>16</v>
      </c>
      <c r="B20" s="2856" t="s">
        <v>5756</v>
      </c>
      <c r="C20" s="2857">
        <v>15</v>
      </c>
      <c r="D20" s="183" t="s">
        <v>4930</v>
      </c>
      <c r="E20" s="183">
        <v>1</v>
      </c>
      <c r="F20" s="182"/>
      <c r="G20" s="183"/>
      <c r="H20" s="182">
        <v>57.98</v>
      </c>
      <c r="I20" s="274">
        <f t="shared" si="0"/>
        <v>2.3811088295687885E-2</v>
      </c>
    </row>
    <row r="21" spans="1:9" ht="16.5" x14ac:dyDescent="0.2">
      <c r="A21" s="183">
        <v>17</v>
      </c>
      <c r="B21" s="2856" t="s">
        <v>5757</v>
      </c>
      <c r="C21" s="2857">
        <v>4</v>
      </c>
      <c r="D21" s="183" t="s">
        <v>4930</v>
      </c>
      <c r="E21" s="183"/>
      <c r="F21" s="182"/>
      <c r="G21" s="183"/>
      <c r="H21" s="182">
        <v>18.88</v>
      </c>
      <c r="I21" s="274">
        <f t="shared" si="0"/>
        <v>7.7535934291581106E-3</v>
      </c>
    </row>
    <row r="22" spans="1:9" ht="16.5" x14ac:dyDescent="0.2">
      <c r="A22" s="183">
        <v>18</v>
      </c>
      <c r="B22" s="2856" t="s">
        <v>5775</v>
      </c>
      <c r="C22" s="2857">
        <v>13</v>
      </c>
      <c r="D22" s="183" t="s">
        <v>4930</v>
      </c>
      <c r="E22" s="183"/>
      <c r="F22" s="182"/>
      <c r="G22" s="183">
        <v>1</v>
      </c>
      <c r="H22" s="182">
        <f>23.63+28.95</f>
        <v>52.58</v>
      </c>
      <c r="I22" s="274">
        <f t="shared" si="0"/>
        <v>2.1593429158110883E-2</v>
      </c>
    </row>
    <row r="23" spans="1:9" ht="16.5" x14ac:dyDescent="0.2">
      <c r="A23" s="183">
        <v>19</v>
      </c>
      <c r="B23" s="2856" t="s">
        <v>5759</v>
      </c>
      <c r="C23" s="2857">
        <v>6</v>
      </c>
      <c r="D23" s="183" t="s">
        <v>4930</v>
      </c>
      <c r="E23" s="183"/>
      <c r="F23" s="182"/>
      <c r="G23" s="183"/>
      <c r="H23" s="182">
        <v>33.840000000000003</v>
      </c>
      <c r="I23" s="274">
        <f t="shared" si="0"/>
        <v>1.3897330595482548E-2</v>
      </c>
    </row>
    <row r="24" spans="1:9" ht="16.5" x14ac:dyDescent="0.2">
      <c r="A24" s="183">
        <v>20</v>
      </c>
      <c r="B24" s="2856" t="s">
        <v>5758</v>
      </c>
      <c r="C24" s="2857">
        <v>11</v>
      </c>
      <c r="D24" s="183" t="s">
        <v>5781</v>
      </c>
      <c r="E24" s="183"/>
      <c r="F24" s="182"/>
      <c r="G24" s="183">
        <v>2</v>
      </c>
      <c r="H24" s="182">
        <f>21.2+22.88</f>
        <v>44.08</v>
      </c>
      <c r="I24" s="274">
        <f t="shared" si="0"/>
        <v>1.8102669404517453E-2</v>
      </c>
    </row>
    <row r="25" spans="1:9" ht="16.5" x14ac:dyDescent="0.2">
      <c r="A25" s="183">
        <v>21</v>
      </c>
      <c r="B25" s="2856" t="s">
        <v>5760</v>
      </c>
      <c r="C25" s="2857">
        <v>20</v>
      </c>
      <c r="D25" s="183" t="s">
        <v>4930</v>
      </c>
      <c r="E25" s="183">
        <v>1</v>
      </c>
      <c r="F25" s="182"/>
      <c r="G25" s="183"/>
      <c r="H25" s="182">
        <v>117.35</v>
      </c>
      <c r="I25" s="274">
        <f t="shared" si="0"/>
        <v>4.8193018480492809E-2</v>
      </c>
    </row>
    <row r="26" spans="1:9" ht="16.5" x14ac:dyDescent="0.2">
      <c r="A26" s="183">
        <v>22</v>
      </c>
      <c r="B26" s="2856" t="s">
        <v>5776</v>
      </c>
      <c r="C26" s="2857">
        <v>12</v>
      </c>
      <c r="D26" s="183" t="s">
        <v>4930</v>
      </c>
      <c r="E26" s="183"/>
      <c r="F26" s="182"/>
      <c r="G26" s="183"/>
      <c r="H26" s="182">
        <v>45.49</v>
      </c>
      <c r="I26" s="274">
        <f t="shared" si="0"/>
        <v>1.8681724845995895E-2</v>
      </c>
    </row>
    <row r="27" spans="1:9" ht="16.5" x14ac:dyDescent="0.2">
      <c r="A27" s="183">
        <v>23</v>
      </c>
      <c r="B27" s="2856" t="s">
        <v>5761</v>
      </c>
      <c r="C27" s="2857">
        <v>10</v>
      </c>
      <c r="D27" s="183" t="s">
        <v>4930</v>
      </c>
      <c r="E27" s="183"/>
      <c r="F27" s="182"/>
      <c r="G27" s="183"/>
      <c r="H27" s="182">
        <v>44.73</v>
      </c>
      <c r="I27" s="274">
        <f t="shared" si="0"/>
        <v>1.8369609856262833E-2</v>
      </c>
    </row>
    <row r="28" spans="1:9" ht="16.5" x14ac:dyDescent="0.2">
      <c r="A28" s="183">
        <v>24</v>
      </c>
      <c r="B28" s="2856" t="s">
        <v>5762</v>
      </c>
      <c r="C28" s="2857">
        <v>14</v>
      </c>
      <c r="D28" s="183" t="s">
        <v>4930</v>
      </c>
      <c r="E28" s="183"/>
      <c r="F28" s="182"/>
      <c r="G28" s="183"/>
      <c r="H28" s="182">
        <v>76.400000000000006</v>
      </c>
      <c r="I28" s="274">
        <f t="shared" si="0"/>
        <v>3.1375770020533884E-2</v>
      </c>
    </row>
    <row r="29" spans="1:9" ht="16.5" x14ac:dyDescent="0.2">
      <c r="A29" s="183">
        <v>25</v>
      </c>
      <c r="B29" s="2856" t="s">
        <v>5763</v>
      </c>
      <c r="C29" s="2857">
        <v>4</v>
      </c>
      <c r="D29" s="183" t="s">
        <v>4930</v>
      </c>
      <c r="E29" s="183"/>
      <c r="F29" s="182"/>
      <c r="G29" s="183">
        <v>1</v>
      </c>
      <c r="H29" s="182">
        <v>20.94</v>
      </c>
      <c r="I29" s="274">
        <f t="shared" si="0"/>
        <v>8.5995893223819314E-3</v>
      </c>
    </row>
    <row r="30" spans="1:9" ht="16.5" x14ac:dyDescent="0.2">
      <c r="A30" s="183">
        <v>26</v>
      </c>
      <c r="B30" s="2856" t="s">
        <v>5764</v>
      </c>
      <c r="C30" s="2857">
        <v>8</v>
      </c>
      <c r="D30" s="183" t="s">
        <v>4930</v>
      </c>
      <c r="E30" s="183"/>
      <c r="F30" s="182"/>
      <c r="G30" s="183"/>
      <c r="H30" s="182">
        <v>41.36</v>
      </c>
      <c r="I30" s="274">
        <f t="shared" si="0"/>
        <v>1.6985626283367555E-2</v>
      </c>
    </row>
    <row r="31" spans="1:9" ht="16.5" x14ac:dyDescent="0.2">
      <c r="A31" s="183">
        <v>27</v>
      </c>
      <c r="B31" s="2856" t="s">
        <v>5765</v>
      </c>
      <c r="C31" s="2857">
        <v>14</v>
      </c>
      <c r="D31" s="183" t="s">
        <v>4930</v>
      </c>
      <c r="E31" s="183"/>
      <c r="F31" s="182"/>
      <c r="G31" s="183"/>
      <c r="H31" s="182">
        <f>23.72+69.18</f>
        <v>92.9</v>
      </c>
      <c r="I31" s="274">
        <f t="shared" si="0"/>
        <v>3.8151950718685837E-2</v>
      </c>
    </row>
    <row r="32" spans="1:9" ht="16.5" x14ac:dyDescent="0.2">
      <c r="A32" s="183">
        <v>28</v>
      </c>
      <c r="B32" s="2856" t="s">
        <v>5777</v>
      </c>
      <c r="C32" s="2857">
        <v>7</v>
      </c>
      <c r="D32" s="183" t="s">
        <v>4930</v>
      </c>
      <c r="E32" s="183">
        <v>1</v>
      </c>
      <c r="F32" s="182"/>
      <c r="G32" s="183"/>
      <c r="H32" s="182">
        <v>62.13</v>
      </c>
      <c r="I32" s="274">
        <f t="shared" si="0"/>
        <v>2.5515400410677617E-2</v>
      </c>
    </row>
    <row r="33" spans="1:9" ht="16.5" x14ac:dyDescent="0.2">
      <c r="A33" s="183">
        <v>29</v>
      </c>
      <c r="B33" s="2856" t="s">
        <v>5778</v>
      </c>
      <c r="C33" s="2857">
        <v>10</v>
      </c>
      <c r="D33" s="183" t="s">
        <v>4930</v>
      </c>
      <c r="E33" s="183"/>
      <c r="F33" s="182"/>
      <c r="G33" s="183"/>
      <c r="H33" s="182">
        <v>40.33</v>
      </c>
      <c r="I33" s="274">
        <f t="shared" si="0"/>
        <v>1.6562628336755647E-2</v>
      </c>
    </row>
    <row r="34" spans="1:9" ht="16.5" x14ac:dyDescent="0.2">
      <c r="A34" s="183">
        <v>30</v>
      </c>
      <c r="B34" s="2856" t="s">
        <v>5779</v>
      </c>
      <c r="C34" s="2857">
        <v>12</v>
      </c>
      <c r="D34" s="183" t="s">
        <v>4930</v>
      </c>
      <c r="E34" s="183"/>
      <c r="F34" s="182"/>
      <c r="G34" s="183">
        <v>3</v>
      </c>
      <c r="H34" s="182">
        <f>20.53+35.09</f>
        <v>55.620000000000005</v>
      </c>
      <c r="I34" s="274">
        <f t="shared" si="0"/>
        <v>2.2841889117043122E-2</v>
      </c>
    </row>
    <row r="35" spans="1:9" ht="16.5" x14ac:dyDescent="0.2">
      <c r="A35" s="183">
        <v>31</v>
      </c>
      <c r="B35" s="2856" t="s">
        <v>5780</v>
      </c>
      <c r="C35" s="2857">
        <v>14</v>
      </c>
      <c r="D35" s="183" t="s">
        <v>4930</v>
      </c>
      <c r="E35" s="183">
        <v>2</v>
      </c>
      <c r="F35" s="182"/>
      <c r="G35" s="183"/>
      <c r="H35" s="182">
        <v>89.14</v>
      </c>
      <c r="I35" s="274">
        <f t="shared" si="0"/>
        <v>3.6607802874743328E-2</v>
      </c>
    </row>
    <row r="36" spans="1:9" ht="16.5" x14ac:dyDescent="0.2">
      <c r="A36" s="183">
        <v>32</v>
      </c>
      <c r="B36" s="2856" t="s">
        <v>5766</v>
      </c>
      <c r="C36" s="2857">
        <v>9</v>
      </c>
      <c r="D36" s="183" t="s">
        <v>4930</v>
      </c>
      <c r="E36" s="183"/>
      <c r="F36" s="182"/>
      <c r="G36" s="183">
        <v>2</v>
      </c>
      <c r="H36" s="182">
        <v>57.44</v>
      </c>
      <c r="I36" s="274">
        <f t="shared" si="0"/>
        <v>2.3589322381930185E-2</v>
      </c>
    </row>
    <row r="37" spans="1:9" ht="16.5" x14ac:dyDescent="0.2">
      <c r="A37" s="183">
        <v>33</v>
      </c>
      <c r="B37" s="2856" t="s">
        <v>5767</v>
      </c>
      <c r="C37" s="2857">
        <v>13</v>
      </c>
      <c r="D37" s="183" t="s">
        <v>4930</v>
      </c>
      <c r="E37" s="183"/>
      <c r="F37" s="182"/>
      <c r="G37" s="183"/>
      <c r="H37" s="182">
        <v>92.45</v>
      </c>
      <c r="I37" s="274">
        <f t="shared" si="0"/>
        <v>3.7967145790554414E-2</v>
      </c>
    </row>
    <row r="38" spans="1:9" ht="16.5" x14ac:dyDescent="0.2">
      <c r="A38" s="183">
        <v>34</v>
      </c>
      <c r="B38" s="2856" t="s">
        <v>5768</v>
      </c>
      <c r="C38" s="2857">
        <v>18</v>
      </c>
      <c r="D38" s="183" t="s">
        <v>4930</v>
      </c>
      <c r="E38" s="183">
        <v>2</v>
      </c>
      <c r="F38" s="182"/>
      <c r="G38" s="183"/>
      <c r="H38" s="182">
        <f>31.07+50.53</f>
        <v>81.599999999999994</v>
      </c>
      <c r="I38" s="274">
        <f t="shared" si="0"/>
        <v>3.3511293634496918E-2</v>
      </c>
    </row>
    <row r="39" spans="1:9" ht="16.5" x14ac:dyDescent="0.2">
      <c r="A39" s="183">
        <v>35</v>
      </c>
      <c r="B39" s="2856" t="s">
        <v>5769</v>
      </c>
      <c r="C39" s="2857">
        <v>7</v>
      </c>
      <c r="D39" s="183" t="s">
        <v>4930</v>
      </c>
      <c r="E39" s="183">
        <v>1</v>
      </c>
      <c r="F39" s="182"/>
      <c r="G39" s="183"/>
      <c r="H39" s="182">
        <v>33.86</v>
      </c>
      <c r="I39" s="274">
        <f t="shared" si="0"/>
        <v>1.3905544147843943E-2</v>
      </c>
    </row>
    <row r="40" spans="1:9" ht="16.5" x14ac:dyDescent="0.2">
      <c r="A40" s="183">
        <v>36</v>
      </c>
      <c r="B40" s="2856" t="s">
        <v>5770</v>
      </c>
      <c r="C40" s="2857">
        <v>13</v>
      </c>
      <c r="D40" s="183" t="s">
        <v>4930</v>
      </c>
      <c r="E40" s="183"/>
      <c r="F40" s="182"/>
      <c r="G40" s="183"/>
      <c r="H40" s="182">
        <v>60.41</v>
      </c>
      <c r="I40" s="274">
        <f t="shared" si="0"/>
        <v>2.4809034907597536E-2</v>
      </c>
    </row>
    <row r="41" spans="1:9" ht="16.5" x14ac:dyDescent="0.2">
      <c r="A41" s="183">
        <v>37</v>
      </c>
      <c r="B41" s="2856" t="s">
        <v>5771</v>
      </c>
      <c r="C41" s="2857">
        <v>11</v>
      </c>
      <c r="D41" s="183" t="s">
        <v>5781</v>
      </c>
      <c r="E41" s="183"/>
      <c r="F41" s="182"/>
      <c r="G41" s="183"/>
      <c r="H41" s="182">
        <f>40.7+22.45</f>
        <v>63.150000000000006</v>
      </c>
      <c r="I41" s="274">
        <f t="shared" si="0"/>
        <v>2.5934291581108833E-2</v>
      </c>
    </row>
    <row r="42" spans="1:9" ht="16.5" x14ac:dyDescent="0.2">
      <c r="A42" s="183"/>
      <c r="B42" s="182" t="s">
        <v>4719</v>
      </c>
      <c r="C42" s="2857">
        <f t="shared" ref="C42:H42" si="1">SUM(C5:C41)</f>
        <v>385</v>
      </c>
      <c r="D42" s="2857">
        <f t="shared" si="1"/>
        <v>0</v>
      </c>
      <c r="E42" s="2857">
        <f t="shared" si="1"/>
        <v>11</v>
      </c>
      <c r="F42" s="2857">
        <f t="shared" si="1"/>
        <v>0</v>
      </c>
      <c r="G42" s="2857">
        <f t="shared" si="1"/>
        <v>18</v>
      </c>
      <c r="H42" s="2857">
        <f t="shared" si="1"/>
        <v>2435.0199999999995</v>
      </c>
      <c r="I42" s="274">
        <f t="shared" si="0"/>
        <v>1.0000082135523611</v>
      </c>
    </row>
  </sheetData>
  <mergeCells count="2">
    <mergeCell ref="A1:B1"/>
    <mergeCell ref="A2:B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139"/>
  <sheetViews>
    <sheetView zoomScale="60" zoomScaleNormal="60" workbookViewId="0">
      <pane ySplit="2" topLeftCell="A92" activePane="bottomLeft" state="frozen"/>
      <selection pane="bottomLeft" activeCell="F97" sqref="F97"/>
    </sheetView>
  </sheetViews>
  <sheetFormatPr defaultColWidth="9.140625" defaultRowHeight="15" x14ac:dyDescent="0.25"/>
  <cols>
    <col min="1" max="1" width="9.140625" style="2907"/>
    <col min="2" max="2" width="53.5703125" style="2930" customWidth="1"/>
    <col min="3" max="3" width="43.85546875" style="3007" bestFit="1" customWidth="1"/>
    <col min="4" max="4" width="44.140625" style="3008" customWidth="1"/>
    <col min="5" max="5" width="27.42578125" style="2907" customWidth="1"/>
    <col min="6" max="6" width="25.5703125" style="2907" bestFit="1" customWidth="1"/>
    <col min="7" max="7" width="18.28515625" style="2907" customWidth="1"/>
    <col min="8" max="8" width="22.42578125" style="2907" customWidth="1"/>
    <col min="9" max="9" width="23.42578125" style="2907" customWidth="1"/>
    <col min="10" max="16384" width="9.140625" style="2907"/>
  </cols>
  <sheetData>
    <row r="1" spans="1:9" s="2903" customFormat="1" ht="15.75" x14ac:dyDescent="0.25">
      <c r="A1" s="3740" t="s">
        <v>5381</v>
      </c>
      <c r="B1" s="3751"/>
      <c r="C1" s="3740" t="s">
        <v>5382</v>
      </c>
      <c r="D1" s="3740"/>
      <c r="E1" s="3740"/>
      <c r="F1" s="3740"/>
      <c r="G1" s="3740"/>
      <c r="H1" s="3740"/>
      <c r="I1" s="3740"/>
    </row>
    <row r="2" spans="1:9" s="2903" customFormat="1" ht="63" x14ac:dyDescent="0.25">
      <c r="A2" s="3740"/>
      <c r="B2" s="3751"/>
      <c r="C2" s="2944" t="s">
        <v>5383</v>
      </c>
      <c r="D2" s="2945" t="s">
        <v>5384</v>
      </c>
      <c r="E2" s="2905" t="s">
        <v>5783</v>
      </c>
      <c r="F2" s="2905" t="s">
        <v>5385</v>
      </c>
      <c r="G2" s="2904" t="s">
        <v>5386</v>
      </c>
      <c r="H2" s="2905" t="s">
        <v>5387</v>
      </c>
      <c r="I2" s="2905" t="s">
        <v>5784</v>
      </c>
    </row>
    <row r="3" spans="1:9" x14ac:dyDescent="0.25">
      <c r="A3" s="2906" t="s">
        <v>118</v>
      </c>
      <c r="B3" s="3750"/>
      <c r="C3" s="3750"/>
      <c r="D3" s="3750"/>
      <c r="E3" s="3750"/>
      <c r="F3" s="3750"/>
      <c r="G3" s="3750"/>
      <c r="H3" s="3750"/>
      <c r="I3" s="2946"/>
    </row>
    <row r="4" spans="1:9" ht="30" x14ac:dyDescent="0.25">
      <c r="A4" s="2935" t="s">
        <v>5607</v>
      </c>
      <c r="B4" s="3742" t="s">
        <v>5696</v>
      </c>
      <c r="C4" s="2947" t="s">
        <v>5388</v>
      </c>
      <c r="D4" s="2948" t="s">
        <v>5389</v>
      </c>
      <c r="E4" s="2949" t="s">
        <v>5890</v>
      </c>
      <c r="F4" s="2950">
        <v>60</v>
      </c>
      <c r="G4" s="2951" t="s">
        <v>5891</v>
      </c>
      <c r="H4" s="2952" t="s">
        <v>5407</v>
      </c>
      <c r="I4" s="2953" t="s">
        <v>5892</v>
      </c>
    </row>
    <row r="5" spans="1:9" ht="135" x14ac:dyDescent="0.25">
      <c r="A5" s="2935" t="s">
        <v>5608</v>
      </c>
      <c r="B5" s="3743"/>
      <c r="C5" s="2947" t="s">
        <v>5390</v>
      </c>
      <c r="D5" s="2948" t="s">
        <v>5786</v>
      </c>
      <c r="E5" s="2954" t="s">
        <v>5893</v>
      </c>
      <c r="F5" s="2950">
        <v>100</v>
      </c>
      <c r="G5" s="2950" t="s">
        <v>5391</v>
      </c>
      <c r="H5" s="2950" t="s">
        <v>5894</v>
      </c>
      <c r="I5" s="2946"/>
    </row>
    <row r="6" spans="1:9" ht="120" x14ac:dyDescent="0.25">
      <c r="A6" s="2935" t="s">
        <v>5609</v>
      </c>
      <c r="B6" s="3743"/>
      <c r="C6" s="2947" t="s">
        <v>5392</v>
      </c>
      <c r="D6" s="2948" t="s">
        <v>5787</v>
      </c>
      <c r="E6" s="2949">
        <f>552126/552562*100</f>
        <v>99.921094827367781</v>
      </c>
      <c r="F6" s="2950">
        <v>100</v>
      </c>
      <c r="G6" s="2950" t="s">
        <v>5391</v>
      </c>
      <c r="H6" s="2952" t="s">
        <v>5785</v>
      </c>
      <c r="I6" s="2946"/>
    </row>
    <row r="7" spans="1:9" ht="105" x14ac:dyDescent="0.25">
      <c r="A7" s="2935" t="s">
        <v>5610</v>
      </c>
      <c r="B7" s="3743"/>
      <c r="C7" s="2947" t="s">
        <v>5393</v>
      </c>
      <c r="D7" s="2948" t="s">
        <v>5394</v>
      </c>
      <c r="E7" s="2949">
        <f>552382/552562*100</f>
        <v>99.967424470014222</v>
      </c>
      <c r="F7" s="2950">
        <v>100</v>
      </c>
      <c r="G7" s="2950" t="s">
        <v>5391</v>
      </c>
      <c r="H7" s="2952" t="s">
        <v>5785</v>
      </c>
      <c r="I7" s="2946"/>
    </row>
    <row r="8" spans="1:9" ht="90" x14ac:dyDescent="0.25">
      <c r="A8" s="2935" t="s">
        <v>5611</v>
      </c>
      <c r="B8" s="3743"/>
      <c r="C8" s="2947" t="s">
        <v>5395</v>
      </c>
      <c r="D8" s="2948" t="s">
        <v>5396</v>
      </c>
      <c r="E8" s="2955" t="s">
        <v>5895</v>
      </c>
      <c r="F8" s="2950">
        <f>2448-985</f>
        <v>1463</v>
      </c>
      <c r="G8" s="2950" t="s">
        <v>5397</v>
      </c>
      <c r="H8" s="2952" t="s">
        <v>5785</v>
      </c>
      <c r="I8" s="2956" t="s">
        <v>5896</v>
      </c>
    </row>
    <row r="9" spans="1:9" ht="120" x14ac:dyDescent="0.25">
      <c r="A9" s="2935" t="s">
        <v>5612</v>
      </c>
      <c r="B9" s="3743"/>
      <c r="C9" s="2947" t="s">
        <v>5398</v>
      </c>
      <c r="D9" s="2948" t="s">
        <v>5897</v>
      </c>
      <c r="E9" s="2956" t="s">
        <v>5898</v>
      </c>
      <c r="F9" s="2956">
        <v>66</v>
      </c>
      <c r="G9" s="2938" t="s">
        <v>5397</v>
      </c>
      <c r="H9" s="2938" t="s">
        <v>5407</v>
      </c>
      <c r="I9" s="2956" t="s">
        <v>5899</v>
      </c>
    </row>
    <row r="10" spans="1:9" x14ac:dyDescent="0.25">
      <c r="A10" s="2908" t="s">
        <v>4683</v>
      </c>
      <c r="B10" s="2957"/>
      <c r="C10" s="2958"/>
      <c r="D10" s="2959"/>
      <c r="E10" s="2958"/>
      <c r="F10" s="2958"/>
      <c r="G10" s="2958"/>
      <c r="H10" s="2960"/>
      <c r="I10" s="2946"/>
    </row>
    <row r="11" spans="1:9" ht="30" x14ac:dyDescent="0.25">
      <c r="A11" s="2909" t="s">
        <v>5613</v>
      </c>
      <c r="B11" s="3742" t="s">
        <v>5513</v>
      </c>
      <c r="C11" s="2961" t="s">
        <v>5399</v>
      </c>
      <c r="D11" s="2962" t="s">
        <v>5788</v>
      </c>
      <c r="E11" s="2911">
        <v>31142</v>
      </c>
      <c r="F11" s="2950">
        <v>90000</v>
      </c>
      <c r="G11" s="2910" t="s">
        <v>5400</v>
      </c>
      <c r="H11" s="2963" t="s">
        <v>5401</v>
      </c>
      <c r="I11" s="2946"/>
    </row>
    <row r="12" spans="1:9" ht="195" x14ac:dyDescent="0.25">
      <c r="A12" s="2909" t="s">
        <v>5614</v>
      </c>
      <c r="B12" s="3742"/>
      <c r="C12" s="2961" t="s">
        <v>5402</v>
      </c>
      <c r="D12" s="2964" t="s">
        <v>5789</v>
      </c>
      <c r="E12" s="2911">
        <v>70.209999999999994</v>
      </c>
      <c r="F12" s="2950">
        <v>80</v>
      </c>
      <c r="G12" s="2910" t="s">
        <v>5400</v>
      </c>
      <c r="H12" s="2910" t="s">
        <v>5403</v>
      </c>
      <c r="I12" s="2946"/>
    </row>
    <row r="13" spans="1:9" ht="45" x14ac:dyDescent="0.25">
      <c r="A13" s="2909" t="s">
        <v>5615</v>
      </c>
      <c r="B13" s="3742"/>
      <c r="C13" s="2961" t="s">
        <v>5404</v>
      </c>
      <c r="D13" s="2964" t="s">
        <v>5790</v>
      </c>
      <c r="E13" s="2912">
        <v>0.79400000000000004</v>
      </c>
      <c r="F13" s="2965">
        <v>0.8</v>
      </c>
      <c r="G13" s="2910" t="s">
        <v>5400</v>
      </c>
      <c r="H13" s="2910" t="s">
        <v>5401</v>
      </c>
      <c r="I13" s="2946"/>
    </row>
    <row r="14" spans="1:9" ht="90" x14ac:dyDescent="0.25">
      <c r="A14" s="2909" t="s">
        <v>5616</v>
      </c>
      <c r="B14" s="3742"/>
      <c r="C14" s="2961" t="s">
        <v>5405</v>
      </c>
      <c r="D14" s="2964" t="s">
        <v>5900</v>
      </c>
      <c r="E14" s="2911" t="s">
        <v>5791</v>
      </c>
      <c r="F14" s="2950" t="s">
        <v>5792</v>
      </c>
      <c r="G14" s="2910" t="s">
        <v>5406</v>
      </c>
      <c r="H14" s="2910" t="s">
        <v>5407</v>
      </c>
      <c r="I14" s="2946"/>
    </row>
    <row r="15" spans="1:9" x14ac:dyDescent="0.25">
      <c r="A15" s="2908" t="s">
        <v>114</v>
      </c>
      <c r="B15" s="3750"/>
      <c r="C15" s="3750"/>
      <c r="D15" s="3750"/>
      <c r="E15" s="3750"/>
      <c r="F15" s="3750"/>
      <c r="G15" s="3750"/>
      <c r="H15" s="3750"/>
      <c r="I15" s="2946"/>
    </row>
    <row r="16" spans="1:9" ht="30" x14ac:dyDescent="0.25">
      <c r="A16" s="3741" t="s">
        <v>5617</v>
      </c>
      <c r="B16" s="3742" t="s">
        <v>5408</v>
      </c>
      <c r="C16" s="2966" t="s">
        <v>5409</v>
      </c>
      <c r="D16" s="2936" t="s">
        <v>5410</v>
      </c>
      <c r="E16" s="2939" t="s">
        <v>5793</v>
      </c>
      <c r="F16" s="2939" t="s">
        <v>5793</v>
      </c>
      <c r="G16" s="2937" t="s">
        <v>5411</v>
      </c>
      <c r="H16" s="2952" t="s">
        <v>5401</v>
      </c>
      <c r="I16" s="2946"/>
    </row>
    <row r="17" spans="1:9" ht="30" x14ac:dyDescent="0.25">
      <c r="A17" s="3741"/>
      <c r="B17" s="3743"/>
      <c r="C17" s="3744" t="s">
        <v>5412</v>
      </c>
      <c r="D17" s="2936" t="s">
        <v>5794</v>
      </c>
      <c r="E17" s="2939" t="s">
        <v>5793</v>
      </c>
      <c r="F17" s="2937" t="s">
        <v>5795</v>
      </c>
      <c r="G17" s="2937" t="s">
        <v>5796</v>
      </c>
      <c r="H17" s="2952" t="s">
        <v>5401</v>
      </c>
      <c r="I17" s="2946"/>
    </row>
    <row r="18" spans="1:9" x14ac:dyDescent="0.25">
      <c r="A18" s="3741"/>
      <c r="B18" s="3743"/>
      <c r="C18" s="3744"/>
      <c r="D18" s="2936" t="s">
        <v>5797</v>
      </c>
      <c r="E18" s="2939">
        <v>20</v>
      </c>
      <c r="F18" s="2937" t="s">
        <v>5795</v>
      </c>
      <c r="G18" s="2937" t="s">
        <v>5796</v>
      </c>
      <c r="H18" s="2952" t="s">
        <v>5401</v>
      </c>
      <c r="I18" s="2946"/>
    </row>
    <row r="19" spans="1:9" ht="30" x14ac:dyDescent="0.25">
      <c r="A19" s="3741"/>
      <c r="B19" s="3743"/>
      <c r="C19" s="3744"/>
      <c r="D19" s="2936" t="s">
        <v>5798</v>
      </c>
      <c r="E19" s="2939">
        <v>17</v>
      </c>
      <c r="F19" s="2937">
        <v>20</v>
      </c>
      <c r="G19" s="2937" t="s">
        <v>5796</v>
      </c>
      <c r="H19" s="2952" t="s">
        <v>5401</v>
      </c>
      <c r="I19" s="2946"/>
    </row>
    <row r="20" spans="1:9" x14ac:dyDescent="0.25">
      <c r="A20" s="3741"/>
      <c r="B20" s="3743"/>
      <c r="C20" s="3744" t="s">
        <v>5413</v>
      </c>
      <c r="D20" s="2936" t="s">
        <v>5799</v>
      </c>
      <c r="E20" s="2939">
        <v>0.01</v>
      </c>
      <c r="F20" s="2937">
        <v>5.0000000000000001E-3</v>
      </c>
      <c r="G20" s="2937" t="s">
        <v>5796</v>
      </c>
      <c r="H20" s="2952" t="s">
        <v>5401</v>
      </c>
      <c r="I20" s="2946"/>
    </row>
    <row r="21" spans="1:9" x14ac:dyDescent="0.25">
      <c r="A21" s="3741"/>
      <c r="B21" s="3743"/>
      <c r="C21" s="3744"/>
      <c r="D21" s="2967" t="s">
        <v>5800</v>
      </c>
      <c r="E21" s="2939">
        <v>29</v>
      </c>
      <c r="F21" s="2937">
        <v>30</v>
      </c>
      <c r="G21" s="2937" t="s">
        <v>5796</v>
      </c>
      <c r="H21" s="2952" t="s">
        <v>5401</v>
      </c>
      <c r="I21" s="2946"/>
    </row>
    <row r="22" spans="1:9" ht="30" x14ac:dyDescent="0.25">
      <c r="A22" s="3741" t="s">
        <v>5618</v>
      </c>
      <c r="B22" s="3743"/>
      <c r="C22" s="3744" t="s">
        <v>5414</v>
      </c>
      <c r="D22" s="2936" t="s">
        <v>5801</v>
      </c>
      <c r="E22" s="2939" t="s">
        <v>5802</v>
      </c>
      <c r="F22" s="2937" t="s">
        <v>5795</v>
      </c>
      <c r="G22" s="2937" t="s">
        <v>5796</v>
      </c>
      <c r="H22" s="2952" t="s">
        <v>5401</v>
      </c>
      <c r="I22" s="2946"/>
    </row>
    <row r="23" spans="1:9" ht="45" x14ac:dyDescent="0.25">
      <c r="A23" s="3741"/>
      <c r="B23" s="3743"/>
      <c r="C23" s="3744"/>
      <c r="D23" s="2936" t="s">
        <v>5803</v>
      </c>
      <c r="E23" s="2955">
        <v>30</v>
      </c>
      <c r="F23" s="2950">
        <v>37</v>
      </c>
      <c r="G23" s="2937" t="s">
        <v>5796</v>
      </c>
      <c r="H23" s="2952" t="s">
        <v>5401</v>
      </c>
      <c r="I23" s="2946"/>
    </row>
    <row r="24" spans="1:9" ht="30" x14ac:dyDescent="0.25">
      <c r="A24" s="2937" t="s">
        <v>5619</v>
      </c>
      <c r="B24" s="3743"/>
      <c r="C24" s="2966" t="s">
        <v>5415</v>
      </c>
      <c r="D24" s="2936" t="s">
        <v>5416</v>
      </c>
      <c r="E24" s="2968">
        <v>1.05</v>
      </c>
      <c r="F24" s="2965">
        <v>1</v>
      </c>
      <c r="G24" s="2937" t="s">
        <v>5796</v>
      </c>
      <c r="H24" s="2952" t="s">
        <v>5401</v>
      </c>
      <c r="I24" s="2946"/>
    </row>
    <row r="25" spans="1:9" x14ac:dyDescent="0.25">
      <c r="A25" s="2913" t="s">
        <v>131</v>
      </c>
      <c r="B25" s="3754"/>
      <c r="C25" s="3754"/>
      <c r="D25" s="3754"/>
      <c r="E25" s="3754"/>
      <c r="F25" s="3754"/>
      <c r="G25" s="3754"/>
      <c r="H25" s="3754"/>
      <c r="I25" s="2946"/>
    </row>
    <row r="26" spans="1:9" ht="30" x14ac:dyDescent="0.25">
      <c r="A26" s="3749" t="s">
        <v>5627</v>
      </c>
      <c r="B26" s="3755" t="s">
        <v>5697</v>
      </c>
      <c r="C26" s="3752" t="s">
        <v>5417</v>
      </c>
      <c r="D26" s="2941" t="s">
        <v>5418</v>
      </c>
      <c r="E26" s="2914">
        <v>1</v>
      </c>
      <c r="F26" s="3749" t="s">
        <v>5795</v>
      </c>
      <c r="G26" s="3749" t="s">
        <v>5419</v>
      </c>
      <c r="H26" s="3749" t="s">
        <v>5401</v>
      </c>
      <c r="I26" s="2946"/>
    </row>
    <row r="27" spans="1:9" ht="30" x14ac:dyDescent="0.25">
      <c r="A27" s="3749"/>
      <c r="B27" s="3755"/>
      <c r="C27" s="3752"/>
      <c r="D27" s="2969" t="s">
        <v>5804</v>
      </c>
      <c r="E27" s="2940">
        <v>5</v>
      </c>
      <c r="F27" s="3749"/>
      <c r="G27" s="3749"/>
      <c r="H27" s="3749"/>
      <c r="I27" s="2946"/>
    </row>
    <row r="28" spans="1:9" ht="30" x14ac:dyDescent="0.25">
      <c r="A28" s="3749"/>
      <c r="B28" s="3755"/>
      <c r="C28" s="3752"/>
      <c r="D28" s="2969" t="s">
        <v>5805</v>
      </c>
      <c r="E28" s="2940">
        <v>5</v>
      </c>
      <c r="F28" s="3749"/>
      <c r="G28" s="3749"/>
      <c r="H28" s="3749"/>
      <c r="I28" s="2946"/>
    </row>
    <row r="29" spans="1:9" ht="30" x14ac:dyDescent="0.25">
      <c r="A29" s="3749" t="s">
        <v>5628</v>
      </c>
      <c r="B29" s="3755"/>
      <c r="C29" s="3752" t="s">
        <v>5420</v>
      </c>
      <c r="D29" s="2941" t="s">
        <v>5421</v>
      </c>
      <c r="E29" s="2914">
        <v>1</v>
      </c>
      <c r="F29" s="3749" t="s">
        <v>5806</v>
      </c>
      <c r="G29" s="3749" t="s">
        <v>5422</v>
      </c>
      <c r="H29" s="3749" t="s">
        <v>5403</v>
      </c>
      <c r="I29" s="2946"/>
    </row>
    <row r="30" spans="1:9" ht="45" x14ac:dyDescent="0.25">
      <c r="A30" s="3749"/>
      <c r="B30" s="3755"/>
      <c r="C30" s="3752"/>
      <c r="D30" s="2969" t="s">
        <v>5807</v>
      </c>
      <c r="E30" s="2940">
        <v>13</v>
      </c>
      <c r="F30" s="3749"/>
      <c r="G30" s="3749"/>
      <c r="H30" s="3749"/>
      <c r="I30" s="2946"/>
    </row>
    <row r="31" spans="1:9" ht="30" x14ac:dyDescent="0.25">
      <c r="A31" s="3749"/>
      <c r="B31" s="3755"/>
      <c r="C31" s="3752"/>
      <c r="D31" s="2969" t="s">
        <v>5808</v>
      </c>
      <c r="E31" s="2940">
        <v>13</v>
      </c>
      <c r="F31" s="3749"/>
      <c r="G31" s="3749"/>
      <c r="H31" s="3749"/>
      <c r="I31" s="2946"/>
    </row>
    <row r="32" spans="1:9" ht="30" x14ac:dyDescent="0.25">
      <c r="A32" s="3749" t="s">
        <v>5629</v>
      </c>
      <c r="B32" s="3755"/>
      <c r="C32" s="3752" t="s">
        <v>5423</v>
      </c>
      <c r="D32" s="2941" t="s">
        <v>5901</v>
      </c>
      <c r="E32" s="2970">
        <f>E33/E34</f>
        <v>0.77039615486577762</v>
      </c>
      <c r="F32" s="3749">
        <v>931511</v>
      </c>
      <c r="G32" s="3749" t="s">
        <v>5902</v>
      </c>
      <c r="H32" s="3749" t="s">
        <v>5403</v>
      </c>
      <c r="I32" s="2946"/>
    </row>
    <row r="33" spans="1:9" ht="45" x14ac:dyDescent="0.25">
      <c r="A33" s="3749"/>
      <c r="B33" s="3755"/>
      <c r="C33" s="3752"/>
      <c r="D33" s="2969" t="s">
        <v>5809</v>
      </c>
      <c r="E33" s="2940">
        <v>334194</v>
      </c>
      <c r="F33" s="3749"/>
      <c r="G33" s="3749"/>
      <c r="H33" s="3749"/>
      <c r="I33" s="2971"/>
    </row>
    <row r="34" spans="1:9" ht="30" x14ac:dyDescent="0.25">
      <c r="A34" s="3749"/>
      <c r="B34" s="3755"/>
      <c r="C34" s="3752"/>
      <c r="D34" s="2969" t="s">
        <v>5810</v>
      </c>
      <c r="E34" s="2940">
        <v>433795</v>
      </c>
      <c r="F34" s="3749"/>
      <c r="G34" s="3749"/>
      <c r="H34" s="3749"/>
      <c r="I34" s="2946"/>
    </row>
    <row r="35" spans="1:9" ht="45" x14ac:dyDescent="0.25">
      <c r="A35" s="3749" t="s">
        <v>5630</v>
      </c>
      <c r="B35" s="3755"/>
      <c r="C35" s="3752" t="s">
        <v>5424</v>
      </c>
      <c r="D35" s="2941" t="s">
        <v>5425</v>
      </c>
      <c r="E35" s="3753" t="s">
        <v>5903</v>
      </c>
      <c r="F35" s="3749" t="s">
        <v>5795</v>
      </c>
      <c r="G35" s="3749" t="s">
        <v>5422</v>
      </c>
      <c r="H35" s="3749" t="s">
        <v>5811</v>
      </c>
      <c r="I35" s="2946"/>
    </row>
    <row r="36" spans="1:9" ht="45" customHeight="1" x14ac:dyDescent="0.25">
      <c r="A36" s="3749"/>
      <c r="B36" s="3755"/>
      <c r="C36" s="3752"/>
      <c r="D36" s="2969" t="s">
        <v>5812</v>
      </c>
      <c r="E36" s="3753"/>
      <c r="F36" s="3749"/>
      <c r="G36" s="3749"/>
      <c r="H36" s="3749"/>
      <c r="I36" s="2946"/>
    </row>
    <row r="37" spans="1:9" ht="119.65" customHeight="1" x14ac:dyDescent="0.25">
      <c r="A37" s="3749"/>
      <c r="B37" s="3755"/>
      <c r="C37" s="3752"/>
      <c r="D37" s="2969" t="s">
        <v>5813</v>
      </c>
      <c r="E37" s="3753"/>
      <c r="F37" s="3749"/>
      <c r="G37" s="3749"/>
      <c r="H37" s="3749"/>
      <c r="I37" s="2946"/>
    </row>
    <row r="38" spans="1:9" ht="45" x14ac:dyDescent="0.25">
      <c r="A38" s="3761" t="s">
        <v>5631</v>
      </c>
      <c r="B38" s="3755"/>
      <c r="C38" s="3752" t="s">
        <v>5426</v>
      </c>
      <c r="D38" s="2941" t="s">
        <v>5814</v>
      </c>
      <c r="E38" s="3753" t="s">
        <v>5815</v>
      </c>
      <c r="F38" s="3749" t="s">
        <v>5806</v>
      </c>
      <c r="G38" s="3749" t="s">
        <v>5422</v>
      </c>
      <c r="H38" s="3749" t="s">
        <v>5816</v>
      </c>
      <c r="I38" s="2946"/>
    </row>
    <row r="39" spans="1:9" ht="30" x14ac:dyDescent="0.25">
      <c r="A39" s="3761"/>
      <c r="B39" s="3755"/>
      <c r="C39" s="3752"/>
      <c r="D39" s="2941" t="s">
        <v>5817</v>
      </c>
      <c r="E39" s="3753"/>
      <c r="F39" s="3749"/>
      <c r="G39" s="3749"/>
      <c r="H39" s="3749"/>
      <c r="I39" s="2946"/>
    </row>
    <row r="40" spans="1:9" ht="30" x14ac:dyDescent="0.25">
      <c r="A40" s="3761"/>
      <c r="B40" s="3755"/>
      <c r="C40" s="3752"/>
      <c r="D40" s="2969" t="s">
        <v>5818</v>
      </c>
      <c r="E40" s="3753"/>
      <c r="F40" s="3749"/>
      <c r="G40" s="3749"/>
      <c r="H40" s="3749"/>
      <c r="I40" s="2946"/>
    </row>
    <row r="41" spans="1:9" x14ac:dyDescent="0.25">
      <c r="A41" s="2906" t="s">
        <v>96</v>
      </c>
      <c r="B41" s="3750"/>
      <c r="C41" s="3750"/>
      <c r="D41" s="3750"/>
      <c r="E41" s="3750"/>
      <c r="F41" s="3750"/>
      <c r="G41" s="3750"/>
      <c r="H41" s="2915"/>
      <c r="I41" s="2946"/>
    </row>
    <row r="42" spans="1:9" ht="30" x14ac:dyDescent="0.25">
      <c r="A42" s="3756" t="s">
        <v>5620</v>
      </c>
      <c r="B42" s="2972"/>
      <c r="C42" s="3744" t="s">
        <v>5427</v>
      </c>
      <c r="D42" s="2936" t="s">
        <v>5428</v>
      </c>
      <c r="E42" s="2968">
        <f>E43/E44</f>
        <v>0.72399146952474669</v>
      </c>
      <c r="G42" s="3757" t="s">
        <v>5422</v>
      </c>
      <c r="H42" s="3758" t="s">
        <v>5401</v>
      </c>
      <c r="I42" s="2946"/>
    </row>
    <row r="43" spans="1:9" ht="45" x14ac:dyDescent="0.25">
      <c r="A43" s="3756"/>
      <c r="B43" s="2972"/>
      <c r="C43" s="3744"/>
      <c r="D43" s="2973" t="s">
        <v>5429</v>
      </c>
      <c r="E43" s="2974">
        <v>1897787.4000000001</v>
      </c>
      <c r="F43" s="2975"/>
      <c r="G43" s="3757"/>
      <c r="H43" s="3759"/>
      <c r="I43" s="2946"/>
    </row>
    <row r="44" spans="1:9" ht="45" x14ac:dyDescent="0.25">
      <c r="A44" s="3756"/>
      <c r="B44" s="2972"/>
      <c r="C44" s="3744"/>
      <c r="D44" s="2973" t="s">
        <v>5430</v>
      </c>
      <c r="E44" s="2974">
        <v>2621284.2000000002</v>
      </c>
      <c r="F44" s="2976">
        <v>2621284.2000000002</v>
      </c>
      <c r="G44" s="3757"/>
      <c r="H44" s="3760"/>
      <c r="I44" s="2946"/>
    </row>
    <row r="45" spans="1:9" ht="45" x14ac:dyDescent="0.25">
      <c r="A45" s="3756" t="s">
        <v>5625</v>
      </c>
      <c r="B45" s="2972"/>
      <c r="C45" s="3744" t="s">
        <v>5431</v>
      </c>
      <c r="D45" s="2936" t="s">
        <v>5432</v>
      </c>
      <c r="E45" s="2968">
        <f>E46/E47</f>
        <v>1</v>
      </c>
      <c r="F45" s="2977"/>
      <c r="G45" s="3757" t="s">
        <v>5422</v>
      </c>
      <c r="H45" s="3758" t="s">
        <v>5401</v>
      </c>
      <c r="I45" s="2946"/>
    </row>
    <row r="46" spans="1:9" ht="60" x14ac:dyDescent="0.25">
      <c r="A46" s="3756"/>
      <c r="B46" s="2972"/>
      <c r="C46" s="3744"/>
      <c r="D46" s="2973" t="s">
        <v>5433</v>
      </c>
      <c r="E46" s="2978">
        <v>34</v>
      </c>
      <c r="F46" s="2979">
        <v>5</v>
      </c>
      <c r="G46" s="3757"/>
      <c r="H46" s="3759"/>
      <c r="I46" s="2946"/>
    </row>
    <row r="47" spans="1:9" ht="30" x14ac:dyDescent="0.25">
      <c r="A47" s="3756"/>
      <c r="B47" s="2972"/>
      <c r="C47" s="3744"/>
      <c r="D47" s="2973" t="s">
        <v>5434</v>
      </c>
      <c r="E47" s="2978">
        <v>34</v>
      </c>
      <c r="F47" s="2980"/>
      <c r="G47" s="3757"/>
      <c r="H47" s="3760"/>
      <c r="I47" s="2946"/>
    </row>
    <row r="48" spans="1:9" ht="45" x14ac:dyDescent="0.25">
      <c r="A48" s="3756" t="s">
        <v>5626</v>
      </c>
      <c r="B48" s="2972"/>
      <c r="C48" s="3744" t="s">
        <v>5435</v>
      </c>
      <c r="D48" s="2936" t="s">
        <v>5436</v>
      </c>
      <c r="E48" s="3762" t="s">
        <v>5904</v>
      </c>
      <c r="F48" s="2946"/>
      <c r="G48" s="3757" t="s">
        <v>5422</v>
      </c>
      <c r="H48" s="3765" t="s">
        <v>5401</v>
      </c>
      <c r="I48" s="3773" t="s">
        <v>5905</v>
      </c>
    </row>
    <row r="49" spans="1:9" ht="60" x14ac:dyDescent="0.25">
      <c r="A49" s="3756"/>
      <c r="B49" s="2972"/>
      <c r="C49" s="3744"/>
      <c r="D49" s="2973" t="s">
        <v>5437</v>
      </c>
      <c r="E49" s="3763"/>
      <c r="F49" s="2946"/>
      <c r="G49" s="3757"/>
      <c r="H49" s="3766"/>
      <c r="I49" s="3774"/>
    </row>
    <row r="50" spans="1:9" ht="41.65" customHeight="1" x14ac:dyDescent="0.25">
      <c r="A50" s="3756"/>
      <c r="B50" s="2972"/>
      <c r="C50" s="3744"/>
      <c r="D50" s="2973" t="s">
        <v>5438</v>
      </c>
      <c r="E50" s="3764"/>
      <c r="F50" s="2981">
        <v>1000000</v>
      </c>
      <c r="G50" s="3757"/>
      <c r="H50" s="3767"/>
      <c r="I50" s="3775"/>
    </row>
    <row r="51" spans="1:9" x14ac:dyDescent="0.25">
      <c r="A51" s="2906" t="s">
        <v>5621</v>
      </c>
      <c r="B51" s="3750"/>
      <c r="C51" s="3750"/>
      <c r="D51" s="3750"/>
      <c r="E51" s="3750"/>
      <c r="F51" s="3750"/>
      <c r="G51" s="3750"/>
      <c r="H51" s="3750"/>
      <c r="I51" s="2946"/>
    </row>
    <row r="52" spans="1:9" ht="45" x14ac:dyDescent="0.25">
      <c r="A52" s="2935" t="s">
        <v>5622</v>
      </c>
      <c r="B52" s="2948"/>
      <c r="C52" s="2947" t="s">
        <v>5439</v>
      </c>
      <c r="D52" s="2948" t="s">
        <v>5819</v>
      </c>
      <c r="E52" s="2955" t="s">
        <v>5820</v>
      </c>
      <c r="F52" s="2950" t="s">
        <v>5821</v>
      </c>
      <c r="G52" s="2950" t="s">
        <v>5422</v>
      </c>
      <c r="H52" s="2950" t="s">
        <v>5401</v>
      </c>
      <c r="I52" s="2946"/>
    </row>
    <row r="53" spans="1:9" ht="75" x14ac:dyDescent="0.25">
      <c r="A53" s="2935" t="s">
        <v>5623</v>
      </c>
      <c r="B53" s="2948"/>
      <c r="C53" s="2947" t="s">
        <v>5440</v>
      </c>
      <c r="D53" s="2948" t="s">
        <v>5441</v>
      </c>
      <c r="E53" s="2955" t="s">
        <v>5822</v>
      </c>
      <c r="F53" s="2950">
        <v>0</v>
      </c>
      <c r="G53" s="2950" t="s">
        <v>5422</v>
      </c>
      <c r="H53" s="2950" t="s">
        <v>5403</v>
      </c>
      <c r="I53" s="2946"/>
    </row>
    <row r="54" spans="1:9" ht="90" x14ac:dyDescent="0.25">
      <c r="A54" s="2935" t="s">
        <v>5624</v>
      </c>
      <c r="B54" s="2948"/>
      <c r="C54" s="2947" t="s">
        <v>5442</v>
      </c>
      <c r="D54" s="2948" t="s">
        <v>5443</v>
      </c>
      <c r="E54" s="2955" t="s">
        <v>5823</v>
      </c>
      <c r="F54" s="2950">
        <v>0</v>
      </c>
      <c r="G54" s="2950" t="s">
        <v>5422</v>
      </c>
      <c r="H54" s="2950" t="s">
        <v>5407</v>
      </c>
      <c r="I54" s="2946"/>
    </row>
    <row r="55" spans="1:9" x14ac:dyDescent="0.25">
      <c r="A55" s="2906" t="s">
        <v>312</v>
      </c>
      <c r="B55" s="3745"/>
      <c r="C55" s="3745"/>
      <c r="D55" s="3745"/>
      <c r="E55" s="3745"/>
      <c r="F55" s="3745"/>
      <c r="G55" s="3745"/>
      <c r="H55" s="3745"/>
      <c r="I55" s="2946"/>
    </row>
    <row r="56" spans="1:9" ht="30" x14ac:dyDescent="0.25">
      <c r="A56" s="2935" t="s">
        <v>5632</v>
      </c>
      <c r="B56" s="2982"/>
      <c r="C56" s="2983" t="s">
        <v>5444</v>
      </c>
      <c r="D56" s="2984" t="s">
        <v>5445</v>
      </c>
      <c r="E56" s="2916">
        <v>477</v>
      </c>
      <c r="F56" s="2916">
        <v>477</v>
      </c>
      <c r="G56" s="2916" t="s">
        <v>5824</v>
      </c>
      <c r="H56" s="2916" t="s">
        <v>5401</v>
      </c>
      <c r="I56" s="2946"/>
    </row>
    <row r="57" spans="1:9" x14ac:dyDescent="0.25">
      <c r="A57" s="2935" t="s">
        <v>4734</v>
      </c>
      <c r="B57" s="3745"/>
      <c r="C57" s="3745"/>
      <c r="D57" s="3745"/>
      <c r="E57" s="3745"/>
      <c r="F57" s="3745"/>
      <c r="G57" s="3745"/>
      <c r="H57" s="3745"/>
      <c r="I57" s="2946"/>
    </row>
    <row r="58" spans="1:9" ht="45" x14ac:dyDescent="0.25">
      <c r="A58" s="2935" t="s">
        <v>5633</v>
      </c>
      <c r="B58" s="3743"/>
      <c r="C58" s="2947" t="s">
        <v>5446</v>
      </c>
      <c r="D58" s="2948" t="s">
        <v>5447</v>
      </c>
      <c r="E58" s="2985" t="s">
        <v>5825</v>
      </c>
      <c r="F58" s="2986" t="s">
        <v>5825</v>
      </c>
      <c r="G58" s="2987" t="s">
        <v>5448</v>
      </c>
      <c r="H58" s="2986" t="s">
        <v>5401</v>
      </c>
      <c r="I58" s="2946"/>
    </row>
    <row r="59" spans="1:9" ht="45" x14ac:dyDescent="0.25">
      <c r="A59" s="2935" t="s">
        <v>5634</v>
      </c>
      <c r="B59" s="3743"/>
      <c r="C59" s="2947" t="s">
        <v>5449</v>
      </c>
      <c r="D59" s="2948" t="s">
        <v>5450</v>
      </c>
      <c r="E59" s="2988" t="s">
        <v>5826</v>
      </c>
      <c r="F59" s="2986" t="s">
        <v>5827</v>
      </c>
      <c r="G59" s="2987" t="s">
        <v>5451</v>
      </c>
      <c r="H59" s="2986" t="s">
        <v>5401</v>
      </c>
      <c r="I59" s="2946"/>
    </row>
    <row r="60" spans="1:9" ht="30" x14ac:dyDescent="0.25">
      <c r="A60" s="2935" t="s">
        <v>5635</v>
      </c>
      <c r="B60" s="3743"/>
      <c r="C60" s="2947" t="s">
        <v>5452</v>
      </c>
      <c r="D60" s="2948" t="s">
        <v>5453</v>
      </c>
      <c r="E60" s="2989">
        <v>7569</v>
      </c>
      <c r="F60" s="2990" t="s">
        <v>5795</v>
      </c>
      <c r="G60" s="2987" t="s">
        <v>5451</v>
      </c>
      <c r="H60" s="2986" t="s">
        <v>5401</v>
      </c>
      <c r="I60" s="2946"/>
    </row>
    <row r="61" spans="1:9" ht="45" x14ac:dyDescent="0.25">
      <c r="A61" s="2935" t="s">
        <v>5636</v>
      </c>
      <c r="B61" s="3743"/>
      <c r="C61" s="2947" t="s">
        <v>5698</v>
      </c>
      <c r="D61" s="2948" t="s">
        <v>5454</v>
      </c>
      <c r="E61" s="2985">
        <v>10</v>
      </c>
      <c r="F61" s="2986">
        <v>10</v>
      </c>
      <c r="G61" s="2987" t="s">
        <v>5455</v>
      </c>
      <c r="H61" s="2986" t="s">
        <v>5401</v>
      </c>
      <c r="I61" s="2946"/>
    </row>
    <row r="62" spans="1:9" x14ac:dyDescent="0.25">
      <c r="A62" s="2935" t="s">
        <v>5637</v>
      </c>
      <c r="B62" s="3745"/>
      <c r="C62" s="3745"/>
      <c r="D62" s="3745"/>
      <c r="E62" s="3745"/>
      <c r="F62" s="3745"/>
      <c r="G62" s="3745"/>
      <c r="H62" s="3745"/>
      <c r="I62" s="2946"/>
    </row>
    <row r="63" spans="1:9" ht="150" x14ac:dyDescent="0.25">
      <c r="A63" s="2935" t="s">
        <v>5638</v>
      </c>
      <c r="B63" s="3769"/>
      <c r="C63" s="2966" t="s">
        <v>5456</v>
      </c>
      <c r="D63" s="2936" t="s">
        <v>5536</v>
      </c>
      <c r="E63" s="2939"/>
      <c r="F63" s="2937" t="s">
        <v>5457</v>
      </c>
      <c r="G63" s="2937" t="s">
        <v>5458</v>
      </c>
      <c r="H63" s="2991" t="s">
        <v>5828</v>
      </c>
      <c r="I63" s="2946"/>
    </row>
    <row r="64" spans="1:9" ht="120" x14ac:dyDescent="0.25">
      <c r="A64" s="2935" t="s">
        <v>5639</v>
      </c>
      <c r="B64" s="3769"/>
      <c r="C64" s="2966" t="s">
        <v>5459</v>
      </c>
      <c r="D64" s="2936" t="s">
        <v>5537</v>
      </c>
      <c r="E64" s="2939"/>
      <c r="F64" s="2937" t="s">
        <v>5460</v>
      </c>
      <c r="G64" s="2937" t="s">
        <v>5458</v>
      </c>
      <c r="H64" s="2991" t="s">
        <v>5828</v>
      </c>
      <c r="I64" s="2946"/>
    </row>
    <row r="65" spans="1:9" ht="150" x14ac:dyDescent="0.25">
      <c r="A65" s="2935" t="s">
        <v>5640</v>
      </c>
      <c r="B65" s="3769"/>
      <c r="C65" s="2966" t="s">
        <v>5461</v>
      </c>
      <c r="D65" s="2936" t="s">
        <v>5538</v>
      </c>
      <c r="E65" s="2939"/>
      <c r="F65" s="2937" t="s">
        <v>5462</v>
      </c>
      <c r="G65" s="2937" t="s">
        <v>5458</v>
      </c>
      <c r="H65" s="2991" t="s">
        <v>5828</v>
      </c>
      <c r="I65" s="2946"/>
    </row>
    <row r="66" spans="1:9" ht="75" x14ac:dyDescent="0.25">
      <c r="A66" s="2935" t="s">
        <v>5641</v>
      </c>
      <c r="B66" s="3769"/>
      <c r="C66" s="2966" t="s">
        <v>5463</v>
      </c>
      <c r="D66" s="2936" t="s">
        <v>5539</v>
      </c>
      <c r="E66" s="2939"/>
      <c r="F66" s="2937" t="s">
        <v>5464</v>
      </c>
      <c r="G66" s="2937" t="s">
        <v>5465</v>
      </c>
      <c r="H66" s="2991" t="s">
        <v>5828</v>
      </c>
      <c r="I66" s="2946"/>
    </row>
    <row r="67" spans="1:9" ht="165" x14ac:dyDescent="0.25">
      <c r="A67" s="2935" t="s">
        <v>5642</v>
      </c>
      <c r="B67" s="3769"/>
      <c r="C67" s="2966" t="s">
        <v>5466</v>
      </c>
      <c r="D67" s="2936" t="s">
        <v>5540</v>
      </c>
      <c r="E67" s="2939"/>
      <c r="F67" s="2937" t="s">
        <v>5467</v>
      </c>
      <c r="G67" s="2937" t="s">
        <v>5458</v>
      </c>
      <c r="H67" s="2991" t="s">
        <v>5828</v>
      </c>
      <c r="I67" s="2946"/>
    </row>
    <row r="68" spans="1:9" ht="135" x14ac:dyDescent="0.25">
      <c r="A68" s="2935" t="s">
        <v>5643</v>
      </c>
      <c r="B68" s="3769"/>
      <c r="C68" s="2966" t="s">
        <v>5468</v>
      </c>
      <c r="D68" s="2936" t="s">
        <v>5541</v>
      </c>
      <c r="E68" s="2939"/>
      <c r="F68" s="2937" t="s">
        <v>5469</v>
      </c>
      <c r="G68" s="2937" t="s">
        <v>5458</v>
      </c>
      <c r="H68" s="2991" t="s">
        <v>5828</v>
      </c>
      <c r="I68" s="2946"/>
    </row>
    <row r="69" spans="1:9" ht="195" x14ac:dyDescent="0.25">
      <c r="A69" s="2935" t="s">
        <v>5644</v>
      </c>
      <c r="B69" s="3769"/>
      <c r="C69" s="2966" t="s">
        <v>5470</v>
      </c>
      <c r="D69" s="2936" t="s">
        <v>5471</v>
      </c>
      <c r="E69" s="2939"/>
      <c r="F69" s="2937" t="s">
        <v>5472</v>
      </c>
      <c r="G69" s="2937" t="s">
        <v>5422</v>
      </c>
      <c r="H69" s="2991" t="s">
        <v>5828</v>
      </c>
      <c r="I69" s="2946"/>
    </row>
    <row r="70" spans="1:9" ht="390" x14ac:dyDescent="0.25">
      <c r="A70" s="2935" t="s">
        <v>5645</v>
      </c>
      <c r="B70" s="3769"/>
      <c r="C70" s="2966" t="s">
        <v>5473</v>
      </c>
      <c r="D70" s="2936" t="s">
        <v>5474</v>
      </c>
      <c r="E70" s="2939"/>
      <c r="F70" s="2937" t="s">
        <v>5475</v>
      </c>
      <c r="G70" s="2937" t="s">
        <v>5476</v>
      </c>
      <c r="H70" s="2991" t="s">
        <v>5828</v>
      </c>
      <c r="I70" s="2946"/>
    </row>
    <row r="71" spans="1:9" x14ac:dyDescent="0.25">
      <c r="A71" s="2935"/>
      <c r="B71" s="3768" t="s">
        <v>5477</v>
      </c>
      <c r="C71" s="3768"/>
      <c r="D71" s="3768"/>
      <c r="E71" s="3768"/>
      <c r="F71" s="3768"/>
      <c r="G71" s="3768"/>
      <c r="H71" s="3768"/>
      <c r="I71" s="2946"/>
    </row>
    <row r="72" spans="1:9" x14ac:dyDescent="0.25">
      <c r="A72" s="2906" t="s">
        <v>146</v>
      </c>
      <c r="B72" s="3746"/>
      <c r="C72" s="3746"/>
      <c r="D72" s="3746"/>
      <c r="E72" s="3746"/>
      <c r="F72" s="3746"/>
      <c r="G72" s="3746"/>
      <c r="H72" s="3746"/>
      <c r="I72" s="2946"/>
    </row>
    <row r="73" spans="1:9" ht="45" x14ac:dyDescent="0.25">
      <c r="A73" s="2935" t="s">
        <v>5646</v>
      </c>
      <c r="B73" s="3742" t="s">
        <v>5478</v>
      </c>
      <c r="C73" s="3747" t="s">
        <v>5479</v>
      </c>
      <c r="D73" s="3748"/>
      <c r="E73" s="2955" t="s">
        <v>5829</v>
      </c>
      <c r="F73" s="2950" t="s">
        <v>5830</v>
      </c>
      <c r="G73" s="3757" t="s">
        <v>5480</v>
      </c>
      <c r="H73" s="2952" t="s">
        <v>5401</v>
      </c>
      <c r="I73" s="2946"/>
    </row>
    <row r="74" spans="1:9" ht="195" x14ac:dyDescent="0.25">
      <c r="A74" s="2935" t="s">
        <v>5648</v>
      </c>
      <c r="B74" s="3742"/>
      <c r="C74" s="3757" t="s">
        <v>5481</v>
      </c>
      <c r="D74" s="3757"/>
      <c r="E74" s="2955" t="s">
        <v>5831</v>
      </c>
      <c r="F74" s="2950" t="s">
        <v>5830</v>
      </c>
      <c r="G74" s="3757"/>
      <c r="H74" s="2952" t="s">
        <v>5401</v>
      </c>
      <c r="I74" s="2946"/>
    </row>
    <row r="75" spans="1:9" ht="60" x14ac:dyDescent="0.25">
      <c r="A75" s="3756" t="s">
        <v>5647</v>
      </c>
      <c r="B75" s="3742"/>
      <c r="C75" s="2947" t="s">
        <v>5482</v>
      </c>
      <c r="D75" s="2948" t="s">
        <v>5483</v>
      </c>
      <c r="E75" s="2955" t="s">
        <v>5832</v>
      </c>
      <c r="F75" s="2950" t="s">
        <v>5830</v>
      </c>
      <c r="G75" s="3757"/>
      <c r="H75" s="2952" t="s">
        <v>5401</v>
      </c>
      <c r="I75" s="2946"/>
    </row>
    <row r="76" spans="1:9" ht="30" x14ac:dyDescent="0.25">
      <c r="A76" s="3756"/>
      <c r="B76" s="3742"/>
      <c r="C76" s="2947" t="s">
        <v>5484</v>
      </c>
      <c r="D76" s="2948" t="s">
        <v>5485</v>
      </c>
      <c r="E76" s="2955" t="s">
        <v>5833</v>
      </c>
      <c r="F76" s="2950" t="s">
        <v>5830</v>
      </c>
      <c r="G76" s="3757"/>
      <c r="H76" s="2952" t="s">
        <v>5401</v>
      </c>
      <c r="I76" s="2946"/>
    </row>
    <row r="77" spans="1:9" ht="30" x14ac:dyDescent="0.25">
      <c r="A77" s="3756"/>
      <c r="B77" s="3742"/>
      <c r="C77" s="2947" t="s">
        <v>5486</v>
      </c>
      <c r="D77" s="2948" t="s">
        <v>5487</v>
      </c>
      <c r="E77" s="2955" t="s">
        <v>5834</v>
      </c>
      <c r="F77" s="2950" t="s">
        <v>5830</v>
      </c>
      <c r="G77" s="3757"/>
      <c r="H77" s="2952" t="s">
        <v>5401</v>
      </c>
      <c r="I77" s="2946"/>
    </row>
    <row r="78" spans="1:9" x14ac:dyDescent="0.25">
      <c r="A78" s="2935" t="s">
        <v>5649</v>
      </c>
      <c r="B78" s="3742"/>
      <c r="C78" s="3757" t="s">
        <v>5488</v>
      </c>
      <c r="D78" s="3757"/>
      <c r="E78" s="2955" t="s">
        <v>5834</v>
      </c>
      <c r="F78" s="2950" t="s">
        <v>5830</v>
      </c>
      <c r="G78" s="3757"/>
      <c r="H78" s="2952" t="s">
        <v>5401</v>
      </c>
      <c r="I78" s="2946"/>
    </row>
    <row r="79" spans="1:9" x14ac:dyDescent="0.25">
      <c r="A79" s="2906" t="s">
        <v>293</v>
      </c>
      <c r="B79" s="3745"/>
      <c r="C79" s="3745"/>
      <c r="D79" s="3745"/>
      <c r="E79" s="3745"/>
      <c r="F79" s="3745"/>
      <c r="G79" s="3745"/>
      <c r="H79" s="3745"/>
      <c r="I79" s="2992"/>
    </row>
    <row r="80" spans="1:9" ht="30" x14ac:dyDescent="0.25">
      <c r="A80" s="2935" t="s">
        <v>5650</v>
      </c>
      <c r="B80" s="3743"/>
      <c r="C80" s="2966" t="s">
        <v>5489</v>
      </c>
      <c r="D80" s="2993" t="s">
        <v>5835</v>
      </c>
      <c r="E80" s="2917">
        <v>0.86</v>
      </c>
      <c r="F80" s="2918">
        <v>0.83</v>
      </c>
      <c r="G80" s="2919" t="s">
        <v>5490</v>
      </c>
      <c r="H80" s="2919" t="s">
        <v>5491</v>
      </c>
      <c r="I80" s="3772" t="s">
        <v>5836</v>
      </c>
    </row>
    <row r="81" spans="1:9" ht="45" x14ac:dyDescent="0.25">
      <c r="A81" s="2935" t="s">
        <v>5651</v>
      </c>
      <c r="B81" s="3743"/>
      <c r="C81" s="2966" t="s">
        <v>5492</v>
      </c>
      <c r="D81" s="2993" t="s">
        <v>5837</v>
      </c>
      <c r="E81" s="2917">
        <v>0.68</v>
      </c>
      <c r="F81" s="2918">
        <v>0.91</v>
      </c>
      <c r="G81" s="2919" t="s">
        <v>5490</v>
      </c>
      <c r="H81" s="2919" t="s">
        <v>5491</v>
      </c>
      <c r="I81" s="3772"/>
    </row>
    <row r="82" spans="1:9" ht="30" x14ac:dyDescent="0.25">
      <c r="A82" s="2935" t="s">
        <v>5652</v>
      </c>
      <c r="B82" s="3743"/>
      <c r="C82" s="2966" t="s">
        <v>5493</v>
      </c>
      <c r="D82" s="2993" t="s">
        <v>5838</v>
      </c>
      <c r="E82" s="2917">
        <v>0.72</v>
      </c>
      <c r="F82" s="2918">
        <v>0.91</v>
      </c>
      <c r="G82" s="2919" t="s">
        <v>5490</v>
      </c>
      <c r="H82" s="2919" t="s">
        <v>5491</v>
      </c>
      <c r="I82" s="3772"/>
    </row>
    <row r="83" spans="1:9" ht="105" x14ac:dyDescent="0.25">
      <c r="A83" s="2935" t="s">
        <v>5653</v>
      </c>
      <c r="B83" s="3743"/>
      <c r="C83" s="2966" t="s">
        <v>5494</v>
      </c>
      <c r="D83" s="2993" t="s">
        <v>5839</v>
      </c>
      <c r="E83" s="2917">
        <v>0.95</v>
      </c>
      <c r="F83" s="2918">
        <v>0.83</v>
      </c>
      <c r="G83" s="2919" t="s">
        <v>5490</v>
      </c>
      <c r="H83" s="2919" t="s">
        <v>5491</v>
      </c>
      <c r="I83" s="2919"/>
    </row>
    <row r="84" spans="1:9" x14ac:dyDescent="0.25">
      <c r="A84" s="2906" t="s">
        <v>3323</v>
      </c>
      <c r="B84" s="3746"/>
      <c r="C84" s="3746"/>
      <c r="D84" s="3746"/>
      <c r="E84" s="3746"/>
      <c r="F84" s="3746"/>
      <c r="G84" s="3746"/>
      <c r="H84" s="3746"/>
      <c r="I84" s="2946"/>
    </row>
    <row r="85" spans="1:9" ht="30" x14ac:dyDescent="0.25">
      <c r="A85" s="2935" t="s">
        <v>5654</v>
      </c>
      <c r="B85" s="3742"/>
      <c r="C85" s="2947" t="s">
        <v>5495</v>
      </c>
      <c r="D85" s="2948"/>
      <c r="E85" s="2955">
        <v>8</v>
      </c>
      <c r="F85" s="2950">
        <v>16</v>
      </c>
      <c r="G85" s="2950" t="s">
        <v>5840</v>
      </c>
      <c r="H85" s="2950" t="s">
        <v>5401</v>
      </c>
      <c r="I85" s="2946"/>
    </row>
    <row r="86" spans="1:9" ht="45" x14ac:dyDescent="0.25">
      <c r="A86" s="2935" t="s">
        <v>5655</v>
      </c>
      <c r="B86" s="3742"/>
      <c r="C86" s="2947" t="s">
        <v>5496</v>
      </c>
      <c r="D86" s="2948"/>
      <c r="E86" s="2981">
        <v>129911</v>
      </c>
      <c r="F86" s="2950">
        <v>1042300</v>
      </c>
      <c r="G86" s="2950" t="s">
        <v>5391</v>
      </c>
      <c r="H86" s="2950" t="s">
        <v>5401</v>
      </c>
      <c r="I86" s="2946"/>
    </row>
    <row r="87" spans="1:9" ht="45" x14ac:dyDescent="0.25">
      <c r="A87" s="2935" t="s">
        <v>5656</v>
      </c>
      <c r="B87" s="3742"/>
      <c r="C87" s="2947" t="s">
        <v>5497</v>
      </c>
      <c r="D87" s="2948"/>
      <c r="E87" s="2981">
        <v>168</v>
      </c>
      <c r="F87" s="2950">
        <v>2084</v>
      </c>
      <c r="G87" s="2950" t="s">
        <v>5391</v>
      </c>
      <c r="H87" s="2950" t="s">
        <v>5401</v>
      </c>
      <c r="I87" s="2946"/>
    </row>
    <row r="88" spans="1:9" ht="30" x14ac:dyDescent="0.25">
      <c r="A88" s="2935" t="s">
        <v>5657</v>
      </c>
      <c r="B88" s="3742"/>
      <c r="C88" s="2947" t="s">
        <v>5498</v>
      </c>
      <c r="D88" s="2948"/>
      <c r="E88" s="2955">
        <v>652562</v>
      </c>
      <c r="F88" s="2950">
        <v>932382</v>
      </c>
      <c r="G88" s="2950" t="s">
        <v>5391</v>
      </c>
      <c r="H88" s="2950" t="s">
        <v>5401</v>
      </c>
      <c r="I88" s="2946"/>
    </row>
    <row r="89" spans="1:9" x14ac:dyDescent="0.25">
      <c r="A89" s="2906" t="s">
        <v>4365</v>
      </c>
      <c r="B89" s="3745"/>
      <c r="C89" s="3745"/>
      <c r="D89" s="3745"/>
      <c r="E89" s="3745"/>
      <c r="F89" s="3745"/>
      <c r="G89" s="3745"/>
      <c r="H89" s="3745"/>
      <c r="I89" s="2946"/>
    </row>
    <row r="90" spans="1:9" ht="120" x14ac:dyDescent="0.25">
      <c r="A90" s="2938" t="s">
        <v>5658</v>
      </c>
      <c r="B90" s="2936" t="s">
        <v>5699</v>
      </c>
      <c r="C90" s="2966" t="s">
        <v>5542</v>
      </c>
      <c r="D90" s="2948"/>
      <c r="E90" s="2955" t="s">
        <v>5841</v>
      </c>
      <c r="F90" s="2950" t="s">
        <v>5842</v>
      </c>
      <c r="G90" s="2937" t="s">
        <v>5499</v>
      </c>
      <c r="H90" s="2950" t="s">
        <v>5401</v>
      </c>
      <c r="I90" s="2946"/>
    </row>
    <row r="91" spans="1:9" ht="210" x14ac:dyDescent="0.25">
      <c r="A91" s="2938" t="s">
        <v>5659</v>
      </c>
      <c r="B91" s="2936" t="s">
        <v>5500</v>
      </c>
      <c r="C91" s="2966" t="s">
        <v>5501</v>
      </c>
      <c r="D91" s="2948"/>
      <c r="E91" s="2955" t="s">
        <v>5843</v>
      </c>
      <c r="F91" s="2950" t="s">
        <v>5844</v>
      </c>
      <c r="G91" s="2937" t="s">
        <v>5499</v>
      </c>
      <c r="H91" s="2950" t="s">
        <v>5401</v>
      </c>
      <c r="I91" s="2946"/>
    </row>
    <row r="92" spans="1:9" ht="75" x14ac:dyDescent="0.25">
      <c r="A92" s="2938" t="s">
        <v>5660</v>
      </c>
      <c r="B92" s="2936" t="s">
        <v>5502</v>
      </c>
      <c r="C92" s="2966" t="s">
        <v>5503</v>
      </c>
      <c r="D92" s="2948"/>
      <c r="E92" s="2955" t="s">
        <v>5845</v>
      </c>
      <c r="F92" s="2950" t="s">
        <v>5846</v>
      </c>
      <c r="G92" s="2937" t="s">
        <v>5499</v>
      </c>
      <c r="H92" s="2950" t="s">
        <v>5401</v>
      </c>
      <c r="I92" s="2946"/>
    </row>
    <row r="93" spans="1:9" ht="45" x14ac:dyDescent="0.25">
      <c r="A93" s="2938" t="s">
        <v>5661</v>
      </c>
      <c r="B93" s="2936" t="s">
        <v>5504</v>
      </c>
      <c r="C93" s="2966" t="s">
        <v>5505</v>
      </c>
      <c r="D93" s="2948"/>
      <c r="E93" s="2955" t="s">
        <v>5795</v>
      </c>
      <c r="F93" s="2950" t="s">
        <v>5842</v>
      </c>
      <c r="G93" s="2937" t="s">
        <v>5506</v>
      </c>
      <c r="H93" s="2950" t="s">
        <v>5401</v>
      </c>
      <c r="I93" s="2946"/>
    </row>
    <row r="94" spans="1:9" ht="47.25" x14ac:dyDescent="0.25">
      <c r="A94" s="3770" t="s">
        <v>5662</v>
      </c>
      <c r="B94" s="3769" t="s">
        <v>5507</v>
      </c>
      <c r="C94" s="2966" t="s">
        <v>5543</v>
      </c>
      <c r="D94" s="3769"/>
      <c r="E94" s="3771" t="s">
        <v>5847</v>
      </c>
      <c r="F94" s="3757"/>
      <c r="G94" s="3741" t="s">
        <v>5499</v>
      </c>
      <c r="H94" s="3757" t="s">
        <v>5407</v>
      </c>
      <c r="I94" s="2946"/>
    </row>
    <row r="95" spans="1:9" ht="30" x14ac:dyDescent="0.25">
      <c r="A95" s="3770"/>
      <c r="B95" s="3769"/>
      <c r="C95" s="2994" t="s">
        <v>5544</v>
      </c>
      <c r="D95" s="3769"/>
      <c r="E95" s="3771"/>
      <c r="F95" s="3757"/>
      <c r="G95" s="3741"/>
      <c r="H95" s="3757"/>
      <c r="I95" s="2946"/>
    </row>
    <row r="96" spans="1:9" ht="47.25" x14ac:dyDescent="0.25">
      <c r="A96" s="3770"/>
      <c r="B96" s="3769"/>
      <c r="C96" s="2994" t="s">
        <v>5545</v>
      </c>
      <c r="D96" s="3769"/>
      <c r="E96" s="3771"/>
      <c r="F96" s="3757"/>
      <c r="G96" s="3741"/>
      <c r="H96" s="3757"/>
      <c r="I96" s="2946"/>
    </row>
    <row r="97" spans="1:9" ht="75" x14ac:dyDescent="0.25">
      <c r="A97" s="2938" t="s">
        <v>5663</v>
      </c>
      <c r="B97" s="2936"/>
      <c r="C97" s="2966" t="s">
        <v>5508</v>
      </c>
      <c r="D97" s="2936"/>
      <c r="E97" s="2939" t="s">
        <v>5848</v>
      </c>
      <c r="F97" s="2950" t="s">
        <v>5849</v>
      </c>
      <c r="G97" s="2937" t="s">
        <v>5850</v>
      </c>
      <c r="H97" s="2950" t="s">
        <v>5407</v>
      </c>
      <c r="I97" s="2946"/>
    </row>
    <row r="98" spans="1:9" x14ac:dyDescent="0.25">
      <c r="A98" s="2935" t="s">
        <v>3895</v>
      </c>
      <c r="B98" s="3745"/>
      <c r="C98" s="3745"/>
      <c r="D98" s="3745"/>
      <c r="E98" s="3745"/>
      <c r="F98" s="3745"/>
      <c r="G98" s="3745"/>
      <c r="H98" s="3745"/>
      <c r="I98" s="2946"/>
    </row>
    <row r="99" spans="1:9" ht="60" x14ac:dyDescent="0.25">
      <c r="A99" s="2935" t="s">
        <v>5664</v>
      </c>
      <c r="B99" s="2948" t="s">
        <v>5509</v>
      </c>
      <c r="C99" s="2947" t="s">
        <v>5510</v>
      </c>
      <c r="D99" s="2982"/>
      <c r="E99" s="2995">
        <v>0.9</v>
      </c>
      <c r="F99" s="2996">
        <v>0.95</v>
      </c>
      <c r="G99" s="2950" t="s">
        <v>5851</v>
      </c>
      <c r="H99" s="2938" t="s">
        <v>5401</v>
      </c>
      <c r="I99" s="2946"/>
    </row>
    <row r="100" spans="1:9" ht="30" x14ac:dyDescent="0.25">
      <c r="A100" s="2935" t="s">
        <v>5665</v>
      </c>
      <c r="B100" s="2948" t="s">
        <v>5511</v>
      </c>
      <c r="C100" s="2997" t="s">
        <v>5512</v>
      </c>
      <c r="D100" s="2982"/>
      <c r="E100" s="2995">
        <v>0.93</v>
      </c>
      <c r="F100" s="2996">
        <v>0.95</v>
      </c>
      <c r="G100" s="2950" t="s">
        <v>5851</v>
      </c>
      <c r="H100" s="2938" t="s">
        <v>5401</v>
      </c>
      <c r="I100" s="2946"/>
    </row>
    <row r="101" spans="1:9" x14ac:dyDescent="0.25">
      <c r="A101" s="2906" t="s">
        <v>5666</v>
      </c>
      <c r="B101" s="3750"/>
      <c r="C101" s="3750"/>
      <c r="D101" s="3750"/>
      <c r="E101" s="3750"/>
      <c r="F101" s="3750"/>
      <c r="G101" s="3750"/>
      <c r="H101" s="3750"/>
      <c r="I101" s="2946"/>
    </row>
    <row r="102" spans="1:9" ht="75" x14ac:dyDescent="0.25">
      <c r="A102" s="2938" t="s">
        <v>5667</v>
      </c>
      <c r="B102" s="2936" t="s">
        <v>5514</v>
      </c>
      <c r="C102" s="2998" t="s">
        <v>5852</v>
      </c>
      <c r="D102" s="2923" t="s">
        <v>5853</v>
      </c>
      <c r="E102" s="2920" t="s">
        <v>5854</v>
      </c>
      <c r="F102" s="2938" t="s">
        <v>5855</v>
      </c>
      <c r="G102" s="2938" t="s">
        <v>5856</v>
      </c>
      <c r="H102" s="2938" t="s">
        <v>5401</v>
      </c>
      <c r="I102" s="2946"/>
    </row>
    <row r="103" spans="1:9" ht="90" x14ac:dyDescent="0.25">
      <c r="A103" s="2938" t="s">
        <v>5668</v>
      </c>
      <c r="B103" s="2936" t="s">
        <v>5515</v>
      </c>
      <c r="C103" s="2998" t="s">
        <v>5857</v>
      </c>
      <c r="D103" s="2923" t="s">
        <v>5858</v>
      </c>
      <c r="E103" s="2920" t="s">
        <v>5859</v>
      </c>
      <c r="F103" s="2938" t="s">
        <v>5855</v>
      </c>
      <c r="G103" s="2938" t="s">
        <v>5860</v>
      </c>
      <c r="H103" s="2938" t="s">
        <v>5401</v>
      </c>
      <c r="I103" s="2946"/>
    </row>
    <row r="104" spans="1:9" ht="75" x14ac:dyDescent="0.25">
      <c r="A104" s="2935" t="s">
        <v>5669</v>
      </c>
      <c r="B104" s="2936" t="s">
        <v>5516</v>
      </c>
      <c r="C104" s="2998" t="s">
        <v>5857</v>
      </c>
      <c r="D104" s="2923" t="s">
        <v>5858</v>
      </c>
      <c r="E104" s="2920" t="s">
        <v>5859</v>
      </c>
      <c r="F104" s="2938" t="s">
        <v>5855</v>
      </c>
      <c r="G104" s="2938"/>
      <c r="H104" s="2938" t="s">
        <v>5861</v>
      </c>
      <c r="I104" s="2946"/>
    </row>
    <row r="105" spans="1:9" ht="60" x14ac:dyDescent="0.25">
      <c r="A105" s="2935" t="s">
        <v>5670</v>
      </c>
      <c r="B105" s="2936" t="s">
        <v>5517</v>
      </c>
      <c r="C105" s="2999" t="s">
        <v>5862</v>
      </c>
      <c r="D105" s="2934" t="s">
        <v>5863</v>
      </c>
      <c r="E105" s="2920" t="s">
        <v>5859</v>
      </c>
      <c r="F105" s="2935"/>
      <c r="G105" s="2935"/>
      <c r="H105" s="2935"/>
      <c r="I105" s="2946"/>
    </row>
    <row r="106" spans="1:9" ht="45" x14ac:dyDescent="0.25">
      <c r="A106" s="2935" t="s">
        <v>5671</v>
      </c>
      <c r="B106" s="2936" t="s">
        <v>5518</v>
      </c>
      <c r="C106" s="2999" t="s">
        <v>5407</v>
      </c>
      <c r="D106" s="2934"/>
      <c r="E106" s="2920" t="s">
        <v>5859</v>
      </c>
      <c r="F106" s="2935"/>
      <c r="G106" s="2935" t="s">
        <v>5864</v>
      </c>
      <c r="H106" s="2935" t="s">
        <v>5407</v>
      </c>
      <c r="I106" s="2946"/>
    </row>
    <row r="107" spans="1:9" ht="30" x14ac:dyDescent="0.25">
      <c r="A107" s="2935" t="s">
        <v>5672</v>
      </c>
      <c r="B107" s="2936" t="s">
        <v>5519</v>
      </c>
      <c r="C107" s="3756" t="s">
        <v>5865</v>
      </c>
      <c r="D107" s="3756"/>
      <c r="E107" s="3756"/>
      <c r="F107" s="3756"/>
      <c r="G107" s="3756"/>
      <c r="H107" s="3756"/>
      <c r="I107" s="2946"/>
    </row>
    <row r="108" spans="1:9" ht="75" x14ac:dyDescent="0.25">
      <c r="A108" s="2935" t="s">
        <v>5673</v>
      </c>
      <c r="B108" s="2936" t="s">
        <v>5520</v>
      </c>
      <c r="C108" s="3756" t="s">
        <v>5866</v>
      </c>
      <c r="D108" s="3756"/>
      <c r="E108" s="3756"/>
      <c r="F108" s="3756"/>
      <c r="G108" s="3756"/>
      <c r="H108" s="3756"/>
      <c r="I108" s="2946"/>
    </row>
    <row r="109" spans="1:9" ht="90" x14ac:dyDescent="0.25">
      <c r="A109" s="2935" t="s">
        <v>5674</v>
      </c>
      <c r="B109" s="2936" t="s">
        <v>5521</v>
      </c>
      <c r="C109" s="3756" t="s">
        <v>5867</v>
      </c>
      <c r="D109" s="3756"/>
      <c r="E109" s="3756"/>
      <c r="F109" s="3756"/>
      <c r="G109" s="3756"/>
      <c r="H109" s="3756"/>
      <c r="I109" s="2946"/>
    </row>
    <row r="110" spans="1:9" ht="90" x14ac:dyDescent="0.25">
      <c r="A110" s="2935" t="s">
        <v>5675</v>
      </c>
      <c r="B110" s="2936" t="s">
        <v>5522</v>
      </c>
      <c r="C110" s="3756" t="s">
        <v>5868</v>
      </c>
      <c r="D110" s="3756"/>
      <c r="E110" s="3756"/>
      <c r="F110" s="3756"/>
      <c r="G110" s="3756"/>
      <c r="H110" s="3756"/>
      <c r="I110" s="2946"/>
    </row>
    <row r="111" spans="1:9" ht="75" x14ac:dyDescent="0.25">
      <c r="A111" s="3756" t="s">
        <v>5676</v>
      </c>
      <c r="B111" s="2936" t="s">
        <v>5523</v>
      </c>
      <c r="C111" s="3779" t="s">
        <v>5869</v>
      </c>
      <c r="D111" s="3779"/>
      <c r="E111" s="3779"/>
      <c r="F111" s="3779"/>
      <c r="G111" s="3779"/>
      <c r="H111" s="3779"/>
      <c r="I111" s="2946"/>
    </row>
    <row r="112" spans="1:9" ht="45" x14ac:dyDescent="0.25">
      <c r="A112" s="3756"/>
      <c r="B112" s="2936" t="s">
        <v>5524</v>
      </c>
      <c r="C112" s="3756" t="s">
        <v>5870</v>
      </c>
      <c r="D112" s="3756"/>
      <c r="E112" s="3756"/>
      <c r="F112" s="3756"/>
      <c r="G112" s="3756"/>
      <c r="H112" s="3756"/>
      <c r="I112" s="2946"/>
    </row>
    <row r="113" spans="1:9" ht="30" x14ac:dyDescent="0.25">
      <c r="A113" s="2935" t="s">
        <v>5677</v>
      </c>
      <c r="B113" s="2936" t="s">
        <v>5525</v>
      </c>
      <c r="C113" s="3756" t="s">
        <v>5871</v>
      </c>
      <c r="D113" s="3756"/>
      <c r="E113" s="3756"/>
      <c r="F113" s="3756"/>
      <c r="G113" s="3756"/>
      <c r="H113" s="3756"/>
      <c r="I113" s="2946"/>
    </row>
    <row r="114" spans="1:9" ht="45" x14ac:dyDescent="0.25">
      <c r="A114" s="2935" t="s">
        <v>5678</v>
      </c>
      <c r="B114" s="2936" t="s">
        <v>5526</v>
      </c>
      <c r="C114" s="3756" t="s">
        <v>5872</v>
      </c>
      <c r="D114" s="3756"/>
      <c r="E114" s="3756"/>
      <c r="F114" s="3756"/>
      <c r="G114" s="3756"/>
      <c r="H114" s="3756"/>
      <c r="I114" s="2946"/>
    </row>
    <row r="115" spans="1:9" ht="30" x14ac:dyDescent="0.25">
      <c r="A115" s="2935" t="s">
        <v>5679</v>
      </c>
      <c r="B115" s="2936" t="s">
        <v>5527</v>
      </c>
      <c r="C115" s="3756" t="s">
        <v>5873</v>
      </c>
      <c r="D115" s="3756"/>
      <c r="E115" s="3756"/>
      <c r="F115" s="3756"/>
      <c r="G115" s="3756"/>
      <c r="H115" s="3756"/>
      <c r="I115" s="2946"/>
    </row>
    <row r="116" spans="1:9" x14ac:dyDescent="0.25">
      <c r="A116" s="3756" t="s">
        <v>5680</v>
      </c>
      <c r="B116" s="3769" t="s">
        <v>5535</v>
      </c>
      <c r="C116" s="2966" t="s">
        <v>5528</v>
      </c>
      <c r="D116" s="2934"/>
      <c r="E116" s="2921"/>
      <c r="F116" s="2935"/>
      <c r="G116" s="2935"/>
      <c r="H116" s="2935"/>
      <c r="I116" s="2946"/>
    </row>
    <row r="117" spans="1:9" x14ac:dyDescent="0.25">
      <c r="A117" s="3756"/>
      <c r="B117" s="3769"/>
      <c r="C117" s="2966" t="s">
        <v>5529</v>
      </c>
      <c r="D117" s="2934"/>
      <c r="E117" s="2921"/>
      <c r="F117" s="2935"/>
      <c r="G117" s="2935"/>
      <c r="H117" s="2935"/>
      <c r="I117" s="2946"/>
    </row>
    <row r="118" spans="1:9" x14ac:dyDescent="0.25">
      <c r="A118" s="3756"/>
      <c r="B118" s="3769"/>
      <c r="C118" s="2966" t="s">
        <v>5530</v>
      </c>
      <c r="D118" s="3756" t="s">
        <v>5874</v>
      </c>
      <c r="E118" s="3756"/>
      <c r="F118" s="3756"/>
      <c r="G118" s="3756"/>
      <c r="H118" s="3756"/>
      <c r="I118" s="2946"/>
    </row>
    <row r="119" spans="1:9" x14ac:dyDescent="0.25">
      <c r="A119" s="3756"/>
      <c r="B119" s="3769"/>
      <c r="C119" s="2966" t="s">
        <v>5531</v>
      </c>
      <c r="D119" s="2934"/>
      <c r="E119" s="2921"/>
      <c r="F119" s="2935"/>
      <c r="G119" s="2935"/>
      <c r="H119" s="2935"/>
      <c r="I119" s="2946"/>
    </row>
    <row r="120" spans="1:9" ht="45" x14ac:dyDescent="0.25">
      <c r="A120" s="3756" t="s">
        <v>5681</v>
      </c>
      <c r="B120" s="2936" t="s">
        <v>5532</v>
      </c>
      <c r="C120" s="3756" t="s">
        <v>5875</v>
      </c>
      <c r="D120" s="3756"/>
      <c r="E120" s="3756"/>
      <c r="F120" s="3756"/>
      <c r="G120" s="3756"/>
      <c r="H120" s="3756"/>
      <c r="I120" s="2946"/>
    </row>
    <row r="121" spans="1:9" x14ac:dyDescent="0.25">
      <c r="A121" s="3756"/>
      <c r="B121" s="2936" t="s">
        <v>5533</v>
      </c>
      <c r="C121" s="2999"/>
      <c r="D121" s="2934"/>
      <c r="E121" s="2921"/>
      <c r="F121" s="2935"/>
      <c r="G121" s="2935"/>
      <c r="H121" s="2935"/>
      <c r="I121" s="2946"/>
    </row>
    <row r="122" spans="1:9" ht="47.25" x14ac:dyDescent="0.25">
      <c r="A122" s="2935" t="s">
        <v>5682</v>
      </c>
      <c r="B122" s="2936" t="s">
        <v>5546</v>
      </c>
      <c r="C122" s="3756" t="s">
        <v>5876</v>
      </c>
      <c r="D122" s="3756"/>
      <c r="E122" s="3756"/>
      <c r="F122" s="3756"/>
      <c r="G122" s="3756"/>
      <c r="H122" s="3756"/>
      <c r="I122" s="2946"/>
    </row>
    <row r="123" spans="1:9" ht="30" x14ac:dyDescent="0.25">
      <c r="A123" s="2935" t="s">
        <v>5683</v>
      </c>
      <c r="B123" s="2936" t="s">
        <v>5534</v>
      </c>
      <c r="C123" s="3756" t="s">
        <v>5877</v>
      </c>
      <c r="D123" s="3756"/>
      <c r="E123" s="3756"/>
      <c r="F123" s="3756"/>
      <c r="G123" s="3756"/>
      <c r="H123" s="3756"/>
      <c r="I123" s="2946"/>
    </row>
    <row r="124" spans="1:9" x14ac:dyDescent="0.25">
      <c r="A124" s="2906" t="s">
        <v>152</v>
      </c>
      <c r="B124" s="2922"/>
      <c r="C124" s="3000"/>
      <c r="D124" s="2922"/>
      <c r="E124" s="2906"/>
      <c r="F124" s="2906"/>
      <c r="G124" s="2906"/>
      <c r="H124" s="2906"/>
      <c r="I124" s="2946"/>
    </row>
    <row r="125" spans="1:9" ht="45" x14ac:dyDescent="0.25">
      <c r="A125" s="2935" t="s">
        <v>5700</v>
      </c>
      <c r="B125" s="2934"/>
      <c r="C125" s="3001" t="s">
        <v>5701</v>
      </c>
      <c r="D125" s="3002" t="s">
        <v>5702</v>
      </c>
      <c r="E125" s="2956">
        <v>14424</v>
      </c>
      <c r="F125" s="2956" t="s">
        <v>5878</v>
      </c>
      <c r="G125" s="2956" t="s">
        <v>5879</v>
      </c>
      <c r="H125" s="2956" t="s">
        <v>5401</v>
      </c>
      <c r="I125" s="2946"/>
    </row>
    <row r="126" spans="1:9" ht="45" x14ac:dyDescent="0.25">
      <c r="A126" s="2935" t="s">
        <v>5703</v>
      </c>
      <c r="B126" s="2934"/>
      <c r="C126" s="3001" t="s">
        <v>5880</v>
      </c>
      <c r="D126" s="3002" t="s">
        <v>5881</v>
      </c>
      <c r="E126" s="2956">
        <v>10</v>
      </c>
      <c r="F126" s="2956">
        <v>37</v>
      </c>
      <c r="G126" s="2956" t="s">
        <v>5879</v>
      </c>
      <c r="H126" s="2956" t="s">
        <v>5401</v>
      </c>
      <c r="I126" s="2946"/>
    </row>
    <row r="127" spans="1:9" x14ac:dyDescent="0.25">
      <c r="A127" s="2906" t="s">
        <v>4730</v>
      </c>
      <c r="B127" s="2922"/>
      <c r="C127" s="3000"/>
      <c r="D127" s="2922"/>
      <c r="E127" s="2906"/>
      <c r="F127" s="2906"/>
      <c r="G127" s="2906"/>
      <c r="H127" s="2906"/>
      <c r="I127" s="2946"/>
    </row>
    <row r="128" spans="1:9" ht="45" x14ac:dyDescent="0.25">
      <c r="A128" s="2935" t="s">
        <v>5704</v>
      </c>
      <c r="B128" s="2923" t="s">
        <v>5705</v>
      </c>
      <c r="C128" s="3003" t="s">
        <v>5706</v>
      </c>
      <c r="D128" s="3004" t="s">
        <v>5707</v>
      </c>
      <c r="E128" s="2920" t="s">
        <v>5882</v>
      </c>
      <c r="F128" s="2938">
        <v>129</v>
      </c>
      <c r="G128" s="2938" t="s">
        <v>5397</v>
      </c>
      <c r="H128" s="2938" t="s">
        <v>5407</v>
      </c>
      <c r="I128" s="2946"/>
    </row>
    <row r="129" spans="1:9" ht="45" x14ac:dyDescent="0.25">
      <c r="A129" s="2935" t="s">
        <v>5708</v>
      </c>
      <c r="B129" s="2923" t="s">
        <v>5709</v>
      </c>
      <c r="C129" s="3003" t="s">
        <v>5710</v>
      </c>
      <c r="D129" s="3004" t="s">
        <v>5711</v>
      </c>
      <c r="E129" s="2920" t="s">
        <v>5883</v>
      </c>
      <c r="F129" s="2938">
        <v>2015</v>
      </c>
      <c r="G129" s="2938" t="s">
        <v>5397</v>
      </c>
      <c r="H129" s="2938" t="s">
        <v>5407</v>
      </c>
      <c r="I129" s="2946"/>
    </row>
    <row r="130" spans="1:9" ht="60" x14ac:dyDescent="0.25">
      <c r="A130" s="2935" t="s">
        <v>5712</v>
      </c>
      <c r="B130" s="2923" t="s">
        <v>5713</v>
      </c>
      <c r="C130" s="3003" t="s">
        <v>5714</v>
      </c>
      <c r="D130" s="3004" t="s">
        <v>5715</v>
      </c>
      <c r="E130" s="2920">
        <v>31</v>
      </c>
      <c r="F130" s="2938">
        <v>31</v>
      </c>
      <c r="G130" s="2938" t="s">
        <v>5884</v>
      </c>
      <c r="H130" s="2938" t="s">
        <v>5401</v>
      </c>
      <c r="I130" s="2946"/>
    </row>
    <row r="131" spans="1:9" x14ac:dyDescent="0.25">
      <c r="A131" s="2935"/>
      <c r="B131" s="2934"/>
      <c r="C131" s="3003"/>
      <c r="D131" s="3004"/>
      <c r="E131" s="2921"/>
      <c r="F131" s="2935"/>
      <c r="G131" s="2935"/>
      <c r="H131" s="2935"/>
      <c r="I131" s="2946"/>
    </row>
    <row r="132" spans="1:9" x14ac:dyDescent="0.25">
      <c r="A132" s="2906" t="s">
        <v>4607</v>
      </c>
      <c r="B132" s="2922"/>
      <c r="C132" s="3000"/>
      <c r="D132" s="2922"/>
      <c r="E132" s="2906"/>
      <c r="F132" s="2906"/>
      <c r="G132" s="2906"/>
      <c r="H132" s="2906"/>
      <c r="I132" s="2946"/>
    </row>
    <row r="133" spans="1:9" ht="30" x14ac:dyDescent="0.25">
      <c r="A133" s="2935" t="s">
        <v>5716</v>
      </c>
      <c r="B133" s="3778" t="s">
        <v>5717</v>
      </c>
      <c r="C133" s="3005" t="s">
        <v>5718</v>
      </c>
      <c r="D133" s="3006" t="s">
        <v>5719</v>
      </c>
      <c r="E133" s="2924">
        <v>32</v>
      </c>
      <c r="F133" s="2925">
        <v>32</v>
      </c>
      <c r="G133" s="2925" t="s">
        <v>5885</v>
      </c>
      <c r="H133" s="2925" t="s">
        <v>5886</v>
      </c>
      <c r="I133" s="2946"/>
    </row>
    <row r="134" spans="1:9" ht="30" x14ac:dyDescent="0.25">
      <c r="A134" s="2935" t="s">
        <v>5720</v>
      </c>
      <c r="B134" s="3778"/>
      <c r="C134" s="3005" t="s">
        <v>5721</v>
      </c>
      <c r="D134" s="3006" t="s">
        <v>5722</v>
      </c>
      <c r="E134" s="2924" t="s">
        <v>5887</v>
      </c>
      <c r="F134" s="2926" t="s">
        <v>5888</v>
      </c>
      <c r="G134" s="2925" t="s">
        <v>5885</v>
      </c>
      <c r="H134" s="2925" t="s">
        <v>5886</v>
      </c>
      <c r="I134" s="2946"/>
    </row>
    <row r="135" spans="1:9" ht="30" x14ac:dyDescent="0.25">
      <c r="A135" s="2935" t="s">
        <v>5723</v>
      </c>
      <c r="B135" s="3778"/>
      <c r="C135" s="3005" t="s">
        <v>5724</v>
      </c>
      <c r="D135" s="3006" t="s">
        <v>5725</v>
      </c>
      <c r="E135" s="2924">
        <v>2</v>
      </c>
      <c r="F135" s="2925">
        <v>2</v>
      </c>
      <c r="G135" s="2925" t="s">
        <v>5885</v>
      </c>
      <c r="H135" s="2925" t="s">
        <v>5886</v>
      </c>
      <c r="I135" s="2946"/>
    </row>
    <row r="136" spans="1:9" ht="30" x14ac:dyDescent="0.25">
      <c r="A136" s="2935" t="s">
        <v>5726</v>
      </c>
      <c r="B136" s="3778"/>
      <c r="C136" s="3005" t="s">
        <v>5727</v>
      </c>
      <c r="D136" s="3006" t="s">
        <v>5728</v>
      </c>
      <c r="E136" s="2924" t="s">
        <v>5889</v>
      </c>
      <c r="F136" s="2925">
        <v>150</v>
      </c>
      <c r="G136" s="2925" t="s">
        <v>5885</v>
      </c>
      <c r="H136" s="2925" t="s">
        <v>5886</v>
      </c>
      <c r="I136" s="2946"/>
    </row>
    <row r="137" spans="1:9" x14ac:dyDescent="0.25">
      <c r="A137" s="2906" t="s">
        <v>5729</v>
      </c>
      <c r="B137" s="2922"/>
      <c r="C137" s="3000"/>
      <c r="D137" s="2922"/>
      <c r="E137" s="2906"/>
      <c r="F137" s="2906"/>
      <c r="G137" s="2906"/>
      <c r="H137" s="2906"/>
      <c r="I137" s="2946"/>
    </row>
    <row r="138" spans="1:9" ht="30" x14ac:dyDescent="0.25">
      <c r="A138" s="2935" t="s">
        <v>5730</v>
      </c>
      <c r="B138" s="3776" t="s">
        <v>5731</v>
      </c>
      <c r="C138" s="3777" t="s">
        <v>5732</v>
      </c>
      <c r="D138" s="3004" t="s">
        <v>5733</v>
      </c>
      <c r="E138" s="2927">
        <v>7.0000000000000007E-2</v>
      </c>
      <c r="F138" s="2928">
        <v>0.05</v>
      </c>
      <c r="G138" s="2935" t="s">
        <v>5391</v>
      </c>
      <c r="H138" s="2925" t="s">
        <v>5886</v>
      </c>
      <c r="I138" s="2946"/>
    </row>
    <row r="139" spans="1:9" s="2929" customFormat="1" x14ac:dyDescent="0.25">
      <c r="A139" s="2935" t="s">
        <v>5734</v>
      </c>
      <c r="B139" s="3776"/>
      <c r="C139" s="3777"/>
      <c r="D139" s="3004" t="s">
        <v>5735</v>
      </c>
      <c r="E139" s="2927">
        <v>1</v>
      </c>
      <c r="F139" s="2935" t="s">
        <v>5795</v>
      </c>
      <c r="G139" s="2935" t="s">
        <v>5391</v>
      </c>
      <c r="H139" s="2925" t="s">
        <v>5886</v>
      </c>
      <c r="I139" s="2946"/>
    </row>
  </sheetData>
  <sheetProtection sheet="1" objects="1" scenarios="1"/>
  <mergeCells count="106">
    <mergeCell ref="I48:I50"/>
    <mergeCell ref="B138:B139"/>
    <mergeCell ref="C138:C139"/>
    <mergeCell ref="A120:A121"/>
    <mergeCell ref="C120:H120"/>
    <mergeCell ref="C122:H122"/>
    <mergeCell ref="C123:H123"/>
    <mergeCell ref="B133:B136"/>
    <mergeCell ref="C113:H113"/>
    <mergeCell ref="C114:H114"/>
    <mergeCell ref="C115:H115"/>
    <mergeCell ref="A116:A119"/>
    <mergeCell ref="B116:B119"/>
    <mergeCell ref="D118:H118"/>
    <mergeCell ref="C108:H108"/>
    <mergeCell ref="C109:H109"/>
    <mergeCell ref="C110:H110"/>
    <mergeCell ref="A111:A112"/>
    <mergeCell ref="C111:H111"/>
    <mergeCell ref="C112:H112"/>
    <mergeCell ref="G94:G96"/>
    <mergeCell ref="H94:H96"/>
    <mergeCell ref="B98:H98"/>
    <mergeCell ref="B101:H101"/>
    <mergeCell ref="C107:H107"/>
    <mergeCell ref="A94:A96"/>
    <mergeCell ref="B94:B96"/>
    <mergeCell ref="D94:D96"/>
    <mergeCell ref="E94:E96"/>
    <mergeCell ref="F94:F96"/>
    <mergeCell ref="A75:A77"/>
    <mergeCell ref="C78:D78"/>
    <mergeCell ref="I80:I82"/>
    <mergeCell ref="B85:B88"/>
    <mergeCell ref="B89:H89"/>
    <mergeCell ref="B71:H71"/>
    <mergeCell ref="B72:H72"/>
    <mergeCell ref="B73:B78"/>
    <mergeCell ref="G73:G78"/>
    <mergeCell ref="C74:D74"/>
    <mergeCell ref="B51:H51"/>
    <mergeCell ref="B55:H55"/>
    <mergeCell ref="B58:B61"/>
    <mergeCell ref="B62:H62"/>
    <mergeCell ref="B63:B70"/>
    <mergeCell ref="A48:A50"/>
    <mergeCell ref="C48:C50"/>
    <mergeCell ref="E48:E50"/>
    <mergeCell ref="G48:G50"/>
    <mergeCell ref="H48:H50"/>
    <mergeCell ref="A45:A47"/>
    <mergeCell ref="C45:C47"/>
    <mergeCell ref="G45:G47"/>
    <mergeCell ref="H45:H47"/>
    <mergeCell ref="B41:G41"/>
    <mergeCell ref="A42:A44"/>
    <mergeCell ref="C42:C44"/>
    <mergeCell ref="G42:G44"/>
    <mergeCell ref="H42:H44"/>
    <mergeCell ref="A38:A40"/>
    <mergeCell ref="C38:C40"/>
    <mergeCell ref="E38:E40"/>
    <mergeCell ref="F38:F40"/>
    <mergeCell ref="G38:G40"/>
    <mergeCell ref="G35:G37"/>
    <mergeCell ref="B25:H25"/>
    <mergeCell ref="A26:A28"/>
    <mergeCell ref="B26:B40"/>
    <mergeCell ref="C26:C28"/>
    <mergeCell ref="F26:F28"/>
    <mergeCell ref="G26:G28"/>
    <mergeCell ref="H26:H28"/>
    <mergeCell ref="A29:A31"/>
    <mergeCell ref="C29:C31"/>
    <mergeCell ref="F29:F31"/>
    <mergeCell ref="G29:G31"/>
    <mergeCell ref="H29:H31"/>
    <mergeCell ref="A32:A34"/>
    <mergeCell ref="C32:C34"/>
    <mergeCell ref="F32:F34"/>
    <mergeCell ref="G32:G34"/>
    <mergeCell ref="H38:H40"/>
    <mergeCell ref="C1:I1"/>
    <mergeCell ref="A16:A21"/>
    <mergeCell ref="B16:B24"/>
    <mergeCell ref="C17:C19"/>
    <mergeCell ref="C20:C21"/>
    <mergeCell ref="A22:A23"/>
    <mergeCell ref="C22:C23"/>
    <mergeCell ref="B79:H79"/>
    <mergeCell ref="B84:H84"/>
    <mergeCell ref="B80:B83"/>
    <mergeCell ref="B57:H57"/>
    <mergeCell ref="C73:D73"/>
    <mergeCell ref="H32:H34"/>
    <mergeCell ref="H35:H37"/>
    <mergeCell ref="A1:A2"/>
    <mergeCell ref="B4:B9"/>
    <mergeCell ref="B3:H3"/>
    <mergeCell ref="B15:H15"/>
    <mergeCell ref="B11:B14"/>
    <mergeCell ref="B1:B2"/>
    <mergeCell ref="A35:A37"/>
    <mergeCell ref="C35:C37"/>
    <mergeCell ref="E35:E37"/>
    <mergeCell ref="F35:F37"/>
  </mergeCells>
  <phoneticPr fontId="57"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R59"/>
  <sheetViews>
    <sheetView topLeftCell="A37" zoomScale="80" zoomScaleNormal="80" workbookViewId="0">
      <selection activeCell="M58" sqref="M58"/>
    </sheetView>
  </sheetViews>
  <sheetFormatPr defaultRowHeight="12.75" x14ac:dyDescent="0.2"/>
  <cols>
    <col min="1" max="1" width="25.5703125" bestFit="1" customWidth="1"/>
    <col min="2" max="2" width="60.5703125" style="671" bestFit="1" customWidth="1"/>
    <col min="3" max="3" width="16.5703125" style="658" bestFit="1" customWidth="1"/>
    <col min="4" max="4" width="15.42578125" style="658" bestFit="1" customWidth="1"/>
    <col min="5" max="6" width="15.85546875" bestFit="1" customWidth="1"/>
    <col min="7" max="7" width="14" bestFit="1" customWidth="1"/>
    <col min="8" max="8" width="13.7109375" bestFit="1" customWidth="1"/>
    <col min="9" max="9" width="14" bestFit="1" customWidth="1"/>
    <col min="10" max="10" width="13.7109375" bestFit="1" customWidth="1"/>
    <col min="11" max="11" width="14" bestFit="1" customWidth="1"/>
    <col min="12" max="12" width="13.7109375" bestFit="1" customWidth="1"/>
    <col min="13" max="13" width="14" bestFit="1" customWidth="1"/>
    <col min="14" max="14" width="13.7109375" bestFit="1" customWidth="1"/>
    <col min="15" max="15" width="14" bestFit="1" customWidth="1"/>
    <col min="16" max="16" width="13.7109375" bestFit="1" customWidth="1"/>
    <col min="17" max="17" width="14.85546875" bestFit="1" customWidth="1"/>
    <col min="18" max="18" width="14.42578125" bestFit="1" customWidth="1"/>
  </cols>
  <sheetData>
    <row r="1" spans="1:18" ht="21" x14ac:dyDescent="0.2">
      <c r="A1" s="3784" t="s">
        <v>4708</v>
      </c>
      <c r="B1" s="3784"/>
      <c r="C1" s="3784"/>
      <c r="D1" s="3784"/>
      <c r="E1" s="3784"/>
      <c r="F1" s="3784"/>
      <c r="G1" s="3784"/>
      <c r="H1" s="3784"/>
      <c r="I1" s="3784"/>
      <c r="J1" s="3784"/>
      <c r="K1" s="3784"/>
      <c r="L1" s="3784"/>
      <c r="M1" s="3784"/>
      <c r="N1" s="3784"/>
      <c r="O1" s="3784"/>
      <c r="P1" s="3784"/>
      <c r="Q1" s="3784"/>
      <c r="R1" s="3784"/>
    </row>
    <row r="2" spans="1:18" ht="15" x14ac:dyDescent="0.2">
      <c r="A2" s="283" t="str">
        <f>HYPERLINK("#Index!B1", "Index Pg")</f>
        <v>Index Pg</v>
      </c>
      <c r="B2" s="670" t="str">
        <f>HYPERLINK("#'Budget Summary II'!A2:B2", "Budget Summary II")</f>
        <v>Budget Summary II</v>
      </c>
      <c r="C2" s="3736" t="s">
        <v>4719</v>
      </c>
      <c r="D2" s="3736"/>
      <c r="E2" s="3736" t="s">
        <v>5</v>
      </c>
      <c r="F2" s="3736"/>
      <c r="G2" s="3736" t="s">
        <v>4687</v>
      </c>
      <c r="H2" s="3736"/>
      <c r="I2" s="3736" t="s">
        <v>4688</v>
      </c>
      <c r="J2" s="3736"/>
      <c r="K2" s="3736" t="s">
        <v>4698</v>
      </c>
      <c r="L2" s="3736"/>
      <c r="M2" s="3736" t="s">
        <v>4699</v>
      </c>
      <c r="N2" s="3736"/>
      <c r="O2" s="3736" t="s">
        <v>4689</v>
      </c>
      <c r="P2" s="3736"/>
      <c r="Q2" s="3736" t="s">
        <v>2348</v>
      </c>
      <c r="R2" s="3736"/>
    </row>
    <row r="3" spans="1:18" ht="15" x14ac:dyDescent="0.2">
      <c r="A3" s="275"/>
      <c r="B3" s="275"/>
      <c r="C3" s="289" t="s">
        <v>4609</v>
      </c>
      <c r="D3" s="289" t="s">
        <v>4608</v>
      </c>
      <c r="E3" s="289" t="s">
        <v>4609</v>
      </c>
      <c r="F3" s="289" t="s">
        <v>4608</v>
      </c>
      <c r="G3" s="289" t="s">
        <v>4609</v>
      </c>
      <c r="H3" s="289" t="s">
        <v>4608</v>
      </c>
      <c r="I3" s="289" t="s">
        <v>4609</v>
      </c>
      <c r="J3" s="289" t="s">
        <v>4608</v>
      </c>
      <c r="K3" s="289" t="s">
        <v>4609</v>
      </c>
      <c r="L3" s="289" t="s">
        <v>4608</v>
      </c>
      <c r="M3" s="289" t="s">
        <v>4609</v>
      </c>
      <c r="N3" s="289" t="s">
        <v>4608</v>
      </c>
      <c r="O3" s="289" t="s">
        <v>4609</v>
      </c>
      <c r="P3" s="289" t="s">
        <v>4608</v>
      </c>
      <c r="Q3" s="289" t="s">
        <v>4609</v>
      </c>
      <c r="R3" s="289" t="s">
        <v>4608</v>
      </c>
    </row>
    <row r="4" spans="1:18" ht="15" x14ac:dyDescent="0.2">
      <c r="A4" s="3781" t="s">
        <v>4719</v>
      </c>
      <c r="B4" s="275" t="s">
        <v>4736</v>
      </c>
      <c r="C4" s="746">
        <f>SUM(C6:C56)</f>
        <v>8832.2147800000002</v>
      </c>
      <c r="D4" s="746">
        <f t="shared" ref="D4:R4" si="0">SUM(D6:D56)</f>
        <v>0</v>
      </c>
      <c r="E4" s="746">
        <f t="shared" si="0"/>
        <v>2099.7233999999999</v>
      </c>
      <c r="F4" s="746">
        <f t="shared" si="0"/>
        <v>0</v>
      </c>
      <c r="G4" s="746">
        <f t="shared" si="0"/>
        <v>0</v>
      </c>
      <c r="H4" s="746">
        <f t="shared" si="0"/>
        <v>0</v>
      </c>
      <c r="I4" s="746">
        <f t="shared" si="0"/>
        <v>6139.0083799999993</v>
      </c>
      <c r="J4" s="746">
        <f t="shared" si="0"/>
        <v>0</v>
      </c>
      <c r="K4" s="746">
        <f t="shared" si="0"/>
        <v>536.48300000000006</v>
      </c>
      <c r="L4" s="746">
        <f t="shared" si="0"/>
        <v>0</v>
      </c>
      <c r="M4" s="746">
        <f t="shared" si="0"/>
        <v>57</v>
      </c>
      <c r="N4" s="746">
        <f t="shared" si="0"/>
        <v>0</v>
      </c>
      <c r="O4" s="746">
        <f t="shared" si="0"/>
        <v>0</v>
      </c>
      <c r="P4" s="746">
        <f t="shared" si="0"/>
        <v>0</v>
      </c>
      <c r="Q4" s="746">
        <f t="shared" si="0"/>
        <v>0</v>
      </c>
      <c r="R4" s="746">
        <f t="shared" si="0"/>
        <v>0</v>
      </c>
    </row>
    <row r="5" spans="1:18" ht="15" x14ac:dyDescent="0.2">
      <c r="A5" s="3782"/>
      <c r="B5" s="275" t="s">
        <v>4737</v>
      </c>
      <c r="C5" s="746">
        <f>SUM(C57:C59)</f>
        <v>3539.0526200000004</v>
      </c>
      <c r="D5" s="746">
        <f t="shared" ref="D5:R5" si="1">SUM(D57:D59)</f>
        <v>0</v>
      </c>
      <c r="E5" s="746">
        <f t="shared" si="1"/>
        <v>134</v>
      </c>
      <c r="F5" s="746">
        <f t="shared" si="1"/>
        <v>0</v>
      </c>
      <c r="G5" s="746">
        <f t="shared" si="1"/>
        <v>0</v>
      </c>
      <c r="H5" s="746">
        <f t="shared" si="1"/>
        <v>0</v>
      </c>
      <c r="I5" s="746">
        <f t="shared" si="1"/>
        <v>0</v>
      </c>
      <c r="J5" s="746">
        <f t="shared" si="1"/>
        <v>0</v>
      </c>
      <c r="K5" s="746">
        <f t="shared" si="1"/>
        <v>2794.10862</v>
      </c>
      <c r="L5" s="746">
        <f t="shared" si="1"/>
        <v>0</v>
      </c>
      <c r="M5" s="746">
        <f t="shared" si="1"/>
        <v>207.6</v>
      </c>
      <c r="N5" s="746">
        <f t="shared" si="1"/>
        <v>0</v>
      </c>
      <c r="O5" s="746">
        <f t="shared" si="1"/>
        <v>403.34400000000005</v>
      </c>
      <c r="P5" s="746">
        <f t="shared" si="1"/>
        <v>0</v>
      </c>
      <c r="Q5" s="746">
        <f t="shared" si="1"/>
        <v>0</v>
      </c>
      <c r="R5" s="746">
        <f t="shared" si="1"/>
        <v>0</v>
      </c>
    </row>
    <row r="6" spans="1:18" ht="14.45" customHeight="1" x14ac:dyDescent="0.2">
      <c r="A6" s="3783" t="s">
        <v>4357</v>
      </c>
      <c r="B6" s="655" t="s">
        <v>4686</v>
      </c>
      <c r="C6" s="659">
        <f>E6+G6+I6+K6+M6+O6+Q6</f>
        <v>2024.9999</v>
      </c>
      <c r="D6" s="659">
        <f>F6+H6+J6+L6+N6+P6+R6</f>
        <v>0</v>
      </c>
      <c r="E6" s="266">
        <f>'Budget Summary I'!E8+'Budget Summary I'!G8+'Budget Summary I'!I8+'Budget Summary I'!K8+'Budget Summary I'!M8+'Budget Summary I'!O8+'Budget Summary I'!Q8+'Budget Summary I'!S8</f>
        <v>0</v>
      </c>
      <c r="F6" s="266">
        <f>'Budget Summary I'!F8+'Budget Summary I'!H8+'Budget Summary I'!J8+'Budget Summary I'!L8+'Budget Summary I'!N8+'Budget Summary I'!P8+'Budget Summary I'!R8+'Budget Summary I'!T8</f>
        <v>0</v>
      </c>
      <c r="G6" s="267">
        <f>'Budget Summary I'!U8+'Budget Summary I'!W8</f>
        <v>0</v>
      </c>
      <c r="H6" s="267">
        <f>'Budget Summary I'!V8+'Budget Summary I'!X8</f>
        <v>0</v>
      </c>
      <c r="I6" s="266">
        <f>'Budget Summary I'!Y8+'Budget Summary I'!AA8</f>
        <v>2024.9999</v>
      </c>
      <c r="J6" s="266">
        <f>'Budget Summary I'!Z8+'Budget Summary I'!AB8</f>
        <v>0</v>
      </c>
      <c r="K6" s="267">
        <f>'Budget Summary I'!AC8+'Budget Summary I'!AE8</f>
        <v>0</v>
      </c>
      <c r="L6" s="267">
        <f>'Budget Summary I'!AD8+'Budget Summary I'!AF8</f>
        <v>0</v>
      </c>
      <c r="M6" s="267">
        <f>'Budget Summary I'!AG8</f>
        <v>0</v>
      </c>
      <c r="N6" s="267">
        <f>'Budget Summary I'!AH8</f>
        <v>0</v>
      </c>
      <c r="O6" s="267">
        <f>'Budget Summary I'!AI8+'Budget Summary I'!AK8</f>
        <v>0</v>
      </c>
      <c r="P6" s="267">
        <f>'Budget Summary I'!AJ8+'Budget Summary I'!AL8</f>
        <v>0</v>
      </c>
      <c r="Q6" s="267">
        <f>'Budget Summary I'!AM8</f>
        <v>0</v>
      </c>
      <c r="R6" s="267">
        <f>'Budget Summary I'!AN8</f>
        <v>0</v>
      </c>
    </row>
    <row r="7" spans="1:18" ht="15" x14ac:dyDescent="0.2">
      <c r="A7" s="3783"/>
      <c r="B7" s="655" t="s">
        <v>4070</v>
      </c>
      <c r="C7" s="659">
        <f t="shared" ref="C7:D59" si="2">E7+G7+I7+K7+M7+O7+Q7</f>
        <v>21.152999999999999</v>
      </c>
      <c r="D7" s="659">
        <f t="shared" si="2"/>
        <v>0</v>
      </c>
      <c r="E7" s="266">
        <f>'Budget Summary I'!E9+'Budget Summary I'!G9+'Budget Summary I'!I9+'Budget Summary I'!K9+'Budget Summary I'!M9+'Budget Summary I'!O9+'Budget Summary I'!Q9+'Budget Summary I'!S9</f>
        <v>0</v>
      </c>
      <c r="F7" s="266">
        <f>'Budget Summary I'!F9+'Budget Summary I'!H9+'Budget Summary I'!J9+'Budget Summary I'!L9+'Budget Summary I'!N9+'Budget Summary I'!P9+'Budget Summary I'!R9+'Budget Summary I'!T9</f>
        <v>0</v>
      </c>
      <c r="G7" s="267">
        <f>'Budget Summary I'!U9+'Budget Summary I'!W9</f>
        <v>0</v>
      </c>
      <c r="H7" s="267">
        <f>'Budget Summary I'!V9+'Budget Summary I'!X9</f>
        <v>0</v>
      </c>
      <c r="I7" s="266">
        <f>'Budget Summary I'!Y9+'Budget Summary I'!AA9</f>
        <v>12</v>
      </c>
      <c r="J7" s="266">
        <f>'Budget Summary I'!Z9+'Budget Summary I'!AB9</f>
        <v>0</v>
      </c>
      <c r="K7" s="267">
        <f>'Budget Summary I'!AC9+'Budget Summary I'!AE9</f>
        <v>9.1529999999999987</v>
      </c>
      <c r="L7" s="267">
        <f>'Budget Summary I'!AD9+'Budget Summary I'!AF9</f>
        <v>0</v>
      </c>
      <c r="M7" s="267">
        <f>'Budget Summary I'!AG9</f>
        <v>0</v>
      </c>
      <c r="N7" s="267">
        <f>'Budget Summary I'!AH9</f>
        <v>0</v>
      </c>
      <c r="O7" s="267">
        <f>'Budget Summary I'!AI9+'Budget Summary I'!AK9</f>
        <v>0</v>
      </c>
      <c r="P7" s="267">
        <f>'Budget Summary I'!AJ9+'Budget Summary I'!AL9</f>
        <v>0</v>
      </c>
      <c r="Q7" s="267">
        <f>'Budget Summary I'!AM9</f>
        <v>0</v>
      </c>
      <c r="R7" s="267">
        <f>'Budget Summary I'!AN9</f>
        <v>0</v>
      </c>
    </row>
    <row r="8" spans="1:18" ht="15" x14ac:dyDescent="0.2">
      <c r="A8" s="3783"/>
      <c r="B8" s="655" t="s">
        <v>2948</v>
      </c>
      <c r="C8" s="659">
        <f t="shared" si="2"/>
        <v>0</v>
      </c>
      <c r="D8" s="659">
        <f t="shared" si="2"/>
        <v>0</v>
      </c>
      <c r="E8" s="266">
        <f>'Budget Summary I'!E10+'Budget Summary I'!G10+'Budget Summary I'!I10+'Budget Summary I'!K10+'Budget Summary I'!M10+'Budget Summary I'!O10+'Budget Summary I'!Q10+'Budget Summary I'!S10</f>
        <v>0</v>
      </c>
      <c r="F8" s="266">
        <f>'Budget Summary I'!F10+'Budget Summary I'!H10+'Budget Summary I'!J10+'Budget Summary I'!L10+'Budget Summary I'!N10+'Budget Summary I'!P10+'Budget Summary I'!R10+'Budget Summary I'!T10</f>
        <v>0</v>
      </c>
      <c r="G8" s="267">
        <f>'Budget Summary I'!U10+'Budget Summary I'!W10</f>
        <v>0</v>
      </c>
      <c r="H8" s="267">
        <f>'Budget Summary I'!V10+'Budget Summary I'!X10</f>
        <v>0</v>
      </c>
      <c r="I8" s="266">
        <f>'Budget Summary I'!Y10+'Budget Summary I'!AA10</f>
        <v>0</v>
      </c>
      <c r="J8" s="266">
        <f>'Budget Summary I'!Z10+'Budget Summary I'!AB10</f>
        <v>0</v>
      </c>
      <c r="K8" s="267">
        <f>'Budget Summary I'!AC10+'Budget Summary I'!AE10</f>
        <v>0</v>
      </c>
      <c r="L8" s="267">
        <f>'Budget Summary I'!AD10+'Budget Summary I'!AF10</f>
        <v>0</v>
      </c>
      <c r="M8" s="267">
        <f>'Budget Summary I'!AG10</f>
        <v>0</v>
      </c>
      <c r="N8" s="267">
        <f>'Budget Summary I'!AH10</f>
        <v>0</v>
      </c>
      <c r="O8" s="267">
        <f>'Budget Summary I'!AI10+'Budget Summary I'!AK10</f>
        <v>0</v>
      </c>
      <c r="P8" s="267">
        <f>'Budget Summary I'!AJ10+'Budget Summary I'!AL10</f>
        <v>0</v>
      </c>
      <c r="Q8" s="267">
        <f>'Budget Summary I'!AM10</f>
        <v>0</v>
      </c>
      <c r="R8" s="267">
        <f>'Budget Summary I'!AN10</f>
        <v>0</v>
      </c>
    </row>
    <row r="9" spans="1:18" ht="15" x14ac:dyDescent="0.2">
      <c r="A9" s="3783"/>
      <c r="B9" s="655" t="s">
        <v>4078</v>
      </c>
      <c r="C9" s="659">
        <f t="shared" si="2"/>
        <v>0</v>
      </c>
      <c r="D9" s="659">
        <f t="shared" si="2"/>
        <v>0</v>
      </c>
      <c r="E9" s="266">
        <f>'Budget Summary I'!E11+'Budget Summary I'!G11+'Budget Summary I'!I11+'Budget Summary I'!K11+'Budget Summary I'!M11+'Budget Summary I'!O11+'Budget Summary I'!Q11+'Budget Summary I'!S11</f>
        <v>0</v>
      </c>
      <c r="F9" s="266">
        <f>'Budget Summary I'!F11+'Budget Summary I'!H11+'Budget Summary I'!J11+'Budget Summary I'!L11+'Budget Summary I'!N11+'Budget Summary I'!P11+'Budget Summary I'!R11+'Budget Summary I'!T11</f>
        <v>0</v>
      </c>
      <c r="G9" s="267">
        <f>'Budget Summary I'!U11+'Budget Summary I'!W11</f>
        <v>0</v>
      </c>
      <c r="H9" s="267">
        <f>'Budget Summary I'!V11+'Budget Summary I'!X11</f>
        <v>0</v>
      </c>
      <c r="I9" s="266">
        <f>'Budget Summary I'!Y11+'Budget Summary I'!AA11</f>
        <v>0</v>
      </c>
      <c r="J9" s="266">
        <f>'Budget Summary I'!Z11+'Budget Summary I'!AB11</f>
        <v>0</v>
      </c>
      <c r="K9" s="267">
        <f>'Budget Summary I'!AC11+'Budget Summary I'!AE11</f>
        <v>0</v>
      </c>
      <c r="L9" s="267">
        <f>'Budget Summary I'!AD11+'Budget Summary I'!AF11</f>
        <v>0</v>
      </c>
      <c r="M9" s="267">
        <f>'Budget Summary I'!AG11</f>
        <v>0</v>
      </c>
      <c r="N9" s="267">
        <f>'Budget Summary I'!AH11</f>
        <v>0</v>
      </c>
      <c r="O9" s="267">
        <f>'Budget Summary I'!AI11+'Budget Summary I'!AK11</f>
        <v>0</v>
      </c>
      <c r="P9" s="267">
        <f>'Budget Summary I'!AJ11+'Budget Summary I'!AL11</f>
        <v>0</v>
      </c>
      <c r="Q9" s="267">
        <f>'Budget Summary I'!AM11</f>
        <v>0</v>
      </c>
      <c r="R9" s="267">
        <f>'Budget Summary I'!AN11</f>
        <v>0</v>
      </c>
    </row>
    <row r="10" spans="1:18" ht="15" x14ac:dyDescent="0.2">
      <c r="A10" s="3783"/>
      <c r="B10" s="655" t="s">
        <v>96</v>
      </c>
      <c r="C10" s="659">
        <f t="shared" si="2"/>
        <v>241.5</v>
      </c>
      <c r="D10" s="659">
        <f t="shared" si="2"/>
        <v>0</v>
      </c>
      <c r="E10" s="266">
        <f>'Budget Summary I'!E12+'Budget Summary I'!G12+'Budget Summary I'!I12+'Budget Summary I'!K12+'Budget Summary I'!M12+'Budget Summary I'!O12+'Budget Summary I'!Q12+'Budget Summary I'!S12</f>
        <v>241.5</v>
      </c>
      <c r="F10" s="266">
        <f>'Budget Summary I'!F12+'Budget Summary I'!H12+'Budget Summary I'!J12+'Budget Summary I'!L12+'Budget Summary I'!N12+'Budget Summary I'!P12+'Budget Summary I'!R12+'Budget Summary I'!T12</f>
        <v>0</v>
      </c>
      <c r="G10" s="267">
        <f>'Budget Summary I'!U12+'Budget Summary I'!W12</f>
        <v>0</v>
      </c>
      <c r="H10" s="267">
        <f>'Budget Summary I'!V12+'Budget Summary I'!X12</f>
        <v>0</v>
      </c>
      <c r="I10" s="266">
        <f>'Budget Summary I'!Y12+'Budget Summary I'!AA12</f>
        <v>0</v>
      </c>
      <c r="J10" s="266">
        <f>'Budget Summary I'!Z12+'Budget Summary I'!AB12</f>
        <v>0</v>
      </c>
      <c r="K10" s="267">
        <f>'Budget Summary I'!AC12+'Budget Summary I'!AE12</f>
        <v>0</v>
      </c>
      <c r="L10" s="267">
        <f>'Budget Summary I'!AD12+'Budget Summary I'!AF12</f>
        <v>0</v>
      </c>
      <c r="M10" s="267">
        <f>'Budget Summary I'!AG12</f>
        <v>0</v>
      </c>
      <c r="N10" s="267">
        <f>'Budget Summary I'!AH12</f>
        <v>0</v>
      </c>
      <c r="O10" s="267">
        <f>'Budget Summary I'!AI12+'Budget Summary I'!AK12</f>
        <v>0</v>
      </c>
      <c r="P10" s="267">
        <f>'Budget Summary I'!AJ12+'Budget Summary I'!AL12</f>
        <v>0</v>
      </c>
      <c r="Q10" s="267">
        <f>'Budget Summary I'!AM12</f>
        <v>0</v>
      </c>
      <c r="R10" s="267">
        <f>'Budget Summary I'!AN12</f>
        <v>0</v>
      </c>
    </row>
    <row r="11" spans="1:18" ht="15" x14ac:dyDescent="0.2">
      <c r="A11" s="3783"/>
      <c r="B11" s="655" t="s">
        <v>4071</v>
      </c>
      <c r="C11" s="659">
        <f t="shared" si="2"/>
        <v>0</v>
      </c>
      <c r="D11" s="659">
        <f>F11+H11+J11+L11+N11+P11+R11</f>
        <v>0</v>
      </c>
      <c r="E11" s="266">
        <f>'Budget Summary I'!E13+'Budget Summary I'!G13+'Budget Summary I'!I13+'Budget Summary I'!K13+'Budget Summary I'!M13+'Budget Summary I'!O13+'Budget Summary I'!Q13+'Budget Summary I'!S13</f>
        <v>0</v>
      </c>
      <c r="F11" s="266">
        <f>'Budget Summary I'!F13+'Budget Summary I'!H13+'Budget Summary I'!J13+'Budget Summary I'!L13+'Budget Summary I'!N13+'Budget Summary I'!P13+'Budget Summary I'!R13+'Budget Summary I'!T13</f>
        <v>0</v>
      </c>
      <c r="G11" s="267">
        <f>'Budget Summary I'!U13+'Budget Summary I'!W13</f>
        <v>0</v>
      </c>
      <c r="H11" s="267">
        <f>'Budget Summary I'!V13+'Budget Summary I'!X13</f>
        <v>0</v>
      </c>
      <c r="I11" s="266">
        <f>'Budget Summary I'!Y13+'Budget Summary I'!AA13</f>
        <v>0</v>
      </c>
      <c r="J11" s="266">
        <f>'Budget Summary I'!Z13+'Budget Summary I'!AB13</f>
        <v>0</v>
      </c>
      <c r="K11" s="267">
        <f>'Budget Summary I'!AC13+'Budget Summary I'!AE13</f>
        <v>0</v>
      </c>
      <c r="L11" s="267">
        <f>'Budget Summary I'!AD13+'Budget Summary I'!AF13</f>
        <v>0</v>
      </c>
      <c r="M11" s="267">
        <f>'Budget Summary I'!AG13</f>
        <v>0</v>
      </c>
      <c r="N11" s="267">
        <f>'Budget Summary I'!AH13</f>
        <v>0</v>
      </c>
      <c r="O11" s="267">
        <f>'Budget Summary I'!AI13+'Budget Summary I'!AK13</f>
        <v>0</v>
      </c>
      <c r="P11" s="267">
        <f>'Budget Summary I'!AJ13+'Budget Summary I'!AL13</f>
        <v>0</v>
      </c>
      <c r="Q11" s="267">
        <f>'Budget Summary I'!AM13</f>
        <v>0</v>
      </c>
      <c r="R11" s="267">
        <f>'Budget Summary I'!AN13</f>
        <v>0</v>
      </c>
    </row>
    <row r="12" spans="1:18" ht="15" x14ac:dyDescent="0.2">
      <c r="A12" s="3783"/>
      <c r="B12" s="655" t="s">
        <v>4072</v>
      </c>
      <c r="C12" s="659">
        <f t="shared" si="2"/>
        <v>0</v>
      </c>
      <c r="D12" s="659">
        <f t="shared" si="2"/>
        <v>0</v>
      </c>
      <c r="E12" s="266">
        <f>'Budget Summary I'!E14+'Budget Summary I'!G14+'Budget Summary I'!I14+'Budget Summary I'!K14+'Budget Summary I'!M14+'Budget Summary I'!O14+'Budget Summary I'!Q14+'Budget Summary I'!S14</f>
        <v>0</v>
      </c>
      <c r="F12" s="266">
        <f>'Budget Summary I'!F14+'Budget Summary I'!H14+'Budget Summary I'!J14+'Budget Summary I'!L14+'Budget Summary I'!N14+'Budget Summary I'!P14+'Budget Summary I'!R14+'Budget Summary I'!T14</f>
        <v>0</v>
      </c>
      <c r="G12" s="267">
        <f>'Budget Summary I'!U14+'Budget Summary I'!W14</f>
        <v>0</v>
      </c>
      <c r="H12" s="267">
        <f>'Budget Summary I'!V14+'Budget Summary I'!X14</f>
        <v>0</v>
      </c>
      <c r="I12" s="266">
        <f>'Budget Summary I'!Y14+'Budget Summary I'!AA14</f>
        <v>0</v>
      </c>
      <c r="J12" s="266">
        <f>'Budget Summary I'!Z14+'Budget Summary I'!AB14</f>
        <v>0</v>
      </c>
      <c r="K12" s="267">
        <f>'Budget Summary I'!AC14+'Budget Summary I'!AE14</f>
        <v>0</v>
      </c>
      <c r="L12" s="267">
        <f>'Budget Summary I'!AD14+'Budget Summary I'!AF14</f>
        <v>0</v>
      </c>
      <c r="M12" s="267">
        <f>'Budget Summary I'!AG14</f>
        <v>0</v>
      </c>
      <c r="N12" s="267">
        <f>'Budget Summary I'!AH14</f>
        <v>0</v>
      </c>
      <c r="O12" s="267">
        <f>'Budget Summary I'!AI14+'Budget Summary I'!AK14</f>
        <v>0</v>
      </c>
      <c r="P12" s="267">
        <f>'Budget Summary I'!AJ14+'Budget Summary I'!AL14</f>
        <v>0</v>
      </c>
      <c r="Q12" s="267">
        <f>'Budget Summary I'!AM14</f>
        <v>0</v>
      </c>
      <c r="R12" s="267">
        <f>'Budget Summary I'!AN14</f>
        <v>0</v>
      </c>
    </row>
    <row r="13" spans="1:18" ht="15" x14ac:dyDescent="0.2">
      <c r="A13" s="3783"/>
      <c r="B13" s="655" t="s">
        <v>5275</v>
      </c>
      <c r="C13" s="659">
        <f t="shared" si="2"/>
        <v>0</v>
      </c>
      <c r="D13" s="659">
        <f t="shared" si="2"/>
        <v>0</v>
      </c>
      <c r="E13" s="266">
        <f>'Budget Summary I'!E15+'Budget Summary I'!G15+'Budget Summary I'!I15+'Budget Summary I'!K15+'Budget Summary I'!M15+'Budget Summary I'!O15+'Budget Summary I'!Q15+'Budget Summary I'!S15</f>
        <v>0</v>
      </c>
      <c r="F13" s="266">
        <f>'Budget Summary I'!F15+'Budget Summary I'!H15+'Budget Summary I'!J15+'Budget Summary I'!L15+'Budget Summary I'!N15+'Budget Summary I'!P15+'Budget Summary I'!R15+'Budget Summary I'!T15</f>
        <v>0</v>
      </c>
      <c r="G13" s="267">
        <f>'Budget Summary I'!U15+'Budget Summary I'!W15</f>
        <v>0</v>
      </c>
      <c r="H13" s="267">
        <f>'Budget Summary I'!V15+'Budget Summary I'!X15</f>
        <v>0</v>
      </c>
      <c r="I13" s="266">
        <f>'Budget Summary I'!Y15+'Budget Summary I'!AA15</f>
        <v>0</v>
      </c>
      <c r="J13" s="266">
        <f>'Budget Summary I'!Z15+'Budget Summary I'!AB15</f>
        <v>0</v>
      </c>
      <c r="K13" s="267">
        <f>'Budget Summary I'!AC15+'Budget Summary I'!AE15</f>
        <v>0</v>
      </c>
      <c r="L13" s="267">
        <f>'Budget Summary I'!AD15+'Budget Summary I'!AF15</f>
        <v>0</v>
      </c>
      <c r="M13" s="267">
        <f>'Budget Summary I'!AG15</f>
        <v>0</v>
      </c>
      <c r="N13" s="267">
        <f>'Budget Summary I'!AH15</f>
        <v>0</v>
      </c>
      <c r="O13" s="267">
        <f>'Budget Summary I'!AI15+'Budget Summary I'!AK15</f>
        <v>0</v>
      </c>
      <c r="P13" s="267">
        <f>'Budget Summary I'!AJ15+'Budget Summary I'!AL15</f>
        <v>0</v>
      </c>
      <c r="Q13" s="267">
        <f>'Budget Summary I'!AM15</f>
        <v>0</v>
      </c>
      <c r="R13" s="267">
        <f>'Budget Summary I'!AN15</f>
        <v>0</v>
      </c>
    </row>
    <row r="14" spans="1:18" ht="15" x14ac:dyDescent="0.2">
      <c r="A14" s="3783"/>
      <c r="B14" s="655" t="s">
        <v>5276</v>
      </c>
      <c r="C14" s="659">
        <f t="shared" si="2"/>
        <v>0</v>
      </c>
      <c r="D14" s="659">
        <f t="shared" si="2"/>
        <v>0</v>
      </c>
      <c r="E14" s="266">
        <f>'Budget Summary I'!E16+'Budget Summary I'!G16+'Budget Summary I'!I16+'Budget Summary I'!K16+'Budget Summary I'!M16+'Budget Summary I'!O16+'Budget Summary I'!Q16+'Budget Summary I'!S16</f>
        <v>0</v>
      </c>
      <c r="F14" s="266">
        <f>'Budget Summary I'!F16+'Budget Summary I'!H16+'Budget Summary I'!J16+'Budget Summary I'!L16+'Budget Summary I'!N16+'Budget Summary I'!P16+'Budget Summary I'!R16+'Budget Summary I'!T16</f>
        <v>0</v>
      </c>
      <c r="G14" s="267">
        <f>'Budget Summary I'!U16+'Budget Summary I'!W16</f>
        <v>0</v>
      </c>
      <c r="H14" s="267">
        <f>'Budget Summary I'!V16+'Budget Summary I'!X16</f>
        <v>0</v>
      </c>
      <c r="I14" s="266">
        <f>'Budget Summary I'!Y16+'Budget Summary I'!AA16</f>
        <v>0</v>
      </c>
      <c r="J14" s="266">
        <f>'Budget Summary I'!Z16+'Budget Summary I'!AB16</f>
        <v>0</v>
      </c>
      <c r="K14" s="267">
        <f>'Budget Summary I'!AC16+'Budget Summary I'!AE16</f>
        <v>0</v>
      </c>
      <c r="L14" s="267">
        <f>'Budget Summary I'!AD16+'Budget Summary I'!AF16</f>
        <v>0</v>
      </c>
      <c r="M14" s="267">
        <f>'Budget Summary I'!AG16</f>
        <v>0</v>
      </c>
      <c r="N14" s="267">
        <f>'Budget Summary I'!AH16</f>
        <v>0</v>
      </c>
      <c r="O14" s="267">
        <f>'Budget Summary I'!AI16+'Budget Summary I'!AK16</f>
        <v>0</v>
      </c>
      <c r="P14" s="267">
        <f>'Budget Summary I'!AJ16+'Budget Summary I'!AL16</f>
        <v>0</v>
      </c>
      <c r="Q14" s="267">
        <f>'Budget Summary I'!AM16</f>
        <v>0</v>
      </c>
      <c r="R14" s="267">
        <f>'Budget Summary I'!AN16</f>
        <v>0</v>
      </c>
    </row>
    <row r="15" spans="1:18" ht="30" x14ac:dyDescent="0.2">
      <c r="A15" s="3783"/>
      <c r="B15" s="655" t="s">
        <v>3884</v>
      </c>
      <c r="C15" s="659">
        <f t="shared" si="2"/>
        <v>0</v>
      </c>
      <c r="D15" s="659">
        <f>F15+H15+J15+L15+N15+P15+R15</f>
        <v>0</v>
      </c>
      <c r="E15" s="266">
        <f>'Budget Summary I'!E17+'Budget Summary I'!G17+'Budget Summary I'!I17+'Budget Summary I'!K17+'Budget Summary I'!M17+'Budget Summary I'!O17+'Budget Summary I'!Q17+'Budget Summary I'!S17</f>
        <v>0</v>
      </c>
      <c r="F15" s="266">
        <f>'Budget Summary I'!F17+'Budget Summary I'!H17+'Budget Summary I'!J17+'Budget Summary I'!L17+'Budget Summary I'!N17+'Budget Summary I'!P17+'Budget Summary I'!R17+'Budget Summary I'!T17</f>
        <v>0</v>
      </c>
      <c r="G15" s="267">
        <f>'Budget Summary I'!U17+'Budget Summary I'!W17</f>
        <v>0</v>
      </c>
      <c r="H15" s="267">
        <f>'Budget Summary I'!V17+'Budget Summary I'!X17</f>
        <v>0</v>
      </c>
      <c r="I15" s="266">
        <f>'Budget Summary I'!Y17+'Budget Summary I'!AA17</f>
        <v>0</v>
      </c>
      <c r="J15" s="266">
        <f>'Budget Summary I'!Z17+'Budget Summary I'!AB17</f>
        <v>0</v>
      </c>
      <c r="K15" s="267">
        <f>'Budget Summary I'!AC17+'Budget Summary I'!AE17</f>
        <v>0</v>
      </c>
      <c r="L15" s="267">
        <f>'Budget Summary I'!AD17+'Budget Summary I'!AF17</f>
        <v>0</v>
      </c>
      <c r="M15" s="267">
        <f>'Budget Summary I'!AG17</f>
        <v>0</v>
      </c>
      <c r="N15" s="267">
        <f>'Budget Summary I'!AH17</f>
        <v>0</v>
      </c>
      <c r="O15" s="267">
        <f>'Budget Summary I'!AI17+'Budget Summary I'!AK17</f>
        <v>0</v>
      </c>
      <c r="P15" s="267">
        <f>'Budget Summary I'!AJ17+'Budget Summary I'!AL17</f>
        <v>0</v>
      </c>
      <c r="Q15" s="267">
        <f>'Budget Summary I'!AM17</f>
        <v>0</v>
      </c>
      <c r="R15" s="267">
        <f>'Budget Summary I'!AN17</f>
        <v>0</v>
      </c>
    </row>
    <row r="16" spans="1:18" ht="15" x14ac:dyDescent="0.2">
      <c r="A16" s="3783" t="s">
        <v>4713</v>
      </c>
      <c r="B16" s="655" t="s">
        <v>4707</v>
      </c>
      <c r="C16" s="659">
        <f t="shared" si="2"/>
        <v>300</v>
      </c>
      <c r="D16" s="659">
        <f t="shared" si="2"/>
        <v>0</v>
      </c>
      <c r="E16" s="266">
        <f>'Budget Summary I'!E18+'Budget Summary I'!G18+'Budget Summary I'!I18+'Budget Summary I'!K18+'Budget Summary I'!M18+'Budget Summary I'!O18+'Budget Summary I'!Q18+'Budget Summary I'!S18</f>
        <v>0</v>
      </c>
      <c r="F16" s="266">
        <f>'Budget Summary I'!F18+'Budget Summary I'!H18+'Budget Summary I'!J18+'Budget Summary I'!L18+'Budget Summary I'!N18+'Budget Summary I'!P18+'Budget Summary I'!R18+'Budget Summary I'!T18</f>
        <v>0</v>
      </c>
      <c r="G16" s="267">
        <f>'Budget Summary I'!U18+'Budget Summary I'!W18</f>
        <v>0</v>
      </c>
      <c r="H16" s="267">
        <f>'Budget Summary I'!V18+'Budget Summary I'!X18</f>
        <v>0</v>
      </c>
      <c r="I16" s="266">
        <f>'Budget Summary I'!Y18+'Budget Summary I'!AA18</f>
        <v>0</v>
      </c>
      <c r="J16" s="266">
        <f>'Budget Summary I'!Z18+'Budget Summary I'!AB18</f>
        <v>0</v>
      </c>
      <c r="K16" s="267">
        <f>'Budget Summary I'!AC18+'Budget Summary I'!AE18</f>
        <v>300</v>
      </c>
      <c r="L16" s="267">
        <f>'Budget Summary I'!AD18+'Budget Summary I'!AF18</f>
        <v>0</v>
      </c>
      <c r="M16" s="267">
        <f>'Budget Summary I'!AG18</f>
        <v>0</v>
      </c>
      <c r="N16" s="267">
        <f>'Budget Summary I'!AH18</f>
        <v>0</v>
      </c>
      <c r="O16" s="267">
        <f>'Budget Summary I'!AI18+'Budget Summary I'!AK18</f>
        <v>0</v>
      </c>
      <c r="P16" s="267">
        <f>'Budget Summary I'!AJ18+'Budget Summary I'!AL18</f>
        <v>0</v>
      </c>
      <c r="Q16" s="267">
        <f>'Budget Summary I'!AM18</f>
        <v>0</v>
      </c>
      <c r="R16" s="267">
        <f>'Budget Summary I'!AN18</f>
        <v>0</v>
      </c>
    </row>
    <row r="17" spans="1:18" ht="15" x14ac:dyDescent="0.2">
      <c r="A17" s="3783"/>
      <c r="B17" s="655" t="s">
        <v>3855</v>
      </c>
      <c r="C17" s="659">
        <f t="shared" si="2"/>
        <v>0</v>
      </c>
      <c r="D17" s="659">
        <f t="shared" si="2"/>
        <v>0</v>
      </c>
      <c r="E17" s="266">
        <f>'Budget Summary I'!E19+'Budget Summary I'!G19+'Budget Summary I'!I19+'Budget Summary I'!K19+'Budget Summary I'!M19+'Budget Summary I'!O19+'Budget Summary I'!Q19+'Budget Summary I'!S19</f>
        <v>0</v>
      </c>
      <c r="F17" s="266">
        <f>'Budget Summary I'!F19+'Budget Summary I'!H19+'Budget Summary I'!J19+'Budget Summary I'!L19+'Budget Summary I'!N19+'Budget Summary I'!P19+'Budget Summary I'!R19+'Budget Summary I'!T19</f>
        <v>0</v>
      </c>
      <c r="G17" s="267">
        <f>'Budget Summary I'!U19+'Budget Summary I'!W19</f>
        <v>0</v>
      </c>
      <c r="H17" s="267">
        <f>'Budget Summary I'!V19+'Budget Summary I'!X19</f>
        <v>0</v>
      </c>
      <c r="I17" s="266">
        <f>'Budget Summary I'!Y19+'Budget Summary I'!AA19</f>
        <v>0</v>
      </c>
      <c r="J17" s="266">
        <f>'Budget Summary I'!Z19+'Budget Summary I'!AB19</f>
        <v>0</v>
      </c>
      <c r="K17" s="267">
        <f>'Budget Summary I'!AC19+'Budget Summary I'!AE19</f>
        <v>0</v>
      </c>
      <c r="L17" s="267">
        <f>'Budget Summary I'!AD19+'Budget Summary I'!AF19</f>
        <v>0</v>
      </c>
      <c r="M17" s="267">
        <f>'Budget Summary I'!AG19</f>
        <v>0</v>
      </c>
      <c r="N17" s="267">
        <f>'Budget Summary I'!AH19</f>
        <v>0</v>
      </c>
      <c r="O17" s="267">
        <f>'Budget Summary I'!AI19+'Budget Summary I'!AK19</f>
        <v>0</v>
      </c>
      <c r="P17" s="267">
        <f>'Budget Summary I'!AJ19+'Budget Summary I'!AL19</f>
        <v>0</v>
      </c>
      <c r="Q17" s="267">
        <f>'Budget Summary I'!AM19</f>
        <v>0</v>
      </c>
      <c r="R17" s="267">
        <f>'Budget Summary I'!AN19</f>
        <v>0</v>
      </c>
    </row>
    <row r="18" spans="1:18" ht="15" x14ac:dyDescent="0.2">
      <c r="A18" s="3783"/>
      <c r="B18" s="655" t="s">
        <v>14</v>
      </c>
      <c r="C18" s="659">
        <f t="shared" si="2"/>
        <v>0</v>
      </c>
      <c r="D18" s="659">
        <f>F18+H18+J18+L18+N18+P18+R18</f>
        <v>0</v>
      </c>
      <c r="E18" s="266">
        <f>'Budget Summary I'!E20+'Budget Summary I'!G20+'Budget Summary I'!I20+'Budget Summary I'!K20+'Budget Summary I'!M20+'Budget Summary I'!O20+'Budget Summary I'!Q20+'Budget Summary I'!S20</f>
        <v>0</v>
      </c>
      <c r="F18" s="266">
        <f>'Budget Summary I'!F20+'Budget Summary I'!H20+'Budget Summary I'!J20+'Budget Summary I'!L20+'Budget Summary I'!N20+'Budget Summary I'!P20+'Budget Summary I'!R20+'Budget Summary I'!T20</f>
        <v>0</v>
      </c>
      <c r="G18" s="267">
        <f>'Budget Summary I'!U20+'Budget Summary I'!W20</f>
        <v>0</v>
      </c>
      <c r="H18" s="267">
        <f>'Budget Summary I'!V20+'Budget Summary I'!X20</f>
        <v>0</v>
      </c>
      <c r="I18" s="266">
        <f>'Budget Summary I'!Y20+'Budget Summary I'!AA20</f>
        <v>0</v>
      </c>
      <c r="J18" s="266">
        <f>'Budget Summary I'!Z20+'Budget Summary I'!AB20</f>
        <v>0</v>
      </c>
      <c r="K18" s="267">
        <f>'Budget Summary I'!AC20+'Budget Summary I'!AE20</f>
        <v>0</v>
      </c>
      <c r="L18" s="267">
        <f>'Budget Summary I'!AD20+'Budget Summary I'!AF20</f>
        <v>0</v>
      </c>
      <c r="M18" s="267">
        <f>'Budget Summary I'!AG20</f>
        <v>0</v>
      </c>
      <c r="N18" s="267">
        <f>'Budget Summary I'!AH20</f>
        <v>0</v>
      </c>
      <c r="O18" s="267">
        <f>'Budget Summary I'!AI20+'Budget Summary I'!AK20</f>
        <v>0</v>
      </c>
      <c r="P18" s="267">
        <f>'Budget Summary I'!AJ20+'Budget Summary I'!AL20</f>
        <v>0</v>
      </c>
      <c r="Q18" s="267">
        <f>'Budget Summary I'!AM20</f>
        <v>0</v>
      </c>
      <c r="R18" s="267">
        <f>'Budget Summary I'!AN20</f>
        <v>0</v>
      </c>
    </row>
    <row r="19" spans="1:18" ht="15" x14ac:dyDescent="0.2">
      <c r="A19" s="3783"/>
      <c r="B19" s="655" t="s">
        <v>4701</v>
      </c>
      <c r="C19" s="659">
        <f t="shared" si="2"/>
        <v>0</v>
      </c>
      <c r="D19" s="659">
        <f t="shared" si="2"/>
        <v>0</v>
      </c>
      <c r="E19" s="266">
        <f>'Budget Summary I'!E21+'Budget Summary I'!G21+'Budget Summary I'!I21+'Budget Summary I'!K21+'Budget Summary I'!M21+'Budget Summary I'!O21+'Budget Summary I'!Q21+'Budget Summary I'!S21</f>
        <v>0</v>
      </c>
      <c r="F19" s="266">
        <f>'Budget Summary I'!F21+'Budget Summary I'!H21+'Budget Summary I'!J21+'Budget Summary I'!L21+'Budget Summary I'!N21+'Budget Summary I'!P21+'Budget Summary I'!R21+'Budget Summary I'!T21</f>
        <v>0</v>
      </c>
      <c r="G19" s="267">
        <f>'Budget Summary I'!U21+'Budget Summary I'!W21</f>
        <v>0</v>
      </c>
      <c r="H19" s="267">
        <f>'Budget Summary I'!V21+'Budget Summary I'!X21</f>
        <v>0</v>
      </c>
      <c r="I19" s="266">
        <f>'Budget Summary I'!Y21+'Budget Summary I'!AA21</f>
        <v>0</v>
      </c>
      <c r="J19" s="266">
        <f>'Budget Summary I'!Z21+'Budget Summary I'!AB21</f>
        <v>0</v>
      </c>
      <c r="K19" s="267">
        <f>'Budget Summary I'!AC21+'Budget Summary I'!AE21</f>
        <v>0</v>
      </c>
      <c r="L19" s="267">
        <f>'Budget Summary I'!AD21+'Budget Summary I'!AF21</f>
        <v>0</v>
      </c>
      <c r="M19" s="267">
        <f>'Budget Summary I'!AG21</f>
        <v>0</v>
      </c>
      <c r="N19" s="267">
        <f>'Budget Summary I'!AH21</f>
        <v>0</v>
      </c>
      <c r="O19" s="267">
        <f>'Budget Summary I'!AI21+'Budget Summary I'!AK21</f>
        <v>0</v>
      </c>
      <c r="P19" s="267">
        <f>'Budget Summary I'!AJ21+'Budget Summary I'!AL21</f>
        <v>0</v>
      </c>
      <c r="Q19" s="267">
        <f>'Budget Summary I'!AM21</f>
        <v>0</v>
      </c>
      <c r="R19" s="267">
        <f>'Budget Summary I'!AN21</f>
        <v>0</v>
      </c>
    </row>
    <row r="20" spans="1:18" ht="15" x14ac:dyDescent="0.2">
      <c r="A20" s="3783"/>
      <c r="B20" s="655" t="s">
        <v>4702</v>
      </c>
      <c r="C20" s="659">
        <f t="shared" si="2"/>
        <v>118.5</v>
      </c>
      <c r="D20" s="659">
        <f t="shared" si="2"/>
        <v>0</v>
      </c>
      <c r="E20" s="266">
        <f>'Budget Summary I'!E22+'Budget Summary I'!G22+'Budget Summary I'!I22+'Budget Summary I'!K22+'Budget Summary I'!M22+'Budget Summary I'!O22+'Budget Summary I'!Q22+'Budget Summary I'!S22</f>
        <v>118.5</v>
      </c>
      <c r="F20" s="266">
        <f>'Budget Summary I'!F22+'Budget Summary I'!H22+'Budget Summary I'!J22+'Budget Summary I'!L22+'Budget Summary I'!N22+'Budget Summary I'!P22+'Budget Summary I'!R22+'Budget Summary I'!T22</f>
        <v>0</v>
      </c>
      <c r="G20" s="267">
        <f>'Budget Summary I'!U22+'Budget Summary I'!W22</f>
        <v>0</v>
      </c>
      <c r="H20" s="267">
        <f>'Budget Summary I'!V22+'Budget Summary I'!X22</f>
        <v>0</v>
      </c>
      <c r="I20" s="266">
        <f>'Budget Summary I'!Y22+'Budget Summary I'!AA22</f>
        <v>0</v>
      </c>
      <c r="J20" s="266">
        <f>'Budget Summary I'!Z22+'Budget Summary I'!AB22</f>
        <v>0</v>
      </c>
      <c r="K20" s="267">
        <f>'Budget Summary I'!AC22+'Budget Summary I'!AE22</f>
        <v>0</v>
      </c>
      <c r="L20" s="267">
        <f>'Budget Summary I'!AD22+'Budget Summary I'!AF22</f>
        <v>0</v>
      </c>
      <c r="M20" s="267">
        <f>'Budget Summary I'!AG22</f>
        <v>0</v>
      </c>
      <c r="N20" s="267">
        <f>'Budget Summary I'!AH22</f>
        <v>0</v>
      </c>
      <c r="O20" s="267">
        <f>'Budget Summary I'!AI22+'Budget Summary I'!AK22</f>
        <v>0</v>
      </c>
      <c r="P20" s="267">
        <f>'Budget Summary I'!AJ22+'Budget Summary I'!AL22</f>
        <v>0</v>
      </c>
      <c r="Q20" s="267">
        <f>'Budget Summary I'!AM22</f>
        <v>0</v>
      </c>
      <c r="R20" s="267">
        <f>'Budget Summary I'!AN22</f>
        <v>0</v>
      </c>
    </row>
    <row r="21" spans="1:18" ht="15" x14ac:dyDescent="0.2">
      <c r="A21" s="3783"/>
      <c r="B21" s="655" t="s">
        <v>4703</v>
      </c>
      <c r="C21" s="659">
        <f t="shared" si="2"/>
        <v>0</v>
      </c>
      <c r="D21" s="659">
        <f t="shared" si="2"/>
        <v>0</v>
      </c>
      <c r="E21" s="266">
        <f>'Budget Summary I'!E23+'Budget Summary I'!G23+'Budget Summary I'!I23+'Budget Summary I'!K23+'Budget Summary I'!M23+'Budget Summary I'!O23+'Budget Summary I'!Q23+'Budget Summary I'!S23</f>
        <v>0</v>
      </c>
      <c r="F21" s="266">
        <f>'Budget Summary I'!F23+'Budget Summary I'!H23+'Budget Summary I'!J23+'Budget Summary I'!L23+'Budget Summary I'!N23+'Budget Summary I'!P23+'Budget Summary I'!R23+'Budget Summary I'!T23</f>
        <v>0</v>
      </c>
      <c r="G21" s="267">
        <f>'Budget Summary I'!U23+'Budget Summary I'!W23</f>
        <v>0</v>
      </c>
      <c r="H21" s="267">
        <f>'Budget Summary I'!V23+'Budget Summary I'!X23</f>
        <v>0</v>
      </c>
      <c r="I21" s="266">
        <f>'Budget Summary I'!Y23+'Budget Summary I'!AA23</f>
        <v>0</v>
      </c>
      <c r="J21" s="266">
        <f>'Budget Summary I'!Z23+'Budget Summary I'!AB23</f>
        <v>0</v>
      </c>
      <c r="K21" s="267">
        <f>'Budget Summary I'!AC23+'Budget Summary I'!AE23</f>
        <v>0</v>
      </c>
      <c r="L21" s="267">
        <f>'Budget Summary I'!AD23+'Budget Summary I'!AF23</f>
        <v>0</v>
      </c>
      <c r="M21" s="267">
        <f>'Budget Summary I'!AG23</f>
        <v>0</v>
      </c>
      <c r="N21" s="267">
        <f>'Budget Summary I'!AH23</f>
        <v>0</v>
      </c>
      <c r="O21" s="267">
        <f>'Budget Summary I'!AI23+'Budget Summary I'!AK23</f>
        <v>0</v>
      </c>
      <c r="P21" s="267">
        <f>'Budget Summary I'!AJ23+'Budget Summary I'!AL23</f>
        <v>0</v>
      </c>
      <c r="Q21" s="267">
        <f>'Budget Summary I'!AM23</f>
        <v>0</v>
      </c>
      <c r="R21" s="267">
        <f>'Budget Summary I'!AN23</f>
        <v>0</v>
      </c>
    </row>
    <row r="22" spans="1:18" ht="15" x14ac:dyDescent="0.2">
      <c r="A22" s="3783"/>
      <c r="B22" s="655" t="s">
        <v>30</v>
      </c>
      <c r="C22" s="659">
        <f t="shared" si="2"/>
        <v>1719.7234000000001</v>
      </c>
      <c r="D22" s="659">
        <f t="shared" si="2"/>
        <v>0</v>
      </c>
      <c r="E22" s="266">
        <f>'Budget Summary I'!E24+'Budget Summary I'!G24+'Budget Summary I'!I24+'Budget Summary I'!K24+'Budget Summary I'!M24+'Budget Summary I'!O24+'Budget Summary I'!Q24+'Budget Summary I'!S24</f>
        <v>1719.7234000000001</v>
      </c>
      <c r="F22" s="266">
        <f>'Budget Summary I'!F24+'Budget Summary I'!H24+'Budget Summary I'!J24+'Budget Summary I'!L24+'Budget Summary I'!N24+'Budget Summary I'!P24+'Budget Summary I'!R24+'Budget Summary I'!T24</f>
        <v>0</v>
      </c>
      <c r="G22" s="267">
        <f>'Budget Summary I'!U24+'Budget Summary I'!W24</f>
        <v>0</v>
      </c>
      <c r="H22" s="267">
        <f>'Budget Summary I'!V24+'Budget Summary I'!X24</f>
        <v>0</v>
      </c>
      <c r="I22" s="266">
        <f>'Budget Summary I'!Y24+'Budget Summary I'!AA24</f>
        <v>0</v>
      </c>
      <c r="J22" s="266">
        <f>'Budget Summary I'!Z24+'Budget Summary I'!AB24</f>
        <v>0</v>
      </c>
      <c r="K22" s="267">
        <f>'Budget Summary I'!AC24+'Budget Summary I'!AE24</f>
        <v>0</v>
      </c>
      <c r="L22" s="267">
        <f>'Budget Summary I'!AD24+'Budget Summary I'!AF24</f>
        <v>0</v>
      </c>
      <c r="M22" s="267">
        <f>'Budget Summary I'!AG24</f>
        <v>0</v>
      </c>
      <c r="N22" s="267">
        <f>'Budget Summary I'!AH24</f>
        <v>0</v>
      </c>
      <c r="O22" s="267">
        <f>'Budget Summary I'!AI24+'Budget Summary I'!AK24</f>
        <v>0</v>
      </c>
      <c r="P22" s="267">
        <f>'Budget Summary I'!AJ24+'Budget Summary I'!AL24</f>
        <v>0</v>
      </c>
      <c r="Q22" s="267">
        <f>'Budget Summary I'!AM24</f>
        <v>0</v>
      </c>
      <c r="R22" s="267">
        <f>'Budget Summary I'!AN24</f>
        <v>0</v>
      </c>
    </row>
    <row r="23" spans="1:18" ht="15" x14ac:dyDescent="0.2">
      <c r="A23" s="3783"/>
      <c r="B23" s="655" t="s">
        <v>4704</v>
      </c>
      <c r="C23" s="659">
        <f t="shared" si="2"/>
        <v>0</v>
      </c>
      <c r="D23" s="659">
        <f t="shared" si="2"/>
        <v>0</v>
      </c>
      <c r="E23" s="266">
        <f>'Budget Summary I'!E25+'Budget Summary I'!G25+'Budget Summary I'!I25+'Budget Summary I'!K25+'Budget Summary I'!M25+'Budget Summary I'!O25+'Budget Summary I'!Q25+'Budget Summary I'!S25</f>
        <v>0</v>
      </c>
      <c r="F23" s="266">
        <f>'Budget Summary I'!F25+'Budget Summary I'!H25+'Budget Summary I'!J25+'Budget Summary I'!L25+'Budget Summary I'!N25+'Budget Summary I'!P25+'Budget Summary I'!R25+'Budget Summary I'!T25</f>
        <v>0</v>
      </c>
      <c r="G23" s="267">
        <f>'Budget Summary I'!U25+'Budget Summary I'!W25</f>
        <v>0</v>
      </c>
      <c r="H23" s="267">
        <f>'Budget Summary I'!V25+'Budget Summary I'!X25</f>
        <v>0</v>
      </c>
      <c r="I23" s="266">
        <f>'Budget Summary I'!Y25+'Budget Summary I'!AA25</f>
        <v>0</v>
      </c>
      <c r="J23" s="266">
        <f>'Budget Summary I'!Z25+'Budget Summary I'!AB25</f>
        <v>0</v>
      </c>
      <c r="K23" s="267">
        <f>'Budget Summary I'!AC25+'Budget Summary I'!AE25</f>
        <v>0</v>
      </c>
      <c r="L23" s="267">
        <f>'Budget Summary I'!AD25+'Budget Summary I'!AF25</f>
        <v>0</v>
      </c>
      <c r="M23" s="267">
        <f>'Budget Summary I'!AG25</f>
        <v>0</v>
      </c>
      <c r="N23" s="267">
        <f>'Budget Summary I'!AH25</f>
        <v>0</v>
      </c>
      <c r="O23" s="267">
        <f>'Budget Summary I'!AI25+'Budget Summary I'!AK25</f>
        <v>0</v>
      </c>
      <c r="P23" s="267">
        <f>'Budget Summary I'!AJ25+'Budget Summary I'!AL25</f>
        <v>0</v>
      </c>
      <c r="Q23" s="267">
        <f>'Budget Summary I'!AM25</f>
        <v>0</v>
      </c>
      <c r="R23" s="267">
        <f>'Budget Summary I'!AN25</f>
        <v>0</v>
      </c>
    </row>
    <row r="24" spans="1:18" ht="15" x14ac:dyDescent="0.2">
      <c r="A24" s="3783"/>
      <c r="B24" s="655" t="s">
        <v>2729</v>
      </c>
      <c r="C24" s="659">
        <f t="shared" si="2"/>
        <v>0</v>
      </c>
      <c r="D24" s="659">
        <f t="shared" si="2"/>
        <v>0</v>
      </c>
      <c r="E24" s="266">
        <f>'Budget Summary I'!E26+'Budget Summary I'!G26+'Budget Summary I'!I26+'Budget Summary I'!K26+'Budget Summary I'!M26+'Budget Summary I'!O26+'Budget Summary I'!Q26+'Budget Summary I'!S26</f>
        <v>0</v>
      </c>
      <c r="F24" s="266">
        <f>'Budget Summary I'!F26+'Budget Summary I'!H26+'Budget Summary I'!J26+'Budget Summary I'!L26+'Budget Summary I'!N26+'Budget Summary I'!P26+'Budget Summary I'!R26+'Budget Summary I'!T26</f>
        <v>0</v>
      </c>
      <c r="G24" s="267">
        <f>'Budget Summary I'!U26+'Budget Summary I'!W26</f>
        <v>0</v>
      </c>
      <c r="H24" s="267">
        <f>'Budget Summary I'!V26+'Budget Summary I'!X26</f>
        <v>0</v>
      </c>
      <c r="I24" s="266">
        <f>'Budget Summary I'!Y26+'Budget Summary I'!AA26</f>
        <v>0</v>
      </c>
      <c r="J24" s="266">
        <f>'Budget Summary I'!Z26+'Budget Summary I'!AB26</f>
        <v>0</v>
      </c>
      <c r="K24" s="267">
        <f>'Budget Summary I'!AC26+'Budget Summary I'!AE26</f>
        <v>0</v>
      </c>
      <c r="L24" s="267">
        <f>'Budget Summary I'!AD26+'Budget Summary I'!AF26</f>
        <v>0</v>
      </c>
      <c r="M24" s="267">
        <f>'Budget Summary I'!AG26</f>
        <v>0</v>
      </c>
      <c r="N24" s="267">
        <f>'Budget Summary I'!AH26</f>
        <v>0</v>
      </c>
      <c r="O24" s="267">
        <f>'Budget Summary I'!AI26+'Budget Summary I'!AK26</f>
        <v>0</v>
      </c>
      <c r="P24" s="267">
        <f>'Budget Summary I'!AJ26+'Budget Summary I'!AL26</f>
        <v>0</v>
      </c>
      <c r="Q24" s="267">
        <f>'Budget Summary I'!AM26</f>
        <v>0</v>
      </c>
      <c r="R24" s="267">
        <f>'Budget Summary I'!AN26</f>
        <v>0</v>
      </c>
    </row>
    <row r="25" spans="1:18" ht="15" x14ac:dyDescent="0.2">
      <c r="A25" s="3783"/>
      <c r="B25" s="655" t="s">
        <v>33</v>
      </c>
      <c r="C25" s="659">
        <f t="shared" si="2"/>
        <v>0</v>
      </c>
      <c r="D25" s="659">
        <f t="shared" si="2"/>
        <v>0</v>
      </c>
      <c r="E25" s="266">
        <f>'Budget Summary I'!E27+'Budget Summary I'!G27+'Budget Summary I'!I27+'Budget Summary I'!K27+'Budget Summary I'!M27+'Budget Summary I'!O27+'Budget Summary I'!Q27+'Budget Summary I'!S27</f>
        <v>0</v>
      </c>
      <c r="F25" s="266">
        <f>'Budget Summary I'!F27+'Budget Summary I'!H27+'Budget Summary I'!J27+'Budget Summary I'!L27+'Budget Summary I'!N27+'Budget Summary I'!P27+'Budget Summary I'!R27+'Budget Summary I'!T27</f>
        <v>0</v>
      </c>
      <c r="G25" s="267">
        <f>'Budget Summary I'!U27+'Budget Summary I'!W27</f>
        <v>0</v>
      </c>
      <c r="H25" s="267">
        <f>'Budget Summary I'!V27+'Budget Summary I'!X27</f>
        <v>0</v>
      </c>
      <c r="I25" s="266">
        <f>'Budget Summary I'!Y27+'Budget Summary I'!AA27</f>
        <v>0</v>
      </c>
      <c r="J25" s="266">
        <f>'Budget Summary I'!Z27+'Budget Summary I'!AB27</f>
        <v>0</v>
      </c>
      <c r="K25" s="267">
        <f>'Budget Summary I'!AC27+'Budget Summary I'!AE27</f>
        <v>0</v>
      </c>
      <c r="L25" s="267">
        <f>'Budget Summary I'!AD27+'Budget Summary I'!AF27</f>
        <v>0</v>
      </c>
      <c r="M25" s="267">
        <f>'Budget Summary I'!AG27</f>
        <v>0</v>
      </c>
      <c r="N25" s="267">
        <f>'Budget Summary I'!AH27</f>
        <v>0</v>
      </c>
      <c r="O25" s="267">
        <f>'Budget Summary I'!AI27+'Budget Summary I'!AK27</f>
        <v>0</v>
      </c>
      <c r="P25" s="267">
        <f>'Budget Summary I'!AJ27+'Budget Summary I'!AL27</f>
        <v>0</v>
      </c>
      <c r="Q25" s="267">
        <f>'Budget Summary I'!AM27</f>
        <v>0</v>
      </c>
      <c r="R25" s="267">
        <f>'Budget Summary I'!AN27</f>
        <v>0</v>
      </c>
    </row>
    <row r="26" spans="1:18" ht="15" x14ac:dyDescent="0.2">
      <c r="A26" s="3783"/>
      <c r="B26" s="655" t="s">
        <v>4722</v>
      </c>
      <c r="C26" s="659">
        <f t="shared" si="2"/>
        <v>0</v>
      </c>
      <c r="D26" s="659">
        <f t="shared" si="2"/>
        <v>0</v>
      </c>
      <c r="E26" s="266">
        <f>'Budget Summary I'!E28+'Budget Summary I'!G28+'Budget Summary I'!I28+'Budget Summary I'!K28+'Budget Summary I'!M28+'Budget Summary I'!O28+'Budget Summary I'!Q28+'Budget Summary I'!S28</f>
        <v>0</v>
      </c>
      <c r="F26" s="266">
        <f>'Budget Summary I'!F28+'Budget Summary I'!H28+'Budget Summary I'!J28+'Budget Summary I'!L28+'Budget Summary I'!N28+'Budget Summary I'!P28+'Budget Summary I'!R28+'Budget Summary I'!T28</f>
        <v>0</v>
      </c>
      <c r="G26" s="267">
        <f>'Budget Summary I'!U28+'Budget Summary I'!W28</f>
        <v>0</v>
      </c>
      <c r="H26" s="267">
        <f>'Budget Summary I'!V28+'Budget Summary I'!X28</f>
        <v>0</v>
      </c>
      <c r="I26" s="266">
        <f>'Budget Summary I'!Y28+'Budget Summary I'!AA28</f>
        <v>0</v>
      </c>
      <c r="J26" s="266">
        <f>'Budget Summary I'!Z28+'Budget Summary I'!AB28</f>
        <v>0</v>
      </c>
      <c r="K26" s="267">
        <f>'Budget Summary I'!AC28+'Budget Summary I'!AE28</f>
        <v>0</v>
      </c>
      <c r="L26" s="267">
        <f>'Budget Summary I'!AD28+'Budget Summary I'!AF28</f>
        <v>0</v>
      </c>
      <c r="M26" s="267">
        <f>'Budget Summary I'!AG28</f>
        <v>0</v>
      </c>
      <c r="N26" s="267">
        <f>'Budget Summary I'!AH28</f>
        <v>0</v>
      </c>
      <c r="O26" s="267">
        <f>'Budget Summary I'!AI28+'Budget Summary I'!AK28</f>
        <v>0</v>
      </c>
      <c r="P26" s="267">
        <f>'Budget Summary I'!AJ28+'Budget Summary I'!AL28</f>
        <v>0</v>
      </c>
      <c r="Q26" s="267">
        <f>'Budget Summary I'!AM28</f>
        <v>0</v>
      </c>
      <c r="R26" s="267">
        <f>'Budget Summary I'!AN28</f>
        <v>0</v>
      </c>
    </row>
    <row r="27" spans="1:18" ht="15" x14ac:dyDescent="0.2">
      <c r="A27" s="3783"/>
      <c r="B27" s="655" t="s">
        <v>4705</v>
      </c>
      <c r="C27" s="659">
        <f t="shared" si="2"/>
        <v>135</v>
      </c>
      <c r="D27" s="659">
        <f t="shared" si="2"/>
        <v>0</v>
      </c>
      <c r="E27" s="266">
        <f>'Budget Summary I'!E29+'Budget Summary I'!G29+'Budget Summary I'!I29+'Budget Summary I'!K29+'Budget Summary I'!M29+'Budget Summary I'!O29+'Budget Summary I'!Q29+'Budget Summary I'!S29</f>
        <v>0</v>
      </c>
      <c r="F27" s="266">
        <f>'Budget Summary I'!F29+'Budget Summary I'!H29+'Budget Summary I'!J29+'Budget Summary I'!L29+'Budget Summary I'!N29+'Budget Summary I'!P29+'Budget Summary I'!R29+'Budget Summary I'!T29</f>
        <v>0</v>
      </c>
      <c r="G27" s="267">
        <f>'Budget Summary I'!U29+'Budget Summary I'!W29</f>
        <v>0</v>
      </c>
      <c r="H27" s="267">
        <f>'Budget Summary I'!V29+'Budget Summary I'!X29</f>
        <v>0</v>
      </c>
      <c r="I27" s="266">
        <f>'Budget Summary I'!Y29+'Budget Summary I'!AA29</f>
        <v>135</v>
      </c>
      <c r="J27" s="266">
        <f>'Budget Summary I'!Z29+'Budget Summary I'!AB29</f>
        <v>0</v>
      </c>
      <c r="K27" s="267">
        <f>'Budget Summary I'!AC29+'Budget Summary I'!AE29</f>
        <v>0</v>
      </c>
      <c r="L27" s="267">
        <f>'Budget Summary I'!AD29+'Budget Summary I'!AF29</f>
        <v>0</v>
      </c>
      <c r="M27" s="267">
        <f>'Budget Summary I'!AG29</f>
        <v>0</v>
      </c>
      <c r="N27" s="267">
        <f>'Budget Summary I'!AH29</f>
        <v>0</v>
      </c>
      <c r="O27" s="267">
        <f>'Budget Summary I'!AI29+'Budget Summary I'!AK29</f>
        <v>0</v>
      </c>
      <c r="P27" s="267">
        <f>'Budget Summary I'!AJ29+'Budget Summary I'!AL29</f>
        <v>0</v>
      </c>
      <c r="Q27" s="267">
        <f>'Budget Summary I'!AM29</f>
        <v>0</v>
      </c>
      <c r="R27" s="267">
        <f>'Budget Summary I'!AN29</f>
        <v>0</v>
      </c>
    </row>
    <row r="28" spans="1:18" ht="15" x14ac:dyDescent="0.2">
      <c r="A28" s="3783"/>
      <c r="B28" s="655" t="s">
        <v>4706</v>
      </c>
      <c r="C28" s="659">
        <f t="shared" si="2"/>
        <v>227.33</v>
      </c>
      <c r="D28" s="659">
        <f>F28+H28+J28+L28+N28+P28+R28</f>
        <v>0</v>
      </c>
      <c r="E28" s="266">
        <f>'Budget Summary I'!E30+'Budget Summary I'!G30+'Budget Summary I'!I30+'Budget Summary I'!K30+'Budget Summary I'!M30+'Budget Summary I'!O30+'Budget Summary I'!Q30+'Budget Summary I'!S30</f>
        <v>0</v>
      </c>
      <c r="F28" s="266">
        <f>'Budget Summary I'!F30+'Budget Summary I'!H30+'Budget Summary I'!J30+'Budget Summary I'!L30+'Budget Summary I'!N30+'Budget Summary I'!P30+'Budget Summary I'!R30+'Budget Summary I'!T30</f>
        <v>0</v>
      </c>
      <c r="G28" s="267">
        <f>'Budget Summary I'!U30+'Budget Summary I'!W30</f>
        <v>0</v>
      </c>
      <c r="H28" s="267">
        <f>'Budget Summary I'!V30+'Budget Summary I'!X30</f>
        <v>0</v>
      </c>
      <c r="I28" s="266">
        <f>'Budget Summary I'!Y30+'Budget Summary I'!AA30</f>
        <v>0</v>
      </c>
      <c r="J28" s="266">
        <f>'Budget Summary I'!Z30+'Budget Summary I'!AB30</f>
        <v>0</v>
      </c>
      <c r="K28" s="267">
        <f>'Budget Summary I'!AC30+'Budget Summary I'!AE30</f>
        <v>227.33</v>
      </c>
      <c r="L28" s="267">
        <f>'Budget Summary I'!AD30+'Budget Summary I'!AF30</f>
        <v>0</v>
      </c>
      <c r="M28" s="267">
        <f>'Budget Summary I'!AG30</f>
        <v>0</v>
      </c>
      <c r="N28" s="267">
        <f>'Budget Summary I'!AH30</f>
        <v>0</v>
      </c>
      <c r="O28" s="267">
        <f>'Budget Summary I'!AI30+'Budget Summary I'!AK30</f>
        <v>0</v>
      </c>
      <c r="P28" s="267">
        <f>'Budget Summary I'!AJ30+'Budget Summary I'!AL30</f>
        <v>0</v>
      </c>
      <c r="Q28" s="267">
        <f>'Budget Summary I'!AM30</f>
        <v>0</v>
      </c>
      <c r="R28" s="267">
        <f>'Budget Summary I'!AN30</f>
        <v>0</v>
      </c>
    </row>
    <row r="29" spans="1:18" ht="15" x14ac:dyDescent="0.2">
      <c r="A29" s="3783"/>
      <c r="B29" s="655" t="s">
        <v>742</v>
      </c>
      <c r="C29" s="659">
        <f t="shared" si="2"/>
        <v>0</v>
      </c>
      <c r="D29" s="659">
        <f t="shared" si="2"/>
        <v>0</v>
      </c>
      <c r="E29" s="266">
        <f>'Budget Summary I'!E31+'Budget Summary I'!G31+'Budget Summary I'!I31+'Budget Summary I'!K31+'Budget Summary I'!M31+'Budget Summary I'!O31+'Budget Summary I'!Q31+'Budget Summary I'!S31</f>
        <v>0</v>
      </c>
      <c r="F29" s="266">
        <f>'Budget Summary I'!F31+'Budget Summary I'!H31+'Budget Summary I'!J31+'Budget Summary I'!L31+'Budget Summary I'!N31+'Budget Summary I'!P31+'Budget Summary I'!R31+'Budget Summary I'!T31</f>
        <v>0</v>
      </c>
      <c r="G29" s="267">
        <f>'Budget Summary I'!U31+'Budget Summary I'!W31</f>
        <v>0</v>
      </c>
      <c r="H29" s="267">
        <f>'Budget Summary I'!V31+'Budget Summary I'!X31</f>
        <v>0</v>
      </c>
      <c r="I29" s="266">
        <f>'Budget Summary I'!Y31+'Budget Summary I'!AA31</f>
        <v>0</v>
      </c>
      <c r="J29" s="266">
        <f>'Budget Summary I'!Z31+'Budget Summary I'!AB31</f>
        <v>0</v>
      </c>
      <c r="K29" s="267">
        <f>'Budget Summary I'!AC31+'Budget Summary I'!AE31</f>
        <v>0</v>
      </c>
      <c r="L29" s="267">
        <f>'Budget Summary I'!AD31+'Budget Summary I'!AF31</f>
        <v>0</v>
      </c>
      <c r="M29" s="267">
        <f>'Budget Summary I'!AG31</f>
        <v>0</v>
      </c>
      <c r="N29" s="267">
        <f>'Budget Summary I'!AH31</f>
        <v>0</v>
      </c>
      <c r="O29" s="267">
        <f>'Budget Summary I'!AI31+'Budget Summary I'!AK31</f>
        <v>0</v>
      </c>
      <c r="P29" s="267">
        <f>'Budget Summary I'!AJ31+'Budget Summary I'!AL31</f>
        <v>0</v>
      </c>
      <c r="Q29" s="267">
        <f>'Budget Summary I'!AM31</f>
        <v>0</v>
      </c>
      <c r="R29" s="267">
        <f>'Budget Summary I'!AN31</f>
        <v>0</v>
      </c>
    </row>
    <row r="30" spans="1:18" ht="15" x14ac:dyDescent="0.2">
      <c r="A30" s="3783"/>
      <c r="B30" s="655" t="s">
        <v>34</v>
      </c>
      <c r="C30" s="659">
        <f t="shared" si="2"/>
        <v>0</v>
      </c>
      <c r="D30" s="659">
        <f t="shared" si="2"/>
        <v>0</v>
      </c>
      <c r="E30" s="266">
        <f>'Budget Summary I'!E32+'Budget Summary I'!G32+'Budget Summary I'!I32+'Budget Summary I'!K32+'Budget Summary I'!M32+'Budget Summary I'!O32+'Budget Summary I'!Q32+'Budget Summary I'!S32</f>
        <v>0</v>
      </c>
      <c r="F30" s="266">
        <f>'Budget Summary I'!F32+'Budget Summary I'!H32+'Budget Summary I'!J32+'Budget Summary I'!L32+'Budget Summary I'!N32+'Budget Summary I'!P32+'Budget Summary I'!R32+'Budget Summary I'!T32</f>
        <v>0</v>
      </c>
      <c r="G30" s="267">
        <f>'Budget Summary I'!U32+'Budget Summary I'!W32</f>
        <v>0</v>
      </c>
      <c r="H30" s="267">
        <f>'Budget Summary I'!V32+'Budget Summary I'!X32</f>
        <v>0</v>
      </c>
      <c r="I30" s="266">
        <f>'Budget Summary I'!Y32+'Budget Summary I'!AA32</f>
        <v>0</v>
      </c>
      <c r="J30" s="266">
        <f>'Budget Summary I'!Z32+'Budget Summary I'!AB32</f>
        <v>0</v>
      </c>
      <c r="K30" s="267">
        <f>'Budget Summary I'!AC32+'Budget Summary I'!AE32</f>
        <v>0</v>
      </c>
      <c r="L30" s="267">
        <f>'Budget Summary I'!AD32+'Budget Summary I'!AF32</f>
        <v>0</v>
      </c>
      <c r="M30" s="267">
        <f>'Budget Summary I'!AG32</f>
        <v>0</v>
      </c>
      <c r="N30" s="267">
        <f>'Budget Summary I'!AH32</f>
        <v>0</v>
      </c>
      <c r="O30" s="267">
        <f>'Budget Summary I'!AI32+'Budget Summary I'!AK32</f>
        <v>0</v>
      </c>
      <c r="P30" s="267">
        <f>'Budget Summary I'!AJ32+'Budget Summary I'!AL32</f>
        <v>0</v>
      </c>
      <c r="Q30" s="267">
        <f>'Budget Summary I'!AM32</f>
        <v>0</v>
      </c>
      <c r="R30" s="267">
        <f>'Budget Summary I'!AN32</f>
        <v>0</v>
      </c>
    </row>
    <row r="31" spans="1:18" ht="15" x14ac:dyDescent="0.2">
      <c r="A31" s="3783"/>
      <c r="B31" s="655" t="s">
        <v>3123</v>
      </c>
      <c r="C31" s="659">
        <f t="shared" si="2"/>
        <v>0</v>
      </c>
      <c r="D31" s="659">
        <f t="shared" si="2"/>
        <v>0</v>
      </c>
      <c r="E31" s="266">
        <f>'Budget Summary I'!E33+'Budget Summary I'!G33+'Budget Summary I'!I33+'Budget Summary I'!K33+'Budget Summary I'!M33+'Budget Summary I'!O33+'Budget Summary I'!Q33+'Budget Summary I'!S33</f>
        <v>0</v>
      </c>
      <c r="F31" s="266">
        <f>'Budget Summary I'!F33+'Budget Summary I'!H33+'Budget Summary I'!J33+'Budget Summary I'!L33+'Budget Summary I'!N33+'Budget Summary I'!P33+'Budget Summary I'!R33+'Budget Summary I'!T33</f>
        <v>0</v>
      </c>
      <c r="G31" s="267">
        <f>'Budget Summary I'!U33+'Budget Summary I'!W33</f>
        <v>0</v>
      </c>
      <c r="H31" s="267">
        <f>'Budget Summary I'!V33+'Budget Summary I'!X33</f>
        <v>0</v>
      </c>
      <c r="I31" s="266">
        <f>'Budget Summary I'!Y33+'Budget Summary I'!AA33</f>
        <v>0</v>
      </c>
      <c r="J31" s="266">
        <f>'Budget Summary I'!Z33+'Budget Summary I'!AB33</f>
        <v>0</v>
      </c>
      <c r="K31" s="267">
        <f>'Budget Summary I'!AC33+'Budget Summary I'!AE33</f>
        <v>0</v>
      </c>
      <c r="L31" s="267">
        <f>'Budget Summary I'!AD33+'Budget Summary I'!AF33</f>
        <v>0</v>
      </c>
      <c r="M31" s="267">
        <f>'Budget Summary I'!AG33</f>
        <v>0</v>
      </c>
      <c r="N31" s="267">
        <f>'Budget Summary I'!AH33</f>
        <v>0</v>
      </c>
      <c r="O31" s="267">
        <f>'Budget Summary I'!AI33+'Budget Summary I'!AK33</f>
        <v>0</v>
      </c>
      <c r="P31" s="267">
        <f>'Budget Summary I'!AJ33+'Budget Summary I'!AL33</f>
        <v>0</v>
      </c>
      <c r="Q31" s="267">
        <f>'Budget Summary I'!AM33</f>
        <v>0</v>
      </c>
      <c r="R31" s="267">
        <f>'Budget Summary I'!AN33</f>
        <v>0</v>
      </c>
    </row>
    <row r="32" spans="1:18" ht="15" x14ac:dyDescent="0.2">
      <c r="A32" s="3783"/>
      <c r="B32" s="655" t="s">
        <v>2383</v>
      </c>
      <c r="C32" s="659">
        <f t="shared" si="2"/>
        <v>0</v>
      </c>
      <c r="D32" s="659">
        <f t="shared" si="2"/>
        <v>0</v>
      </c>
      <c r="E32" s="266">
        <f>'Budget Summary I'!E34+'Budget Summary I'!G34+'Budget Summary I'!I34+'Budget Summary I'!K34+'Budget Summary I'!M34+'Budget Summary I'!O34+'Budget Summary I'!Q34+'Budget Summary I'!S34</f>
        <v>0</v>
      </c>
      <c r="F32" s="266">
        <f>'Budget Summary I'!F34+'Budget Summary I'!H34+'Budget Summary I'!J34+'Budget Summary I'!L34+'Budget Summary I'!N34+'Budget Summary I'!P34+'Budget Summary I'!R34+'Budget Summary I'!T34</f>
        <v>0</v>
      </c>
      <c r="G32" s="267">
        <f>'Budget Summary I'!U34+'Budget Summary I'!W34</f>
        <v>0</v>
      </c>
      <c r="H32" s="267">
        <f>'Budget Summary I'!V34+'Budget Summary I'!X34</f>
        <v>0</v>
      </c>
      <c r="I32" s="266">
        <f>'Budget Summary I'!Y34+'Budget Summary I'!AA34</f>
        <v>0</v>
      </c>
      <c r="J32" s="266">
        <f>'Budget Summary I'!Z34+'Budget Summary I'!AB34</f>
        <v>0</v>
      </c>
      <c r="K32" s="267">
        <f>'Budget Summary I'!AC34+'Budget Summary I'!AE34</f>
        <v>0</v>
      </c>
      <c r="L32" s="267">
        <f>'Budget Summary I'!AD34+'Budget Summary I'!AF34</f>
        <v>0</v>
      </c>
      <c r="M32" s="267">
        <f>'Budget Summary I'!AG34</f>
        <v>0</v>
      </c>
      <c r="N32" s="267">
        <f>'Budget Summary I'!AH34</f>
        <v>0</v>
      </c>
      <c r="O32" s="267">
        <f>'Budget Summary I'!AI34+'Budget Summary I'!AK34</f>
        <v>0</v>
      </c>
      <c r="P32" s="267">
        <f>'Budget Summary I'!AJ34+'Budget Summary I'!AL34</f>
        <v>0</v>
      </c>
      <c r="Q32" s="267">
        <f>'Budget Summary I'!AM34</f>
        <v>0</v>
      </c>
      <c r="R32" s="267">
        <f>'Budget Summary I'!AN34</f>
        <v>0</v>
      </c>
    </row>
    <row r="33" spans="1:18" ht="15" x14ac:dyDescent="0.2">
      <c r="A33" s="3783"/>
      <c r="B33" s="655" t="s">
        <v>3852</v>
      </c>
      <c r="C33" s="659">
        <f t="shared" si="2"/>
        <v>0</v>
      </c>
      <c r="D33" s="659">
        <f t="shared" si="2"/>
        <v>0</v>
      </c>
      <c r="E33" s="266">
        <f>'Budget Summary I'!E35+'Budget Summary I'!G35+'Budget Summary I'!I35+'Budget Summary I'!K35+'Budget Summary I'!M35+'Budget Summary I'!O35+'Budget Summary I'!Q35+'Budget Summary I'!S35</f>
        <v>0</v>
      </c>
      <c r="F33" s="266">
        <f>'Budget Summary I'!F35+'Budget Summary I'!H35+'Budget Summary I'!J35+'Budget Summary I'!L35+'Budget Summary I'!N35+'Budget Summary I'!P35+'Budget Summary I'!R35+'Budget Summary I'!T35</f>
        <v>0</v>
      </c>
      <c r="G33" s="267">
        <f>'Budget Summary I'!U35+'Budget Summary I'!W35</f>
        <v>0</v>
      </c>
      <c r="H33" s="267">
        <f>'Budget Summary I'!V35+'Budget Summary I'!X35</f>
        <v>0</v>
      </c>
      <c r="I33" s="266">
        <f>'Budget Summary I'!Y35+'Budget Summary I'!AA35</f>
        <v>0</v>
      </c>
      <c r="J33" s="266">
        <f>'Budget Summary I'!Z35+'Budget Summary I'!AB35</f>
        <v>0</v>
      </c>
      <c r="K33" s="267">
        <f>'Budget Summary I'!AC35+'Budget Summary I'!AE35</f>
        <v>0</v>
      </c>
      <c r="L33" s="267">
        <f>'Budget Summary I'!AD35+'Budget Summary I'!AF35</f>
        <v>0</v>
      </c>
      <c r="M33" s="267">
        <f>'Budget Summary I'!AG35</f>
        <v>0</v>
      </c>
      <c r="N33" s="267">
        <f>'Budget Summary I'!AH35</f>
        <v>0</v>
      </c>
      <c r="O33" s="267">
        <f>'Budget Summary I'!AI35+'Budget Summary I'!AK35</f>
        <v>0</v>
      </c>
      <c r="P33" s="267">
        <f>'Budget Summary I'!AJ35+'Budget Summary I'!AL35</f>
        <v>0</v>
      </c>
      <c r="Q33" s="267">
        <f>'Budget Summary I'!AM35</f>
        <v>0</v>
      </c>
      <c r="R33" s="267">
        <f>'Budget Summary I'!AN35</f>
        <v>0</v>
      </c>
    </row>
    <row r="34" spans="1:18" ht="15" x14ac:dyDescent="0.2">
      <c r="A34" s="3783"/>
      <c r="B34" s="655" t="s">
        <v>3854</v>
      </c>
      <c r="C34" s="659">
        <f t="shared" si="2"/>
        <v>0</v>
      </c>
      <c r="D34" s="659">
        <f t="shared" si="2"/>
        <v>0</v>
      </c>
      <c r="E34" s="266">
        <f>'Budget Summary I'!E36+'Budget Summary I'!G36+'Budget Summary I'!I36+'Budget Summary I'!K36+'Budget Summary I'!M36+'Budget Summary I'!O36+'Budget Summary I'!Q36+'Budget Summary I'!S36</f>
        <v>0</v>
      </c>
      <c r="F34" s="266">
        <f>'Budget Summary I'!F36+'Budget Summary I'!H36+'Budget Summary I'!J36+'Budget Summary I'!L36+'Budget Summary I'!N36+'Budget Summary I'!P36+'Budget Summary I'!R36+'Budget Summary I'!T36</f>
        <v>0</v>
      </c>
      <c r="G34" s="267">
        <f>'Budget Summary I'!U36+'Budget Summary I'!W36</f>
        <v>0</v>
      </c>
      <c r="H34" s="267">
        <f>'Budget Summary I'!V36+'Budget Summary I'!X36</f>
        <v>0</v>
      </c>
      <c r="I34" s="266">
        <f>'Budget Summary I'!Y36+'Budget Summary I'!AA36</f>
        <v>0</v>
      </c>
      <c r="J34" s="266">
        <f>'Budget Summary I'!Z36+'Budget Summary I'!AB36</f>
        <v>0</v>
      </c>
      <c r="K34" s="267">
        <f>'Budget Summary I'!AC36+'Budget Summary I'!AE36</f>
        <v>0</v>
      </c>
      <c r="L34" s="267">
        <f>'Budget Summary I'!AD36+'Budget Summary I'!AF36</f>
        <v>0</v>
      </c>
      <c r="M34" s="267">
        <f>'Budget Summary I'!AG36</f>
        <v>0</v>
      </c>
      <c r="N34" s="267">
        <f>'Budget Summary I'!AH36</f>
        <v>0</v>
      </c>
      <c r="O34" s="267">
        <f>'Budget Summary I'!AI36+'Budget Summary I'!AK36</f>
        <v>0</v>
      </c>
      <c r="P34" s="267">
        <f>'Budget Summary I'!AJ36+'Budget Summary I'!AL36</f>
        <v>0</v>
      </c>
      <c r="Q34" s="267">
        <f>'Budget Summary I'!AM36</f>
        <v>0</v>
      </c>
      <c r="R34" s="267">
        <f>'Budget Summary I'!AN36</f>
        <v>0</v>
      </c>
    </row>
    <row r="35" spans="1:18" ht="15" x14ac:dyDescent="0.2">
      <c r="A35" s="3783"/>
      <c r="B35" s="655" t="s">
        <v>4735</v>
      </c>
      <c r="C35" s="659">
        <f t="shared" si="2"/>
        <v>128.08000000000001</v>
      </c>
      <c r="D35" s="659">
        <f t="shared" si="2"/>
        <v>0</v>
      </c>
      <c r="E35" s="266">
        <f>'Budget Summary I'!E37+'Budget Summary I'!G37+'Budget Summary I'!I37+'Budget Summary I'!K37+'Budget Summary I'!M37+'Budget Summary I'!O37+'Budget Summary I'!Q37+'Budget Summary I'!S37</f>
        <v>0</v>
      </c>
      <c r="F35" s="266">
        <f>'Budget Summary I'!F37+'Budget Summary I'!H37+'Budget Summary I'!J37+'Budget Summary I'!L37+'Budget Summary I'!N37+'Budget Summary I'!P37+'Budget Summary I'!R37+'Budget Summary I'!T37</f>
        <v>0</v>
      </c>
      <c r="G35" s="267">
        <f>'Budget Summary I'!U37+'Budget Summary I'!W37</f>
        <v>0</v>
      </c>
      <c r="H35" s="267">
        <f>'Budget Summary I'!V37+'Budget Summary I'!X37</f>
        <v>0</v>
      </c>
      <c r="I35" s="266">
        <f>'Budget Summary I'!Y37+'Budget Summary I'!AA37</f>
        <v>128.08000000000001</v>
      </c>
      <c r="J35" s="266">
        <f>'Budget Summary I'!Z37+'Budget Summary I'!AB37</f>
        <v>0</v>
      </c>
      <c r="K35" s="267">
        <f>'Budget Summary I'!AC37+'Budget Summary I'!AE37</f>
        <v>0</v>
      </c>
      <c r="L35" s="267">
        <f>'Budget Summary I'!AD37+'Budget Summary I'!AF37</f>
        <v>0</v>
      </c>
      <c r="M35" s="267">
        <f>'Budget Summary I'!AG37</f>
        <v>0</v>
      </c>
      <c r="N35" s="267">
        <f>'Budget Summary I'!AH37</f>
        <v>0</v>
      </c>
      <c r="O35" s="267">
        <f>'Budget Summary I'!AI37+'Budget Summary I'!AK37</f>
        <v>0</v>
      </c>
      <c r="P35" s="267">
        <f>'Budget Summary I'!AJ37+'Budget Summary I'!AL37</f>
        <v>0</v>
      </c>
      <c r="Q35" s="267">
        <f>'Budget Summary I'!AM37</f>
        <v>0</v>
      </c>
      <c r="R35" s="267">
        <f>'Budget Summary I'!AN37</f>
        <v>0</v>
      </c>
    </row>
    <row r="36" spans="1:18" ht="15" x14ac:dyDescent="0.2">
      <c r="A36" s="3783" t="s">
        <v>4690</v>
      </c>
      <c r="B36" s="655" t="s">
        <v>3879</v>
      </c>
      <c r="C36" s="659">
        <f t="shared" si="2"/>
        <v>0</v>
      </c>
      <c r="D36" s="659">
        <f t="shared" si="2"/>
        <v>0</v>
      </c>
      <c r="E36" s="266">
        <f>'Budget Summary I'!E38+'Budget Summary I'!G38+'Budget Summary I'!I38+'Budget Summary I'!K38+'Budget Summary I'!M38+'Budget Summary I'!O38+'Budget Summary I'!Q38+'Budget Summary I'!S38</f>
        <v>0</v>
      </c>
      <c r="F36" s="266">
        <f>'Budget Summary I'!F38+'Budget Summary I'!H38+'Budget Summary I'!J38+'Budget Summary I'!L38+'Budget Summary I'!N38+'Budget Summary I'!P38+'Budget Summary I'!R38+'Budget Summary I'!T38</f>
        <v>0</v>
      </c>
      <c r="G36" s="267">
        <f>'Budget Summary I'!U38+'Budget Summary I'!W38</f>
        <v>0</v>
      </c>
      <c r="H36" s="267">
        <f>'Budget Summary I'!V38+'Budget Summary I'!X38</f>
        <v>0</v>
      </c>
      <c r="I36" s="266">
        <f>'Budget Summary I'!Y38+'Budget Summary I'!AA38</f>
        <v>0</v>
      </c>
      <c r="J36" s="266">
        <f>'Budget Summary I'!Z38+'Budget Summary I'!AB38</f>
        <v>0</v>
      </c>
      <c r="K36" s="267">
        <f>'Budget Summary I'!AC38+'Budget Summary I'!AE38</f>
        <v>0</v>
      </c>
      <c r="L36" s="267">
        <f>'Budget Summary I'!AD38+'Budget Summary I'!AF38</f>
        <v>0</v>
      </c>
      <c r="M36" s="267">
        <f>'Budget Summary I'!AG38</f>
        <v>0</v>
      </c>
      <c r="N36" s="267">
        <f>'Budget Summary I'!AH38</f>
        <v>0</v>
      </c>
      <c r="O36" s="267">
        <f>'Budget Summary I'!AI38+'Budget Summary I'!AK38</f>
        <v>0</v>
      </c>
      <c r="P36" s="267">
        <f>'Budget Summary I'!AJ38+'Budget Summary I'!AL38</f>
        <v>0</v>
      </c>
      <c r="Q36" s="267">
        <f>'Budget Summary I'!AM38</f>
        <v>0</v>
      </c>
      <c r="R36" s="267">
        <f>'Budget Summary I'!AN38</f>
        <v>0</v>
      </c>
    </row>
    <row r="37" spans="1:18" ht="15" x14ac:dyDescent="0.2">
      <c r="A37" s="3783"/>
      <c r="B37" s="655" t="s">
        <v>3880</v>
      </c>
      <c r="C37" s="659">
        <f t="shared" si="2"/>
        <v>20</v>
      </c>
      <c r="D37" s="659">
        <f t="shared" si="2"/>
        <v>0</v>
      </c>
      <c r="E37" s="266">
        <f>'Budget Summary I'!E39+'Budget Summary I'!G39+'Budget Summary I'!I39+'Budget Summary I'!K39+'Budget Summary I'!M39+'Budget Summary I'!O39+'Budget Summary I'!Q39+'Budget Summary I'!S39</f>
        <v>20</v>
      </c>
      <c r="F37" s="266">
        <f>'Budget Summary I'!F39+'Budget Summary I'!H39+'Budget Summary I'!J39+'Budget Summary I'!L39+'Budget Summary I'!N39+'Budget Summary I'!P39+'Budget Summary I'!R39+'Budget Summary I'!T39</f>
        <v>0</v>
      </c>
      <c r="G37" s="267">
        <f>'Budget Summary I'!U39+'Budget Summary I'!W39</f>
        <v>0</v>
      </c>
      <c r="H37" s="267">
        <f>'Budget Summary I'!V39+'Budget Summary I'!X39</f>
        <v>0</v>
      </c>
      <c r="I37" s="266">
        <f>'Budget Summary I'!Y39+'Budget Summary I'!AA39</f>
        <v>0</v>
      </c>
      <c r="J37" s="266">
        <f>'Budget Summary I'!Z39+'Budget Summary I'!AB39</f>
        <v>0</v>
      </c>
      <c r="K37" s="267">
        <f>'Budget Summary I'!AC39+'Budget Summary I'!AE39</f>
        <v>0</v>
      </c>
      <c r="L37" s="267">
        <f>'Budget Summary I'!AD39+'Budget Summary I'!AF39</f>
        <v>0</v>
      </c>
      <c r="M37" s="267">
        <f>'Budget Summary I'!AG39</f>
        <v>0</v>
      </c>
      <c r="N37" s="267">
        <f>'Budget Summary I'!AH39</f>
        <v>0</v>
      </c>
      <c r="O37" s="267">
        <f>'Budget Summary I'!AI39+'Budget Summary I'!AK39</f>
        <v>0</v>
      </c>
      <c r="P37" s="267">
        <f>'Budget Summary I'!AJ39+'Budget Summary I'!AL39</f>
        <v>0</v>
      </c>
      <c r="Q37" s="267">
        <f>'Budget Summary I'!AM39</f>
        <v>0</v>
      </c>
      <c r="R37" s="267">
        <f>'Budget Summary I'!AN39</f>
        <v>0</v>
      </c>
    </row>
    <row r="38" spans="1:18" ht="15" x14ac:dyDescent="0.2">
      <c r="A38" s="3783"/>
      <c r="B38" s="655" t="s">
        <v>3881</v>
      </c>
      <c r="C38" s="659">
        <f t="shared" si="2"/>
        <v>0</v>
      </c>
      <c r="D38" s="659">
        <f t="shared" si="2"/>
        <v>0</v>
      </c>
      <c r="E38" s="266">
        <f>'Budget Summary I'!E40+'Budget Summary I'!G40+'Budget Summary I'!I40+'Budget Summary I'!K40+'Budget Summary I'!M40+'Budget Summary I'!O40+'Budget Summary I'!Q40+'Budget Summary I'!S40</f>
        <v>0</v>
      </c>
      <c r="F38" s="266">
        <f>'Budget Summary I'!F40+'Budget Summary I'!H40+'Budget Summary I'!J40+'Budget Summary I'!L40+'Budget Summary I'!N40+'Budget Summary I'!P40+'Budget Summary I'!R40+'Budget Summary I'!T40</f>
        <v>0</v>
      </c>
      <c r="G38" s="267">
        <f>'Budget Summary I'!U40+'Budget Summary I'!W40</f>
        <v>0</v>
      </c>
      <c r="H38" s="267">
        <f>'Budget Summary I'!V40+'Budget Summary I'!X40</f>
        <v>0</v>
      </c>
      <c r="I38" s="266">
        <f>'Budget Summary I'!Y40+'Budget Summary I'!AA40</f>
        <v>0</v>
      </c>
      <c r="J38" s="266">
        <f>'Budget Summary I'!Z40+'Budget Summary I'!AB40</f>
        <v>0</v>
      </c>
      <c r="K38" s="267">
        <f>'Budget Summary I'!AC40+'Budget Summary I'!AE40</f>
        <v>0</v>
      </c>
      <c r="L38" s="267">
        <f>'Budget Summary I'!AD40+'Budget Summary I'!AF40</f>
        <v>0</v>
      </c>
      <c r="M38" s="267">
        <f>'Budget Summary I'!AG40</f>
        <v>0</v>
      </c>
      <c r="N38" s="267">
        <f>'Budget Summary I'!AH40</f>
        <v>0</v>
      </c>
      <c r="O38" s="267">
        <f>'Budget Summary I'!AI40+'Budget Summary I'!AK40</f>
        <v>0</v>
      </c>
      <c r="P38" s="267">
        <f>'Budget Summary I'!AJ40+'Budget Summary I'!AL40</f>
        <v>0</v>
      </c>
      <c r="Q38" s="267">
        <f>'Budget Summary I'!AM40</f>
        <v>0</v>
      </c>
      <c r="R38" s="267">
        <f>'Budget Summary I'!AN40</f>
        <v>0</v>
      </c>
    </row>
    <row r="39" spans="1:18" ht="15" x14ac:dyDescent="0.2">
      <c r="A39" s="3783"/>
      <c r="B39" s="655" t="s">
        <v>4628</v>
      </c>
      <c r="C39" s="659">
        <f t="shared" si="2"/>
        <v>3301.2784799999999</v>
      </c>
      <c r="D39" s="659">
        <f>F39+H39+J39+L39+N39+P39+R39</f>
        <v>0</v>
      </c>
      <c r="E39" s="266">
        <f>'Budget Summary I'!E41+'Budget Summary I'!G41+'Budget Summary I'!I41+'Budget Summary I'!K41+'Budget Summary I'!M41+'Budget Summary I'!O41+'Budget Summary I'!Q41+'Budget Summary I'!S41</f>
        <v>0</v>
      </c>
      <c r="F39" s="266">
        <f>'Budget Summary I'!F41+'Budget Summary I'!H41+'Budget Summary I'!J41+'Budget Summary I'!L41+'Budget Summary I'!N41+'Budget Summary I'!P41+'Budget Summary I'!R41+'Budget Summary I'!T41</f>
        <v>0</v>
      </c>
      <c r="G39" s="267">
        <f>'Budget Summary I'!U41+'Budget Summary I'!W41</f>
        <v>0</v>
      </c>
      <c r="H39" s="267">
        <f>'Budget Summary I'!V41+'Budget Summary I'!X41</f>
        <v>0</v>
      </c>
      <c r="I39" s="266">
        <f>'Budget Summary I'!Y41+'Budget Summary I'!AA41</f>
        <v>3301.2784799999999</v>
      </c>
      <c r="J39" s="266">
        <f>'Budget Summary I'!Z41+'Budget Summary I'!AB41</f>
        <v>0</v>
      </c>
      <c r="K39" s="267">
        <f>'Budget Summary I'!AC41+'Budget Summary I'!AE41</f>
        <v>0</v>
      </c>
      <c r="L39" s="267">
        <f>'Budget Summary I'!AD41+'Budget Summary I'!AF41</f>
        <v>0</v>
      </c>
      <c r="M39" s="267">
        <f>'Budget Summary I'!AG41</f>
        <v>0</v>
      </c>
      <c r="N39" s="267">
        <f>'Budget Summary I'!AH41</f>
        <v>0</v>
      </c>
      <c r="O39" s="267">
        <f>'Budget Summary I'!AI41+'Budget Summary I'!AK41</f>
        <v>0</v>
      </c>
      <c r="P39" s="267">
        <f>'Budget Summary I'!AJ41+'Budget Summary I'!AL41</f>
        <v>0</v>
      </c>
      <c r="Q39" s="267">
        <f>'Budget Summary I'!AM41</f>
        <v>0</v>
      </c>
      <c r="R39" s="267">
        <f>'Budget Summary I'!AN41</f>
        <v>0</v>
      </c>
    </row>
    <row r="40" spans="1:18" ht="15" x14ac:dyDescent="0.2">
      <c r="A40" s="3783"/>
      <c r="B40" s="655" t="s">
        <v>3882</v>
      </c>
      <c r="C40" s="659">
        <f t="shared" si="2"/>
        <v>0</v>
      </c>
      <c r="D40" s="659">
        <f t="shared" si="2"/>
        <v>0</v>
      </c>
      <c r="E40" s="266">
        <f>'Budget Summary I'!E42+'Budget Summary I'!G42+'Budget Summary I'!I42+'Budget Summary I'!K42+'Budget Summary I'!M42+'Budget Summary I'!O42+'Budget Summary I'!Q42+'Budget Summary I'!S42</f>
        <v>0</v>
      </c>
      <c r="F40" s="266">
        <f>'Budget Summary I'!F42+'Budget Summary I'!H42+'Budget Summary I'!J42+'Budget Summary I'!L42+'Budget Summary I'!N42+'Budget Summary I'!P42+'Budget Summary I'!R42+'Budget Summary I'!T42</f>
        <v>0</v>
      </c>
      <c r="G40" s="267">
        <f>'Budget Summary I'!U42+'Budget Summary I'!W42</f>
        <v>0</v>
      </c>
      <c r="H40" s="267">
        <f>'Budget Summary I'!V42+'Budget Summary I'!X42</f>
        <v>0</v>
      </c>
      <c r="I40" s="266">
        <f>'Budget Summary I'!Y42+'Budget Summary I'!AA42</f>
        <v>0</v>
      </c>
      <c r="J40" s="266">
        <f>'Budget Summary I'!Z42+'Budget Summary I'!AB42</f>
        <v>0</v>
      </c>
      <c r="K40" s="267">
        <f>'Budget Summary I'!AC42+'Budget Summary I'!AE42</f>
        <v>0</v>
      </c>
      <c r="L40" s="267">
        <f>'Budget Summary I'!AD42+'Budget Summary I'!AF42</f>
        <v>0</v>
      </c>
      <c r="M40" s="267">
        <f>'Budget Summary I'!AG42</f>
        <v>0</v>
      </c>
      <c r="N40" s="267">
        <f>'Budget Summary I'!AH42</f>
        <v>0</v>
      </c>
      <c r="O40" s="267">
        <f>'Budget Summary I'!AI42+'Budget Summary I'!AK42</f>
        <v>0</v>
      </c>
      <c r="P40" s="267">
        <f>'Budget Summary I'!AJ42+'Budget Summary I'!AL42</f>
        <v>0</v>
      </c>
      <c r="Q40" s="267">
        <f>'Budget Summary I'!AM42</f>
        <v>0</v>
      </c>
      <c r="R40" s="267">
        <f>'Budget Summary I'!AN42</f>
        <v>0</v>
      </c>
    </row>
    <row r="41" spans="1:18" ht="15" x14ac:dyDescent="0.2">
      <c r="A41" s="3783"/>
      <c r="B41" s="655" t="s">
        <v>3900</v>
      </c>
      <c r="C41" s="659">
        <f t="shared" si="2"/>
        <v>0</v>
      </c>
      <c r="D41" s="659">
        <f t="shared" si="2"/>
        <v>0</v>
      </c>
      <c r="E41" s="266">
        <f>'Budget Summary I'!E43+'Budget Summary I'!G43+'Budget Summary I'!I43+'Budget Summary I'!K43+'Budget Summary I'!M43+'Budget Summary I'!O43+'Budget Summary I'!Q43+'Budget Summary I'!S43</f>
        <v>0</v>
      </c>
      <c r="F41" s="266">
        <f>'Budget Summary I'!F43+'Budget Summary I'!H43+'Budget Summary I'!J43+'Budget Summary I'!L43+'Budget Summary I'!N43+'Budget Summary I'!P43+'Budget Summary I'!R43+'Budget Summary I'!T43</f>
        <v>0</v>
      </c>
      <c r="G41" s="267">
        <f>'Budget Summary I'!U43+'Budget Summary I'!W43</f>
        <v>0</v>
      </c>
      <c r="H41" s="267">
        <f>'Budget Summary I'!V43+'Budget Summary I'!X43</f>
        <v>0</v>
      </c>
      <c r="I41" s="266">
        <f>'Budget Summary I'!Y43+'Budget Summary I'!AA43</f>
        <v>0</v>
      </c>
      <c r="J41" s="266">
        <f>'Budget Summary I'!Z43+'Budget Summary I'!AB43</f>
        <v>0</v>
      </c>
      <c r="K41" s="267">
        <f>'Budget Summary I'!AC43+'Budget Summary I'!AE43</f>
        <v>0</v>
      </c>
      <c r="L41" s="267">
        <f>'Budget Summary I'!AD43+'Budget Summary I'!AF43</f>
        <v>0</v>
      </c>
      <c r="M41" s="267">
        <f>'Budget Summary I'!AG43</f>
        <v>0</v>
      </c>
      <c r="N41" s="267">
        <f>'Budget Summary I'!AH43</f>
        <v>0</v>
      </c>
      <c r="O41" s="267">
        <f>'Budget Summary I'!AI43+'Budget Summary I'!AK43</f>
        <v>0</v>
      </c>
      <c r="P41" s="267">
        <f>'Budget Summary I'!AJ43+'Budget Summary I'!AL43</f>
        <v>0</v>
      </c>
      <c r="Q41" s="267">
        <f>'Budget Summary I'!AM43</f>
        <v>0</v>
      </c>
      <c r="R41" s="267">
        <f>'Budget Summary I'!AN43</f>
        <v>0</v>
      </c>
    </row>
    <row r="42" spans="1:18" ht="15" x14ac:dyDescent="0.2">
      <c r="A42" s="3783"/>
      <c r="B42" s="655" t="s">
        <v>4696</v>
      </c>
      <c r="C42" s="659">
        <f t="shared" si="2"/>
        <v>27.65</v>
      </c>
      <c r="D42" s="659">
        <f t="shared" si="2"/>
        <v>0</v>
      </c>
      <c r="E42" s="266">
        <f>'Budget Summary I'!E44+'Budget Summary I'!G44+'Budget Summary I'!I44+'Budget Summary I'!K44+'Budget Summary I'!M44+'Budget Summary I'!O44+'Budget Summary I'!Q44+'Budget Summary I'!S44</f>
        <v>0</v>
      </c>
      <c r="F42" s="266">
        <f>'Budget Summary I'!F44+'Budget Summary I'!H44+'Budget Summary I'!J44+'Budget Summary I'!L44+'Budget Summary I'!N44+'Budget Summary I'!P44+'Budget Summary I'!R44+'Budget Summary I'!T44</f>
        <v>0</v>
      </c>
      <c r="G42" s="267">
        <f>'Budget Summary I'!U44+'Budget Summary I'!W44</f>
        <v>0</v>
      </c>
      <c r="H42" s="267">
        <f>'Budget Summary I'!V44+'Budget Summary I'!X44</f>
        <v>0</v>
      </c>
      <c r="I42" s="266">
        <f>'Budget Summary I'!Y44+'Budget Summary I'!AA44</f>
        <v>27.65</v>
      </c>
      <c r="J42" s="266">
        <f>'Budget Summary I'!Z44+'Budget Summary I'!AB44</f>
        <v>0</v>
      </c>
      <c r="K42" s="267">
        <f>'Budget Summary I'!AC44+'Budget Summary I'!AE44</f>
        <v>0</v>
      </c>
      <c r="L42" s="267">
        <f>'Budget Summary I'!AD44+'Budget Summary I'!AF44</f>
        <v>0</v>
      </c>
      <c r="M42" s="267">
        <f>'Budget Summary I'!AG44</f>
        <v>0</v>
      </c>
      <c r="N42" s="267">
        <f>'Budget Summary I'!AH44</f>
        <v>0</v>
      </c>
      <c r="O42" s="267">
        <f>'Budget Summary I'!AI44+'Budget Summary I'!AK44</f>
        <v>0</v>
      </c>
      <c r="P42" s="267">
        <f>'Budget Summary I'!AJ44+'Budget Summary I'!AL44</f>
        <v>0</v>
      </c>
      <c r="Q42" s="267">
        <f>'Budget Summary I'!AM44</f>
        <v>0</v>
      </c>
      <c r="R42" s="267">
        <f>'Budget Summary I'!AN44</f>
        <v>0</v>
      </c>
    </row>
    <row r="43" spans="1:18" ht="15" x14ac:dyDescent="0.2">
      <c r="A43" s="3783"/>
      <c r="B43" s="655" t="s">
        <v>5277</v>
      </c>
      <c r="C43" s="659">
        <f t="shared" si="2"/>
        <v>0</v>
      </c>
      <c r="D43" s="659">
        <f t="shared" si="2"/>
        <v>0</v>
      </c>
      <c r="E43" s="266">
        <f>'Budget Summary I'!E45+'Budget Summary I'!G45+'Budget Summary I'!I45+'Budget Summary I'!K45+'Budget Summary I'!M45+'Budget Summary I'!O45+'Budget Summary I'!Q45+'Budget Summary I'!S45</f>
        <v>0</v>
      </c>
      <c r="F43" s="266">
        <f>'Budget Summary I'!F45+'Budget Summary I'!H45+'Budget Summary I'!J45+'Budget Summary I'!L45+'Budget Summary I'!N45+'Budget Summary I'!P45+'Budget Summary I'!R45+'Budget Summary I'!T45</f>
        <v>0</v>
      </c>
      <c r="G43" s="267">
        <f>'Budget Summary I'!U45+'Budget Summary I'!W45</f>
        <v>0</v>
      </c>
      <c r="H43" s="267">
        <f>'Budget Summary I'!V45+'Budget Summary I'!X45</f>
        <v>0</v>
      </c>
      <c r="I43" s="266">
        <f>'Budget Summary I'!Y45+'Budget Summary I'!AA45</f>
        <v>0</v>
      </c>
      <c r="J43" s="266">
        <f>'Budget Summary I'!Z45+'Budget Summary I'!AB45</f>
        <v>0</v>
      </c>
      <c r="K43" s="267">
        <f>'Budget Summary I'!AC45+'Budget Summary I'!AG45</f>
        <v>0</v>
      </c>
      <c r="L43" s="267">
        <f>'Budget Summary I'!AD45+'Budget Summary I'!AH45</f>
        <v>0</v>
      </c>
      <c r="M43" s="267">
        <f>'Budget Summary I'!AG45</f>
        <v>0</v>
      </c>
      <c r="N43" s="267">
        <f>'Budget Summary I'!AH45</f>
        <v>0</v>
      </c>
      <c r="O43" s="267">
        <f>'Budget Summary I'!AI45+'Budget Summary I'!AK45</f>
        <v>0</v>
      </c>
      <c r="P43" s="267">
        <f>'Budget Summary I'!AJ45+'Budget Summary I'!AL45</f>
        <v>0</v>
      </c>
      <c r="Q43" s="267">
        <f>'Budget Summary I'!AM45</f>
        <v>0</v>
      </c>
      <c r="R43" s="267">
        <f>'Budget Summary I'!AN45</f>
        <v>0</v>
      </c>
    </row>
    <row r="44" spans="1:18" ht="30" x14ac:dyDescent="0.2">
      <c r="A44" s="3783" t="s">
        <v>4697</v>
      </c>
      <c r="B44" s="655" t="s">
        <v>4691</v>
      </c>
      <c r="C44" s="659">
        <f t="shared" si="2"/>
        <v>0</v>
      </c>
      <c r="D44" s="659">
        <f t="shared" si="2"/>
        <v>0</v>
      </c>
      <c r="E44" s="266">
        <f>'Budget Summary I'!E46+'Budget Summary I'!G46+'Budget Summary I'!I46+'Budget Summary I'!K46+'Budget Summary I'!M46+'Budget Summary I'!O46+'Budget Summary I'!Q46+'Budget Summary I'!S46</f>
        <v>0</v>
      </c>
      <c r="F44" s="266">
        <f>'Budget Summary I'!F46+'Budget Summary I'!H46+'Budget Summary I'!J46+'Budget Summary I'!L46+'Budget Summary I'!N46+'Budget Summary I'!P46+'Budget Summary I'!R46+'Budget Summary I'!T46</f>
        <v>0</v>
      </c>
      <c r="G44" s="267">
        <f>'Budget Summary I'!U46+'Budget Summary I'!W46</f>
        <v>0</v>
      </c>
      <c r="H44" s="267">
        <f>'Budget Summary I'!V46+'Budget Summary I'!X46</f>
        <v>0</v>
      </c>
      <c r="I44" s="266">
        <f>'Budget Summary I'!Y46+'Budget Summary I'!AA46</f>
        <v>0</v>
      </c>
      <c r="J44" s="266">
        <f>'Budget Summary I'!Z46+'Budget Summary I'!AB46</f>
        <v>0</v>
      </c>
      <c r="K44" s="267">
        <f>'Budget Summary I'!AC46+'Budget Summary I'!AE46</f>
        <v>0</v>
      </c>
      <c r="L44" s="267">
        <f>'Budget Summary I'!AD46+'Budget Summary I'!AF46</f>
        <v>0</v>
      </c>
      <c r="M44" s="267">
        <f>'Budget Summary I'!AG46</f>
        <v>0</v>
      </c>
      <c r="N44" s="267">
        <f>'Budget Summary I'!AH46</f>
        <v>0</v>
      </c>
      <c r="O44" s="267">
        <f>'Budget Summary I'!AI46+'Budget Summary I'!AK46</f>
        <v>0</v>
      </c>
      <c r="P44" s="267">
        <f>'Budget Summary I'!AJ46+'Budget Summary I'!AL46</f>
        <v>0</v>
      </c>
      <c r="Q44" s="267">
        <f>'Budget Summary I'!AM46</f>
        <v>0</v>
      </c>
      <c r="R44" s="267">
        <f>'Budget Summary I'!AN46</f>
        <v>0</v>
      </c>
    </row>
    <row r="45" spans="1:18" ht="15" x14ac:dyDescent="0.2">
      <c r="A45" s="3783"/>
      <c r="B45" s="655" t="s">
        <v>3887</v>
      </c>
      <c r="C45" s="659">
        <f t="shared" si="2"/>
        <v>0</v>
      </c>
      <c r="D45" s="659">
        <f t="shared" si="2"/>
        <v>0</v>
      </c>
      <c r="E45" s="266">
        <f>'Budget Summary I'!E47+'Budget Summary I'!G47+'Budget Summary I'!I47+'Budget Summary I'!K47+'Budget Summary I'!M47+'Budget Summary I'!O47+'Budget Summary I'!Q47+'Budget Summary I'!S47</f>
        <v>0</v>
      </c>
      <c r="F45" s="266">
        <f>'Budget Summary I'!F47+'Budget Summary I'!H47+'Budget Summary I'!J47+'Budget Summary I'!L47+'Budget Summary I'!N47+'Budget Summary I'!P47+'Budget Summary I'!R47+'Budget Summary I'!T47</f>
        <v>0</v>
      </c>
      <c r="G45" s="267">
        <f>'Budget Summary I'!U47+'Budget Summary I'!W47</f>
        <v>0</v>
      </c>
      <c r="H45" s="267">
        <f>'Budget Summary I'!V47+'Budget Summary I'!X47</f>
        <v>0</v>
      </c>
      <c r="I45" s="266">
        <f>'Budget Summary I'!Y47+'Budget Summary I'!AA47</f>
        <v>0</v>
      </c>
      <c r="J45" s="266">
        <f>'Budget Summary I'!Z47+'Budget Summary I'!AB47</f>
        <v>0</v>
      </c>
      <c r="K45" s="267">
        <f>'Budget Summary I'!AC47+'Budget Summary I'!AE47</f>
        <v>0</v>
      </c>
      <c r="L45" s="267">
        <f>'Budget Summary I'!AD47+'Budget Summary I'!AF47</f>
        <v>0</v>
      </c>
      <c r="M45" s="267">
        <f>'Budget Summary I'!AG47</f>
        <v>0</v>
      </c>
      <c r="N45" s="267">
        <f>'Budget Summary I'!AH47</f>
        <v>0</v>
      </c>
      <c r="O45" s="267">
        <f>'Budget Summary I'!AI47+'Budget Summary I'!AK47</f>
        <v>0</v>
      </c>
      <c r="P45" s="267">
        <f>'Budget Summary I'!AJ47+'Budget Summary I'!AL47</f>
        <v>0</v>
      </c>
      <c r="Q45" s="267">
        <f>'Budget Summary I'!AM47</f>
        <v>0</v>
      </c>
      <c r="R45" s="267">
        <f>'Budget Summary I'!AN47</f>
        <v>0</v>
      </c>
    </row>
    <row r="46" spans="1:18" ht="15" x14ac:dyDescent="0.2">
      <c r="A46" s="3783"/>
      <c r="B46" s="655" t="s">
        <v>3885</v>
      </c>
      <c r="C46" s="659">
        <f t="shared" si="2"/>
        <v>0</v>
      </c>
      <c r="D46" s="659">
        <f t="shared" si="2"/>
        <v>0</v>
      </c>
      <c r="E46" s="266">
        <f>'Budget Summary I'!E48+'Budget Summary I'!G48+'Budget Summary I'!I48+'Budget Summary I'!K48+'Budget Summary I'!M48+'Budget Summary I'!O48+'Budget Summary I'!Q48+'Budget Summary I'!S48</f>
        <v>0</v>
      </c>
      <c r="F46" s="266">
        <f>'Budget Summary I'!F48+'Budget Summary I'!H48+'Budget Summary I'!J48+'Budget Summary I'!L48+'Budget Summary I'!N48+'Budget Summary I'!P48+'Budget Summary I'!R48+'Budget Summary I'!T48</f>
        <v>0</v>
      </c>
      <c r="G46" s="267">
        <f>'Budget Summary I'!U48+'Budget Summary I'!W48</f>
        <v>0</v>
      </c>
      <c r="H46" s="267">
        <f>'Budget Summary I'!V48+'Budget Summary I'!X48</f>
        <v>0</v>
      </c>
      <c r="I46" s="266">
        <f>'Budget Summary I'!Y48+'Budget Summary I'!AA48</f>
        <v>0</v>
      </c>
      <c r="J46" s="266">
        <f>'Budget Summary I'!Z48+'Budget Summary I'!AB48</f>
        <v>0</v>
      </c>
      <c r="K46" s="267">
        <f>'Budget Summary I'!AC48+'Budget Summary I'!AE48</f>
        <v>0</v>
      </c>
      <c r="L46" s="267">
        <f>'Budget Summary I'!AD48+'Budget Summary I'!AF48</f>
        <v>0</v>
      </c>
      <c r="M46" s="267">
        <f>'Budget Summary I'!AG48</f>
        <v>0</v>
      </c>
      <c r="N46" s="267">
        <f>'Budget Summary I'!AH48</f>
        <v>0</v>
      </c>
      <c r="O46" s="267">
        <f>'Budget Summary I'!AI48+'Budget Summary I'!AK48</f>
        <v>0</v>
      </c>
      <c r="P46" s="267">
        <f>'Budget Summary I'!AJ48+'Budget Summary I'!AL48</f>
        <v>0</v>
      </c>
      <c r="Q46" s="267">
        <f>'Budget Summary I'!AM48</f>
        <v>0</v>
      </c>
      <c r="R46" s="267">
        <f>'Budget Summary I'!AN48</f>
        <v>0</v>
      </c>
    </row>
    <row r="47" spans="1:18" ht="15" x14ac:dyDescent="0.2">
      <c r="A47" s="3783"/>
      <c r="B47" s="655" t="s">
        <v>3883</v>
      </c>
      <c r="C47" s="659">
        <f t="shared" si="2"/>
        <v>0</v>
      </c>
      <c r="D47" s="659">
        <f t="shared" si="2"/>
        <v>0</v>
      </c>
      <c r="E47" s="266">
        <f>'Budget Summary I'!E49+'Budget Summary I'!G49+'Budget Summary I'!I49+'Budget Summary I'!K49+'Budget Summary I'!M49+'Budget Summary I'!O49+'Budget Summary I'!Q49+'Budget Summary I'!S49</f>
        <v>0</v>
      </c>
      <c r="F47" s="266">
        <f>'Budget Summary I'!F49+'Budget Summary I'!H49+'Budget Summary I'!J49+'Budget Summary I'!L49+'Budget Summary I'!N49+'Budget Summary I'!P49+'Budget Summary I'!R49+'Budget Summary I'!T49</f>
        <v>0</v>
      </c>
      <c r="G47" s="267">
        <f>'Budget Summary I'!U49+'Budget Summary I'!W49</f>
        <v>0</v>
      </c>
      <c r="H47" s="267">
        <f>'Budget Summary I'!V49+'Budget Summary I'!X49</f>
        <v>0</v>
      </c>
      <c r="I47" s="266">
        <f>'Budget Summary I'!Y49+'Budget Summary I'!AA49</f>
        <v>0</v>
      </c>
      <c r="J47" s="266">
        <f>'Budget Summary I'!Z49+'Budget Summary I'!AB49</f>
        <v>0</v>
      </c>
      <c r="K47" s="267">
        <f>'Budget Summary I'!AC49+'Budget Summary I'!AE49</f>
        <v>0</v>
      </c>
      <c r="L47" s="267">
        <f>'Budget Summary I'!AD49+'Budget Summary I'!AF49</f>
        <v>0</v>
      </c>
      <c r="M47" s="267">
        <f>'Budget Summary I'!AG49</f>
        <v>0</v>
      </c>
      <c r="N47" s="267">
        <f>'Budget Summary I'!AH49</f>
        <v>0</v>
      </c>
      <c r="O47" s="267">
        <f>'Budget Summary I'!AI49+'Budget Summary I'!AK49</f>
        <v>0</v>
      </c>
      <c r="P47" s="267">
        <f>'Budget Summary I'!AJ49+'Budget Summary I'!AL49</f>
        <v>0</v>
      </c>
      <c r="Q47" s="267">
        <f>'Budget Summary I'!AM49</f>
        <v>0</v>
      </c>
      <c r="R47" s="267">
        <f>'Budget Summary I'!AN49</f>
        <v>0</v>
      </c>
    </row>
    <row r="48" spans="1:18" ht="30" x14ac:dyDescent="0.2">
      <c r="A48" s="3783"/>
      <c r="B48" s="655" t="s">
        <v>3888</v>
      </c>
      <c r="C48" s="659">
        <f t="shared" si="2"/>
        <v>0</v>
      </c>
      <c r="D48" s="659">
        <f t="shared" si="2"/>
        <v>0</v>
      </c>
      <c r="E48" s="266">
        <f>'Budget Summary I'!E50+'Budget Summary I'!G50+'Budget Summary I'!I50+'Budget Summary I'!K50+'Budget Summary I'!M50+'Budget Summary I'!O50+'Budget Summary I'!Q50+'Budget Summary I'!S50</f>
        <v>0</v>
      </c>
      <c r="F48" s="266">
        <f>'Budget Summary I'!F50+'Budget Summary I'!H50+'Budget Summary I'!J50+'Budget Summary I'!L50+'Budget Summary I'!N50+'Budget Summary I'!P50+'Budget Summary I'!R50+'Budget Summary I'!T50</f>
        <v>0</v>
      </c>
      <c r="G48" s="267">
        <f>'Budget Summary I'!U50+'Budget Summary I'!W50</f>
        <v>0</v>
      </c>
      <c r="H48" s="267">
        <f>'Budget Summary I'!V50+'Budget Summary I'!X50</f>
        <v>0</v>
      </c>
      <c r="I48" s="266">
        <f>'Budget Summary I'!Y50+'Budget Summary I'!AA50</f>
        <v>0</v>
      </c>
      <c r="J48" s="266">
        <f>'Budget Summary I'!Z50+'Budget Summary I'!AB50</f>
        <v>0</v>
      </c>
      <c r="K48" s="267">
        <f>'Budget Summary I'!AC50+'Budget Summary I'!AE50</f>
        <v>0</v>
      </c>
      <c r="L48" s="267">
        <f>'Budget Summary I'!AD50+'Budget Summary I'!AF50</f>
        <v>0</v>
      </c>
      <c r="M48" s="267">
        <f>'Budget Summary I'!AG50</f>
        <v>0</v>
      </c>
      <c r="N48" s="267">
        <f>'Budget Summary I'!AH50</f>
        <v>0</v>
      </c>
      <c r="O48" s="267">
        <f>'Budget Summary I'!AI50+'Budget Summary I'!AK50</f>
        <v>0</v>
      </c>
      <c r="P48" s="267">
        <f>'Budget Summary I'!AJ50+'Budget Summary I'!AL50</f>
        <v>0</v>
      </c>
      <c r="Q48" s="267">
        <f>'Budget Summary I'!AM50</f>
        <v>0</v>
      </c>
      <c r="R48" s="267">
        <f>'Budget Summary I'!AN50</f>
        <v>0</v>
      </c>
    </row>
    <row r="49" spans="1:18" ht="15" x14ac:dyDescent="0.2">
      <c r="A49" s="3783"/>
      <c r="B49" s="655" t="s">
        <v>4692</v>
      </c>
      <c r="C49" s="659">
        <f t="shared" si="2"/>
        <v>510</v>
      </c>
      <c r="D49" s="659">
        <f t="shared" si="2"/>
        <v>0</v>
      </c>
      <c r="E49" s="266">
        <f>'Budget Summary I'!E51+'Budget Summary I'!G51+'Budget Summary I'!I51+'Budget Summary I'!K51+'Budget Summary I'!M51+'Budget Summary I'!O51+'Budget Summary I'!Q51+'Budget Summary I'!S51</f>
        <v>0</v>
      </c>
      <c r="F49" s="266">
        <f>'Budget Summary I'!F51+'Budget Summary I'!H51+'Budget Summary I'!J51+'Budget Summary I'!L51+'Budget Summary I'!N51+'Budget Summary I'!P51+'Budget Summary I'!R51+'Budget Summary I'!T51</f>
        <v>0</v>
      </c>
      <c r="G49" s="267">
        <f>'Budget Summary I'!U51+'Budget Summary I'!W51</f>
        <v>0</v>
      </c>
      <c r="H49" s="267">
        <f>'Budget Summary I'!V51+'Budget Summary I'!X51</f>
        <v>0</v>
      </c>
      <c r="I49" s="266">
        <f>'Budget Summary I'!Y51+'Budget Summary I'!AA51</f>
        <v>510</v>
      </c>
      <c r="J49" s="266">
        <f>'Budget Summary I'!Z51+'Budget Summary I'!AB51</f>
        <v>0</v>
      </c>
      <c r="K49" s="267">
        <f>'Budget Summary I'!AC51+'Budget Summary I'!AE51</f>
        <v>0</v>
      </c>
      <c r="L49" s="267">
        <f>'Budget Summary I'!AD51+'Budget Summary I'!AF51</f>
        <v>0</v>
      </c>
      <c r="M49" s="267">
        <f>'Budget Summary I'!AG51</f>
        <v>0</v>
      </c>
      <c r="N49" s="267">
        <f>'Budget Summary I'!AH51</f>
        <v>0</v>
      </c>
      <c r="O49" s="267">
        <f>'Budget Summary I'!AI51+'Budget Summary I'!AK51</f>
        <v>0</v>
      </c>
      <c r="P49" s="267">
        <f>'Budget Summary I'!AJ51+'Budget Summary I'!AL51</f>
        <v>0</v>
      </c>
      <c r="Q49" s="267">
        <f>'Budget Summary I'!AM51</f>
        <v>0</v>
      </c>
      <c r="R49" s="267">
        <f>'Budget Summary I'!AN51</f>
        <v>0</v>
      </c>
    </row>
    <row r="50" spans="1:18" ht="30" x14ac:dyDescent="0.2">
      <c r="A50" s="3783"/>
      <c r="B50" s="655" t="s">
        <v>4143</v>
      </c>
      <c r="C50" s="659">
        <f t="shared" si="2"/>
        <v>0</v>
      </c>
      <c r="D50" s="659">
        <f t="shared" si="2"/>
        <v>0</v>
      </c>
      <c r="E50" s="266">
        <f>'Budget Summary I'!E52+'Budget Summary I'!G52+'Budget Summary I'!I52+'Budget Summary I'!K52+'Budget Summary I'!M52+'Budget Summary I'!O52+'Budget Summary I'!Q52+'Budget Summary I'!S52</f>
        <v>0</v>
      </c>
      <c r="F50" s="266">
        <f>'Budget Summary I'!F52+'Budget Summary I'!H52+'Budget Summary I'!J52+'Budget Summary I'!L52+'Budget Summary I'!N52+'Budget Summary I'!P52+'Budget Summary I'!R52+'Budget Summary I'!T52</f>
        <v>0</v>
      </c>
      <c r="G50" s="267">
        <f>'Budget Summary I'!U52+'Budget Summary I'!W52</f>
        <v>0</v>
      </c>
      <c r="H50" s="267">
        <f>'Budget Summary I'!V52+'Budget Summary I'!X52</f>
        <v>0</v>
      </c>
      <c r="I50" s="266">
        <f>'Budget Summary I'!Y52+'Budget Summary I'!AA52</f>
        <v>0</v>
      </c>
      <c r="J50" s="266">
        <f>'Budget Summary I'!Z52+'Budget Summary I'!AB52</f>
        <v>0</v>
      </c>
      <c r="K50" s="267">
        <f>'Budget Summary I'!AC52+'Budget Summary I'!AE52</f>
        <v>0</v>
      </c>
      <c r="L50" s="267">
        <f>'Budget Summary I'!AD52+'Budget Summary I'!AF52</f>
        <v>0</v>
      </c>
      <c r="M50" s="267">
        <f>'Budget Summary I'!AG52</f>
        <v>0</v>
      </c>
      <c r="N50" s="267">
        <f>'Budget Summary I'!AH52</f>
        <v>0</v>
      </c>
      <c r="O50" s="267">
        <f>'Budget Summary I'!AI52+'Budget Summary I'!AK52</f>
        <v>0</v>
      </c>
      <c r="P50" s="267">
        <f>'Budget Summary I'!AJ52+'Budget Summary I'!AL52</f>
        <v>0</v>
      </c>
      <c r="Q50" s="267">
        <f>'Budget Summary I'!AM52</f>
        <v>0</v>
      </c>
      <c r="R50" s="267">
        <f>'Budget Summary I'!AN52</f>
        <v>0</v>
      </c>
    </row>
    <row r="51" spans="1:18" ht="15" x14ac:dyDescent="0.2">
      <c r="A51" s="3783"/>
      <c r="B51" s="655" t="s">
        <v>3878</v>
      </c>
      <c r="C51" s="659">
        <f t="shared" si="2"/>
        <v>0</v>
      </c>
      <c r="D51" s="659">
        <f t="shared" si="2"/>
        <v>0</v>
      </c>
      <c r="E51" s="266">
        <f>'Budget Summary I'!E53+'Budget Summary I'!G53+'Budget Summary I'!I53+'Budget Summary I'!K53+'Budget Summary I'!M53+'Budget Summary I'!O53+'Budget Summary I'!Q53+'Budget Summary I'!S53</f>
        <v>0</v>
      </c>
      <c r="F51" s="266">
        <f>'Budget Summary I'!F53+'Budget Summary I'!H53+'Budget Summary I'!J53+'Budget Summary I'!L53+'Budget Summary I'!N53+'Budget Summary I'!P53+'Budget Summary I'!R53+'Budget Summary I'!T53</f>
        <v>0</v>
      </c>
      <c r="G51" s="267">
        <f>'Budget Summary I'!U53+'Budget Summary I'!W53</f>
        <v>0</v>
      </c>
      <c r="H51" s="267">
        <f>'Budget Summary I'!V53+'Budget Summary I'!X53</f>
        <v>0</v>
      </c>
      <c r="I51" s="266">
        <f>'Budget Summary I'!Y53+'Budget Summary I'!AA53</f>
        <v>0</v>
      </c>
      <c r="J51" s="266">
        <f>'Budget Summary I'!Z53+'Budget Summary I'!AB53</f>
        <v>0</v>
      </c>
      <c r="K51" s="267">
        <f>'Budget Summary I'!AC53+'Budget Summary I'!AE53</f>
        <v>0</v>
      </c>
      <c r="L51" s="267">
        <f>'Budget Summary I'!AD53+'Budget Summary I'!AF53</f>
        <v>0</v>
      </c>
      <c r="M51" s="267">
        <f>'Budget Summary I'!AG53</f>
        <v>0</v>
      </c>
      <c r="N51" s="267">
        <f>'Budget Summary I'!AH53</f>
        <v>0</v>
      </c>
      <c r="O51" s="267">
        <f>'Budget Summary I'!AI53+'Budget Summary I'!AK53</f>
        <v>0</v>
      </c>
      <c r="P51" s="267">
        <f>'Budget Summary I'!AJ53+'Budget Summary I'!AL53</f>
        <v>0</v>
      </c>
      <c r="Q51" s="267">
        <f>'Budget Summary I'!AM53</f>
        <v>0</v>
      </c>
      <c r="R51" s="267">
        <f>'Budget Summary I'!AN53</f>
        <v>0</v>
      </c>
    </row>
    <row r="52" spans="1:18" ht="15" x14ac:dyDescent="0.2">
      <c r="A52" s="3783"/>
      <c r="B52" s="655" t="s">
        <v>4080</v>
      </c>
      <c r="C52" s="659">
        <f t="shared" si="2"/>
        <v>0</v>
      </c>
      <c r="D52" s="659">
        <f t="shared" si="2"/>
        <v>0</v>
      </c>
      <c r="E52" s="266">
        <f>'Budget Summary I'!E54+'Budget Summary I'!G54+'Budget Summary I'!I54+'Budget Summary I'!K54+'Budget Summary I'!M54+'Budget Summary I'!O54+'Budget Summary I'!Q54+'Budget Summary I'!S54</f>
        <v>0</v>
      </c>
      <c r="F52" s="266">
        <f>'Budget Summary I'!F54+'Budget Summary I'!H54+'Budget Summary I'!J54+'Budget Summary I'!L54+'Budget Summary I'!N54+'Budget Summary I'!P54+'Budget Summary I'!R54+'Budget Summary I'!T54</f>
        <v>0</v>
      </c>
      <c r="G52" s="267">
        <f>'Budget Summary I'!U54+'Budget Summary I'!W54</f>
        <v>0</v>
      </c>
      <c r="H52" s="267">
        <f>'Budget Summary I'!V54+'Budget Summary I'!X54</f>
        <v>0</v>
      </c>
      <c r="I52" s="266">
        <f>'Budget Summary I'!Y54+'Budget Summary I'!AA54</f>
        <v>0</v>
      </c>
      <c r="J52" s="266">
        <f>'Budget Summary I'!Z54+'Budget Summary I'!AB54</f>
        <v>0</v>
      </c>
      <c r="K52" s="267">
        <f>'Budget Summary I'!AC54+'Budget Summary I'!AE54</f>
        <v>0</v>
      </c>
      <c r="L52" s="267">
        <f>'Budget Summary I'!AD54+'Budget Summary I'!AF54</f>
        <v>0</v>
      </c>
      <c r="M52" s="267">
        <f>'Budget Summary I'!AG54</f>
        <v>0</v>
      </c>
      <c r="N52" s="267">
        <f>'Budget Summary I'!AH54</f>
        <v>0</v>
      </c>
      <c r="O52" s="267">
        <f>'Budget Summary I'!AI54+'Budget Summary I'!AK54</f>
        <v>0</v>
      </c>
      <c r="P52" s="267">
        <f>'Budget Summary I'!AJ54+'Budget Summary I'!AL54</f>
        <v>0</v>
      </c>
      <c r="Q52" s="267">
        <f>'Budget Summary I'!AM54</f>
        <v>0</v>
      </c>
      <c r="R52" s="267">
        <f>'Budget Summary I'!AN54</f>
        <v>0</v>
      </c>
    </row>
    <row r="53" spans="1:18" ht="30" x14ac:dyDescent="0.2">
      <c r="A53" s="3783"/>
      <c r="B53" s="655" t="s">
        <v>4693</v>
      </c>
      <c r="C53" s="659">
        <f t="shared" si="2"/>
        <v>0</v>
      </c>
      <c r="D53" s="659">
        <f t="shared" si="2"/>
        <v>0</v>
      </c>
      <c r="E53" s="266">
        <f>'Budget Summary I'!E55+'Budget Summary I'!G55+'Budget Summary I'!I55+'Budget Summary I'!K55+'Budget Summary I'!M55+'Budget Summary I'!O55+'Budget Summary I'!Q55+'Budget Summary I'!S55</f>
        <v>0</v>
      </c>
      <c r="F53" s="266">
        <f>'Budget Summary I'!F55+'Budget Summary I'!H55+'Budget Summary I'!J55+'Budget Summary I'!L55+'Budget Summary I'!N55+'Budget Summary I'!P55+'Budget Summary I'!R55+'Budget Summary I'!T55</f>
        <v>0</v>
      </c>
      <c r="G53" s="267">
        <f>'Budget Summary I'!U55+'Budget Summary I'!W55</f>
        <v>0</v>
      </c>
      <c r="H53" s="267">
        <f>'Budget Summary I'!V55+'Budget Summary I'!X55</f>
        <v>0</v>
      </c>
      <c r="I53" s="266">
        <f>'Budget Summary I'!Y55+'Budget Summary I'!AA55</f>
        <v>0</v>
      </c>
      <c r="J53" s="266">
        <f>'Budget Summary I'!Z55+'Budget Summary I'!AB55</f>
        <v>0</v>
      </c>
      <c r="K53" s="267">
        <f>'Budget Summary I'!AC55+'Budget Summary I'!AE55</f>
        <v>0</v>
      </c>
      <c r="L53" s="267">
        <f>'Budget Summary I'!AD55+'Budget Summary I'!AF55</f>
        <v>0</v>
      </c>
      <c r="M53" s="267">
        <f>'Budget Summary I'!AG55</f>
        <v>0</v>
      </c>
      <c r="N53" s="267">
        <f>'Budget Summary I'!AH55</f>
        <v>0</v>
      </c>
      <c r="O53" s="267">
        <f>'Budget Summary I'!AI55+'Budget Summary I'!AK55</f>
        <v>0</v>
      </c>
      <c r="P53" s="267">
        <f>'Budget Summary I'!AJ55+'Budget Summary I'!AL55</f>
        <v>0</v>
      </c>
      <c r="Q53" s="267">
        <f>'Budget Summary I'!AM55</f>
        <v>0</v>
      </c>
      <c r="R53" s="267">
        <f>'Budget Summary I'!AN55</f>
        <v>0</v>
      </c>
    </row>
    <row r="54" spans="1:18" ht="30" x14ac:dyDescent="0.2">
      <c r="A54" s="3783"/>
      <c r="B54" s="655" t="s">
        <v>4694</v>
      </c>
      <c r="C54" s="659">
        <f t="shared" si="2"/>
        <v>0</v>
      </c>
      <c r="D54" s="659">
        <f t="shared" si="2"/>
        <v>0</v>
      </c>
      <c r="E54" s="266">
        <f>'Budget Summary I'!E56+'Budget Summary I'!G56+'Budget Summary I'!I56+'Budget Summary I'!K56+'Budget Summary I'!M56+'Budget Summary I'!O56+'Budget Summary I'!Q56+'Budget Summary I'!S56</f>
        <v>0</v>
      </c>
      <c r="F54" s="266">
        <f>'Budget Summary I'!F56+'Budget Summary I'!H56+'Budget Summary I'!J56+'Budget Summary I'!L56+'Budget Summary I'!N56+'Budget Summary I'!P56+'Budget Summary I'!R56+'Budget Summary I'!T56</f>
        <v>0</v>
      </c>
      <c r="G54" s="267">
        <f>'Budget Summary I'!U56+'Budget Summary I'!W56</f>
        <v>0</v>
      </c>
      <c r="H54" s="267">
        <f>'Budget Summary I'!V56+'Budget Summary I'!X56</f>
        <v>0</v>
      </c>
      <c r="I54" s="266">
        <f>'Budget Summary I'!Y56+'Budget Summary I'!AA56</f>
        <v>0</v>
      </c>
      <c r="J54" s="266">
        <f>'Budget Summary I'!Z56+'Budget Summary I'!AB56</f>
        <v>0</v>
      </c>
      <c r="K54" s="267">
        <f>'Budget Summary I'!AC56+'Budget Summary I'!AE56</f>
        <v>0</v>
      </c>
      <c r="L54" s="267">
        <f>'Budget Summary I'!AD56+'Budget Summary I'!AF56</f>
        <v>0</v>
      </c>
      <c r="M54" s="267">
        <f>'Budget Summary I'!AG56</f>
        <v>0</v>
      </c>
      <c r="N54" s="267">
        <f>'Budget Summary I'!AH56</f>
        <v>0</v>
      </c>
      <c r="O54" s="267">
        <f>'Budget Summary I'!AI56+'Budget Summary I'!AK56</f>
        <v>0</v>
      </c>
      <c r="P54" s="267">
        <f>'Budget Summary I'!AJ56+'Budget Summary I'!AL56</f>
        <v>0</v>
      </c>
      <c r="Q54" s="267">
        <f>'Budget Summary I'!AM56</f>
        <v>0</v>
      </c>
      <c r="R54" s="267">
        <f>'Budget Summary I'!AN56</f>
        <v>0</v>
      </c>
    </row>
    <row r="55" spans="1:18" ht="30" x14ac:dyDescent="0.2">
      <c r="A55" s="3783"/>
      <c r="B55" s="655" t="s">
        <v>4695</v>
      </c>
      <c r="C55" s="659">
        <f t="shared" si="2"/>
        <v>0</v>
      </c>
      <c r="D55" s="659">
        <f t="shared" si="2"/>
        <v>0</v>
      </c>
      <c r="E55" s="266">
        <f>'Budget Summary I'!E57+'Budget Summary I'!G57+'Budget Summary I'!I57+'Budget Summary I'!K57+'Budget Summary I'!M57+'Budget Summary I'!O57+'Budget Summary I'!Q57+'Budget Summary I'!S57</f>
        <v>0</v>
      </c>
      <c r="F55" s="266">
        <f>'Budget Summary I'!F57+'Budget Summary I'!H57+'Budget Summary I'!J57+'Budget Summary I'!L57+'Budget Summary I'!N57+'Budget Summary I'!P57+'Budget Summary I'!R57+'Budget Summary I'!T57</f>
        <v>0</v>
      </c>
      <c r="G55" s="267">
        <f>'Budget Summary I'!U57+'Budget Summary I'!W57</f>
        <v>0</v>
      </c>
      <c r="H55" s="267">
        <f>'Budget Summary I'!V57+'Budget Summary I'!X57</f>
        <v>0</v>
      </c>
      <c r="I55" s="266">
        <f>'Budget Summary I'!Y57+'Budget Summary I'!AA57</f>
        <v>0</v>
      </c>
      <c r="J55" s="266">
        <f>'Budget Summary I'!Z57+'Budget Summary I'!AB57</f>
        <v>0</v>
      </c>
      <c r="K55" s="267">
        <f>'Budget Summary I'!AC57+'Budget Summary I'!AE57</f>
        <v>0</v>
      </c>
      <c r="L55" s="267">
        <f>'Budget Summary I'!AD57+'Budget Summary I'!AF57</f>
        <v>0</v>
      </c>
      <c r="M55" s="267">
        <f>'Budget Summary I'!AG57</f>
        <v>0</v>
      </c>
      <c r="N55" s="267">
        <f>'Budget Summary I'!AH57</f>
        <v>0</v>
      </c>
      <c r="O55" s="267">
        <f>'Budget Summary I'!AI57+'Budget Summary I'!AK57</f>
        <v>0</v>
      </c>
      <c r="P55" s="267">
        <f>'Budget Summary I'!AJ57+'Budget Summary I'!AL57</f>
        <v>0</v>
      </c>
      <c r="Q55" s="267">
        <f>'Budget Summary I'!AM57</f>
        <v>0</v>
      </c>
      <c r="R55" s="267">
        <f>'Budget Summary I'!AN57</f>
        <v>0</v>
      </c>
    </row>
    <row r="56" spans="1:18" ht="15" x14ac:dyDescent="0.2">
      <c r="A56" s="3783"/>
      <c r="B56" s="655" t="s">
        <v>5278</v>
      </c>
      <c r="C56" s="659">
        <f t="shared" si="2"/>
        <v>57</v>
      </c>
      <c r="D56" s="659">
        <f t="shared" si="2"/>
        <v>0</v>
      </c>
      <c r="E56" s="266">
        <f>'Budget Summary I'!E58+'Budget Summary I'!G58+'Budget Summary I'!I58+'Budget Summary I'!K58+'Budget Summary I'!M58+'Budget Summary I'!O58+'Budget Summary I'!Q58+'Budget Summary I'!S58</f>
        <v>0</v>
      </c>
      <c r="F56" s="266">
        <f>'Budget Summary I'!F58+'Budget Summary I'!H58+'Budget Summary I'!J58+'Budget Summary I'!L58+'Budget Summary I'!N58+'Budget Summary I'!P58+'Budget Summary I'!R58+'Budget Summary I'!T58</f>
        <v>0</v>
      </c>
      <c r="G56" s="267">
        <f>'Budget Summary I'!U58+'Budget Summary I'!W58</f>
        <v>0</v>
      </c>
      <c r="H56" s="267">
        <f>'Budget Summary I'!V58+'Budget Summary I'!X58</f>
        <v>0</v>
      </c>
      <c r="I56" s="266">
        <f>'Budget Summary I'!Y58+'Budget Summary I'!AA58</f>
        <v>0</v>
      </c>
      <c r="J56" s="266">
        <f>'Budget Summary I'!Z58+'Budget Summary I'!AB58</f>
        <v>0</v>
      </c>
      <c r="K56" s="267">
        <f>'Budget Summary I'!AC58+'Budget Summary I'!AE58</f>
        <v>0</v>
      </c>
      <c r="L56" s="267">
        <f>'Budget Summary I'!AD58+'Budget Summary I'!AF58</f>
        <v>0</v>
      </c>
      <c r="M56" s="267">
        <f>'Budget Summary I'!AG58</f>
        <v>57</v>
      </c>
      <c r="N56" s="267">
        <f>'Budget Summary I'!AH58</f>
        <v>0</v>
      </c>
      <c r="O56" s="267">
        <f>'Budget Summary I'!AI58+'Budget Summary I'!AK58</f>
        <v>0</v>
      </c>
      <c r="P56" s="267">
        <f>'Budget Summary I'!AJ58+'Budget Summary I'!AL58</f>
        <v>0</v>
      </c>
      <c r="Q56" s="267">
        <f>'Budget Summary I'!AM58</f>
        <v>0</v>
      </c>
      <c r="R56" s="267">
        <f>'Budget Summary I'!AN58</f>
        <v>0</v>
      </c>
    </row>
    <row r="57" spans="1:18" ht="15" x14ac:dyDescent="0.2">
      <c r="A57" s="3780" t="s">
        <v>4709</v>
      </c>
      <c r="B57" s="657" t="s">
        <v>4710</v>
      </c>
      <c r="C57" s="659">
        <f t="shared" si="2"/>
        <v>2306.9120000000003</v>
      </c>
      <c r="D57" s="659">
        <f t="shared" si="2"/>
        <v>0</v>
      </c>
      <c r="E57" s="266">
        <f>'Budget Summary I'!E59+'Budget Summary I'!G59+'Budget Summary I'!I59+'Budget Summary I'!K59+'Budget Summary I'!M59+'Budget Summary I'!O59+'Budget Summary I'!Q59+'Budget Summary I'!S59</f>
        <v>134</v>
      </c>
      <c r="F57" s="266">
        <f>'Budget Summary I'!F59+'Budget Summary I'!H59+'Budget Summary I'!J59+'Budget Summary I'!L59+'Budget Summary I'!N59+'Budget Summary I'!P59+'Budget Summary I'!R59+'Budget Summary I'!T59</f>
        <v>0</v>
      </c>
      <c r="G57" s="267">
        <f>'Budget Summary I'!U59+'Budget Summary I'!W59</f>
        <v>0</v>
      </c>
      <c r="H57" s="267">
        <f>'Budget Summary I'!V59+'Budget Summary I'!X59</f>
        <v>0</v>
      </c>
      <c r="I57" s="266">
        <f>'Budget Summary I'!Y59+'Budget Summary I'!AA59</f>
        <v>0</v>
      </c>
      <c r="J57" s="266">
        <f>'Budget Summary I'!Z59+'Budget Summary I'!AB59</f>
        <v>0</v>
      </c>
      <c r="K57" s="267">
        <f>'Budget Summary I'!AC59+'Budget Summary I'!AE59</f>
        <v>1760.4720000000002</v>
      </c>
      <c r="L57" s="267">
        <f>'Budget Summary I'!AD59+'Budget Summary I'!AF59</f>
        <v>0</v>
      </c>
      <c r="M57" s="267">
        <f>'Budget Summary I'!AG59</f>
        <v>180.6</v>
      </c>
      <c r="N57" s="267">
        <f>'Budget Summary I'!AH59</f>
        <v>0</v>
      </c>
      <c r="O57" s="267">
        <f>'Budget Summary I'!AI59+'Budget Summary I'!AK59</f>
        <v>231.84</v>
      </c>
      <c r="P57" s="267">
        <f>'Budget Summary I'!AJ59+'Budget Summary I'!AL59</f>
        <v>0</v>
      </c>
      <c r="Q57" s="267">
        <f>'Budget Summary I'!AM59</f>
        <v>0</v>
      </c>
      <c r="R57" s="267">
        <f>'Budget Summary I'!AN59</f>
        <v>0</v>
      </c>
    </row>
    <row r="58" spans="1:18" ht="15" x14ac:dyDescent="0.2">
      <c r="A58" s="3780"/>
      <c r="B58" s="657" t="s">
        <v>4711</v>
      </c>
      <c r="C58" s="659">
        <f t="shared" si="2"/>
        <v>1232.1406200000001</v>
      </c>
      <c r="D58" s="659">
        <f t="shared" si="2"/>
        <v>0</v>
      </c>
      <c r="E58" s="266">
        <f>'Budget Summary I'!E60+'Budget Summary I'!G60+'Budget Summary I'!I60+'Budget Summary I'!K60+'Budget Summary I'!M60+'Budget Summary I'!O60+'Budget Summary I'!Q60+'Budget Summary I'!S60</f>
        <v>0</v>
      </c>
      <c r="F58" s="266">
        <f>'Budget Summary I'!F60+'Budget Summary I'!H60+'Budget Summary I'!J60+'Budget Summary I'!L60+'Budget Summary I'!N60+'Budget Summary I'!P60+'Budget Summary I'!R60+'Budget Summary I'!T60</f>
        <v>0</v>
      </c>
      <c r="G58" s="267">
        <f>'Budget Summary I'!U60+'Budget Summary I'!W60</f>
        <v>0</v>
      </c>
      <c r="H58" s="267">
        <f>'Budget Summary I'!V60+'Budget Summary I'!X60</f>
        <v>0</v>
      </c>
      <c r="I58" s="266">
        <f>'Budget Summary I'!Y60+'Budget Summary I'!AA60</f>
        <v>0</v>
      </c>
      <c r="J58" s="266">
        <f>'Budget Summary I'!Z60+'Budget Summary I'!AB60</f>
        <v>0</v>
      </c>
      <c r="K58" s="267">
        <f>'Budget Summary I'!AC60+'Budget Summary I'!AE60</f>
        <v>1033.63662</v>
      </c>
      <c r="L58" s="267">
        <f>'Budget Summary I'!AD60+'Budget Summary I'!AF60</f>
        <v>0</v>
      </c>
      <c r="M58" s="267">
        <f>'Budget Summary I'!AG60</f>
        <v>27</v>
      </c>
      <c r="N58" s="267">
        <f>'Budget Summary I'!AH60</f>
        <v>0</v>
      </c>
      <c r="O58" s="267">
        <f>'Budget Summary I'!AI60+'Budget Summary I'!AK60</f>
        <v>171.50400000000002</v>
      </c>
      <c r="P58" s="267">
        <f>'Budget Summary I'!AJ60+'Budget Summary I'!AL60</f>
        <v>0</v>
      </c>
      <c r="Q58" s="267">
        <f>'Budget Summary I'!AM60</f>
        <v>0</v>
      </c>
      <c r="R58" s="267">
        <f>'Budget Summary I'!AN60</f>
        <v>0</v>
      </c>
    </row>
    <row r="59" spans="1:18" ht="15" x14ac:dyDescent="0.2">
      <c r="A59" s="3780"/>
      <c r="B59" s="655" t="s">
        <v>4712</v>
      </c>
      <c r="C59" s="659">
        <f t="shared" si="2"/>
        <v>0</v>
      </c>
      <c r="D59" s="659">
        <f t="shared" si="2"/>
        <v>0</v>
      </c>
      <c r="E59" s="266">
        <f>'Budget Summary I'!E61+'Budget Summary I'!G61+'Budget Summary I'!I61+'Budget Summary I'!K61+'Budget Summary I'!M61+'Budget Summary I'!O61+'Budget Summary I'!Q61+'Budget Summary I'!S61</f>
        <v>0</v>
      </c>
      <c r="F59" s="266">
        <f>'Budget Summary I'!F61+'Budget Summary I'!H61+'Budget Summary I'!J61+'Budget Summary I'!L61+'Budget Summary I'!N61+'Budget Summary I'!P61+'Budget Summary I'!R61+'Budget Summary I'!T61</f>
        <v>0</v>
      </c>
      <c r="G59" s="267">
        <f>'Budget Summary I'!U61+'Budget Summary I'!W61</f>
        <v>0</v>
      </c>
      <c r="H59" s="267">
        <f>'Budget Summary I'!V61+'Budget Summary I'!X61</f>
        <v>0</v>
      </c>
      <c r="I59" s="266">
        <f>'Budget Summary I'!Y61+'Budget Summary I'!AA61</f>
        <v>0</v>
      </c>
      <c r="J59" s="266">
        <f>'Budget Summary I'!Z61+'Budget Summary I'!AB61</f>
        <v>0</v>
      </c>
      <c r="K59" s="267">
        <f>'Budget Summary I'!AC61+'Budget Summary I'!AE61</f>
        <v>0</v>
      </c>
      <c r="L59" s="267">
        <f>'Budget Summary I'!AD61+'Budget Summary I'!AF61</f>
        <v>0</v>
      </c>
      <c r="M59" s="267">
        <f>'Budget Summary I'!AG61</f>
        <v>0</v>
      </c>
      <c r="N59" s="267">
        <f>'Budget Summary I'!AH61</f>
        <v>0</v>
      </c>
      <c r="O59" s="267">
        <f>'Budget Summary I'!AI61+'Budget Summary I'!AK61</f>
        <v>0</v>
      </c>
      <c r="P59" s="267">
        <f>'Budget Summary I'!AJ61+'Budget Summary I'!AL61</f>
        <v>0</v>
      </c>
      <c r="Q59" s="267">
        <f>'Budget Summary I'!AM61</f>
        <v>0</v>
      </c>
      <c r="R59" s="267">
        <f>'Budget Summary I'!AN61</f>
        <v>0</v>
      </c>
    </row>
  </sheetData>
  <sheetProtection sheet="1" objects="1" scenarios="1"/>
  <mergeCells count="15">
    <mergeCell ref="A1:R1"/>
    <mergeCell ref="E2:F2"/>
    <mergeCell ref="G2:H2"/>
    <mergeCell ref="I2:J2"/>
    <mergeCell ref="K2:L2"/>
    <mergeCell ref="M2:N2"/>
    <mergeCell ref="O2:P2"/>
    <mergeCell ref="Q2:R2"/>
    <mergeCell ref="C2:D2"/>
    <mergeCell ref="A57:A59"/>
    <mergeCell ref="A4:A5"/>
    <mergeCell ref="A6:A15"/>
    <mergeCell ref="A16:A35"/>
    <mergeCell ref="A36:A43"/>
    <mergeCell ref="A44:A5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B61"/>
  <sheetViews>
    <sheetView zoomScale="62" zoomScaleNormal="62" workbookViewId="0">
      <pane xSplit="2" ySplit="5" topLeftCell="Z12" activePane="bottomRight" state="frozen"/>
      <selection pane="topRight" activeCell="C1" sqref="C1"/>
      <selection pane="bottomLeft" activeCell="A6" sqref="A6"/>
      <selection pane="bottomRight" activeCell="Y60" sqref="Y60"/>
    </sheetView>
  </sheetViews>
  <sheetFormatPr defaultColWidth="8.7109375" defaultRowHeight="15" x14ac:dyDescent="0.2"/>
  <cols>
    <col min="1" max="1" width="32.5703125" style="72" customWidth="1"/>
    <col min="2" max="2" width="47.28515625" style="73" customWidth="1"/>
    <col min="3" max="3" width="17.85546875" style="73" bestFit="1" customWidth="1"/>
    <col min="4" max="4" width="17.28515625" style="73" bestFit="1" customWidth="1"/>
    <col min="5" max="6" width="16.28515625" style="73" bestFit="1" customWidth="1"/>
    <col min="7" max="9" width="16.5703125" style="73" bestFit="1" customWidth="1"/>
    <col min="10" max="10" width="15.7109375" style="73" bestFit="1" customWidth="1"/>
    <col min="11" max="11" width="14.7109375" style="157" bestFit="1" customWidth="1"/>
    <col min="12" max="12" width="15" style="157" bestFit="1" customWidth="1"/>
    <col min="13" max="13" width="14.7109375" style="73" bestFit="1" customWidth="1"/>
    <col min="14" max="14" width="15" style="73" bestFit="1" customWidth="1"/>
    <col min="15" max="15" width="14.7109375" style="73" bestFit="1" customWidth="1"/>
    <col min="16" max="16" width="15" style="73" bestFit="1" customWidth="1"/>
    <col min="17" max="17" width="14.7109375" style="73" bestFit="1" customWidth="1"/>
    <col min="18" max="18" width="15" style="73" bestFit="1" customWidth="1"/>
    <col min="19" max="19" width="14.7109375" style="73" bestFit="1" customWidth="1"/>
    <col min="20" max="20" width="15" style="73" bestFit="1" customWidth="1"/>
    <col min="21" max="21" width="14.7109375" style="73" bestFit="1" customWidth="1"/>
    <col min="22" max="22" width="15" style="73" bestFit="1" customWidth="1"/>
    <col min="23" max="23" width="14.7109375" style="73" bestFit="1" customWidth="1"/>
    <col min="24" max="24" width="15" style="73" bestFit="1" customWidth="1"/>
    <col min="25" max="25" width="14.7109375" style="73" bestFit="1" customWidth="1"/>
    <col min="26" max="26" width="15" style="73" bestFit="1" customWidth="1"/>
    <col min="27" max="27" width="14.7109375" style="73" bestFit="1" customWidth="1"/>
    <col min="28" max="28" width="15" style="73" bestFit="1" customWidth="1"/>
    <col min="29" max="29" width="14.7109375" style="73" bestFit="1" customWidth="1"/>
    <col min="30" max="30" width="15" style="73" bestFit="1" customWidth="1"/>
    <col min="31" max="31" width="14.7109375" style="73" bestFit="1" customWidth="1"/>
    <col min="32" max="32" width="15" style="73" bestFit="1" customWidth="1"/>
    <col min="33" max="33" width="14.7109375" style="73" bestFit="1" customWidth="1"/>
    <col min="34" max="34" width="15" style="73" bestFit="1" customWidth="1"/>
    <col min="35" max="35" width="14.7109375" style="73" bestFit="1" customWidth="1"/>
    <col min="36" max="38" width="15" style="73" bestFit="1" customWidth="1"/>
    <col min="39" max="39" width="16.5703125" style="73" bestFit="1" customWidth="1"/>
    <col min="40" max="40" width="16" style="73" bestFit="1" customWidth="1"/>
    <col min="41" max="16384" width="8.7109375" style="73"/>
  </cols>
  <sheetData>
    <row r="1" spans="1:54" ht="21" customHeight="1" x14ac:dyDescent="0.2">
      <c r="A1" s="3788" t="s">
        <v>4708</v>
      </c>
      <c r="B1" s="3789"/>
      <c r="C1" s="747"/>
      <c r="D1" s="747"/>
      <c r="E1" s="652"/>
      <c r="F1" s="652"/>
      <c r="G1" s="652"/>
      <c r="H1" s="652"/>
      <c r="I1" s="652"/>
      <c r="J1" s="652"/>
      <c r="K1" s="652"/>
      <c r="L1" s="652"/>
      <c r="M1" s="652"/>
      <c r="N1" s="652"/>
      <c r="O1" s="652"/>
      <c r="P1" s="652"/>
      <c r="Q1" s="652"/>
      <c r="R1" s="652"/>
      <c r="S1" s="652"/>
      <c r="T1" s="652"/>
      <c r="U1" s="652"/>
      <c r="V1" s="652"/>
      <c r="W1" s="652"/>
      <c r="X1" s="652"/>
      <c r="Y1" s="652"/>
      <c r="Z1" s="652"/>
      <c r="AA1" s="652"/>
      <c r="AB1" s="652"/>
      <c r="AC1" s="652"/>
      <c r="AD1" s="652"/>
      <c r="AE1" s="652"/>
      <c r="AF1" s="652"/>
      <c r="AG1" s="652"/>
      <c r="AH1" s="652"/>
      <c r="AI1" s="652"/>
      <c r="AJ1" s="652"/>
      <c r="AK1" s="652"/>
      <c r="AL1" s="652"/>
      <c r="AM1" s="652"/>
      <c r="AN1" s="652"/>
    </row>
    <row r="2" spans="1:54" s="107" customFormat="1" x14ac:dyDescent="0.2">
      <c r="A2" s="653" t="str">
        <f>HYPERLINK("#Index!B1", "Index Pg")</f>
        <v>Index Pg</v>
      </c>
      <c r="B2" s="3796" t="s">
        <v>3315</v>
      </c>
      <c r="C2" s="3790" t="s">
        <v>4719</v>
      </c>
      <c r="D2" s="3791"/>
      <c r="E2" s="3787" t="s">
        <v>5</v>
      </c>
      <c r="F2" s="3787"/>
      <c r="G2" s="3787"/>
      <c r="H2" s="3787"/>
      <c r="I2" s="3787"/>
      <c r="J2" s="3787"/>
      <c r="K2" s="3787"/>
      <c r="L2" s="3787"/>
      <c r="M2" s="3787"/>
      <c r="N2" s="3787"/>
      <c r="O2" s="3787"/>
      <c r="P2" s="3787"/>
      <c r="Q2" s="3787"/>
      <c r="R2" s="3787"/>
      <c r="S2" s="3787"/>
      <c r="T2" s="3787"/>
      <c r="U2" s="3787" t="s">
        <v>4687</v>
      </c>
      <c r="V2" s="3787"/>
      <c r="W2" s="3787"/>
      <c r="X2" s="3787"/>
      <c r="Y2" s="3787" t="s">
        <v>4688</v>
      </c>
      <c r="Z2" s="3787"/>
      <c r="AA2" s="3787"/>
      <c r="AB2" s="3787"/>
      <c r="AC2" s="3787" t="s">
        <v>4698</v>
      </c>
      <c r="AD2" s="3787"/>
      <c r="AE2" s="3787"/>
      <c r="AF2" s="3787"/>
      <c r="AG2" s="3787" t="s">
        <v>4699</v>
      </c>
      <c r="AH2" s="3787"/>
      <c r="AI2" s="3787" t="s">
        <v>4689</v>
      </c>
      <c r="AJ2" s="3787"/>
      <c r="AK2" s="3787"/>
      <c r="AL2" s="3787"/>
      <c r="AM2" s="3787" t="s">
        <v>2348</v>
      </c>
      <c r="AN2" s="3787"/>
    </row>
    <row r="3" spans="1:54" x14ac:dyDescent="0.2">
      <c r="A3" s="654" t="str">
        <f>HYPERLINK("#'Budget Summary II'!A2:B2", "Budget Summary II")</f>
        <v>Budget Summary II</v>
      </c>
      <c r="B3" s="3796"/>
      <c r="C3" s="3792"/>
      <c r="D3" s="3793"/>
      <c r="E3" s="3786" t="s">
        <v>4738</v>
      </c>
      <c r="F3" s="3786"/>
      <c r="G3" s="3786" t="s">
        <v>4739</v>
      </c>
      <c r="H3" s="3786"/>
      <c r="I3" s="3786" t="s">
        <v>4740</v>
      </c>
      <c r="J3" s="3786"/>
      <c r="K3" s="3786" t="s">
        <v>4741</v>
      </c>
      <c r="L3" s="3786"/>
      <c r="M3" s="3786" t="s">
        <v>4742</v>
      </c>
      <c r="N3" s="3786"/>
      <c r="O3" s="3786" t="s">
        <v>4743</v>
      </c>
      <c r="P3" s="3786"/>
      <c r="Q3" s="3786" t="s">
        <v>4744</v>
      </c>
      <c r="R3" s="3786"/>
      <c r="S3" s="3786" t="s">
        <v>4745</v>
      </c>
      <c r="T3" s="3786"/>
      <c r="U3" s="3786" t="s">
        <v>4746</v>
      </c>
      <c r="V3" s="3786"/>
      <c r="W3" s="3786" t="s">
        <v>4747</v>
      </c>
      <c r="X3" s="3786"/>
      <c r="Y3" s="3786" t="s">
        <v>4748</v>
      </c>
      <c r="Z3" s="3786"/>
      <c r="AA3" s="3786" t="s">
        <v>4749</v>
      </c>
      <c r="AB3" s="3786"/>
      <c r="AC3" s="3786" t="s">
        <v>4750</v>
      </c>
      <c r="AD3" s="3786"/>
      <c r="AE3" s="3786" t="s">
        <v>4751</v>
      </c>
      <c r="AF3" s="3786"/>
      <c r="AG3" s="3786" t="s">
        <v>4752</v>
      </c>
      <c r="AH3" s="3786"/>
      <c r="AI3" s="3786" t="s">
        <v>4753</v>
      </c>
      <c r="AJ3" s="3786"/>
      <c r="AK3" s="3786" t="s">
        <v>4754</v>
      </c>
      <c r="AL3" s="3786"/>
      <c r="AM3" s="3786" t="s">
        <v>4755</v>
      </c>
      <c r="AN3" s="3786"/>
    </row>
    <row r="4" spans="1:54" s="89" customFormat="1" x14ac:dyDescent="0.2">
      <c r="A4" s="130"/>
      <c r="B4" s="3796"/>
      <c r="C4" s="3794"/>
      <c r="D4" s="3795"/>
      <c r="E4" s="3785" t="s">
        <v>4</v>
      </c>
      <c r="F4" s="3785"/>
      <c r="G4" s="3785" t="s">
        <v>6</v>
      </c>
      <c r="H4" s="3785"/>
      <c r="I4" s="3785" t="s">
        <v>10</v>
      </c>
      <c r="J4" s="3785"/>
      <c r="K4" s="3785" t="s">
        <v>14</v>
      </c>
      <c r="L4" s="3785"/>
      <c r="M4" s="3785" t="s">
        <v>20</v>
      </c>
      <c r="N4" s="3785"/>
      <c r="O4" s="3785" t="s">
        <v>1342</v>
      </c>
      <c r="P4" s="3785"/>
      <c r="Q4" s="3785" t="s">
        <v>29</v>
      </c>
      <c r="R4" s="3785"/>
      <c r="S4" s="3785" t="s">
        <v>30</v>
      </c>
      <c r="T4" s="3785"/>
      <c r="U4" s="3785" t="s">
        <v>2729</v>
      </c>
      <c r="V4" s="3785"/>
      <c r="W4" s="3785" t="s">
        <v>33</v>
      </c>
      <c r="X4" s="3785"/>
      <c r="Y4" s="3785" t="s">
        <v>18</v>
      </c>
      <c r="Z4" s="3785"/>
      <c r="AA4" s="3785" t="s">
        <v>1264</v>
      </c>
      <c r="AB4" s="3785"/>
      <c r="AC4" s="3785" t="s">
        <v>41</v>
      </c>
      <c r="AD4" s="3785"/>
      <c r="AE4" s="3785" t="s">
        <v>742</v>
      </c>
      <c r="AF4" s="3785"/>
      <c r="AG4" s="3785" t="s">
        <v>34</v>
      </c>
      <c r="AH4" s="3785"/>
      <c r="AI4" s="3785" t="s">
        <v>2862</v>
      </c>
      <c r="AJ4" s="3785"/>
      <c r="AK4" s="3785" t="s">
        <v>4700</v>
      </c>
      <c r="AL4" s="3785"/>
      <c r="AM4" s="3785" t="s">
        <v>2789</v>
      </c>
      <c r="AN4" s="3785"/>
    </row>
    <row r="5" spans="1:54" x14ac:dyDescent="0.2">
      <c r="A5" s="130"/>
      <c r="B5" s="748"/>
      <c r="C5" s="746" t="s">
        <v>4609</v>
      </c>
      <c r="D5" s="746" t="s">
        <v>4608</v>
      </c>
      <c r="E5" s="746" t="s">
        <v>4609</v>
      </c>
      <c r="F5" s="746" t="s">
        <v>4608</v>
      </c>
      <c r="G5" s="746" t="s">
        <v>4609</v>
      </c>
      <c r="H5" s="746" t="s">
        <v>4608</v>
      </c>
      <c r="I5" s="746" t="s">
        <v>4609</v>
      </c>
      <c r="J5" s="746" t="s">
        <v>4608</v>
      </c>
      <c r="K5" s="746" t="s">
        <v>4609</v>
      </c>
      <c r="L5" s="746" t="s">
        <v>4608</v>
      </c>
      <c r="M5" s="746" t="s">
        <v>4609</v>
      </c>
      <c r="N5" s="746" t="s">
        <v>4608</v>
      </c>
      <c r="O5" s="746" t="s">
        <v>4609</v>
      </c>
      <c r="P5" s="746" t="s">
        <v>4608</v>
      </c>
      <c r="Q5" s="746" t="s">
        <v>4609</v>
      </c>
      <c r="R5" s="746" t="s">
        <v>4608</v>
      </c>
      <c r="S5" s="746" t="s">
        <v>4609</v>
      </c>
      <c r="T5" s="746" t="s">
        <v>4608</v>
      </c>
      <c r="U5" s="746" t="s">
        <v>4609</v>
      </c>
      <c r="V5" s="746" t="s">
        <v>4608</v>
      </c>
      <c r="W5" s="746" t="s">
        <v>4609</v>
      </c>
      <c r="X5" s="746" t="s">
        <v>4608</v>
      </c>
      <c r="Y5" s="746" t="s">
        <v>4609</v>
      </c>
      <c r="Z5" s="746" t="s">
        <v>4608</v>
      </c>
      <c r="AA5" s="746" t="s">
        <v>4609</v>
      </c>
      <c r="AB5" s="746" t="s">
        <v>4608</v>
      </c>
      <c r="AC5" s="746" t="s">
        <v>4609</v>
      </c>
      <c r="AD5" s="746" t="s">
        <v>4608</v>
      </c>
      <c r="AE5" s="746" t="s">
        <v>4609</v>
      </c>
      <c r="AF5" s="746" t="s">
        <v>4608</v>
      </c>
      <c r="AG5" s="746" t="s">
        <v>4609</v>
      </c>
      <c r="AH5" s="746" t="s">
        <v>4608</v>
      </c>
      <c r="AI5" s="746" t="s">
        <v>4609</v>
      </c>
      <c r="AJ5" s="746" t="s">
        <v>4608</v>
      </c>
      <c r="AK5" s="746" t="s">
        <v>4609</v>
      </c>
      <c r="AL5" s="746" t="s">
        <v>4608</v>
      </c>
      <c r="AM5" s="746" t="s">
        <v>4609</v>
      </c>
      <c r="AN5" s="746" t="s">
        <v>4608</v>
      </c>
    </row>
    <row r="6" spans="1:54" s="157" customFormat="1" x14ac:dyDescent="0.25">
      <c r="A6" s="3780" t="s">
        <v>4719</v>
      </c>
      <c r="B6" s="672" t="s">
        <v>4736</v>
      </c>
      <c r="C6" s="746">
        <f>SUM(C8:C58)</f>
        <v>8832.2147800000002</v>
      </c>
      <c r="D6" s="746">
        <f t="shared" ref="D6:AN6" si="0">SUM(D8:D58)</f>
        <v>0</v>
      </c>
      <c r="E6" s="746">
        <f t="shared" si="0"/>
        <v>0</v>
      </c>
      <c r="F6" s="746">
        <f t="shared" si="0"/>
        <v>0</v>
      </c>
      <c r="G6" s="746">
        <f t="shared" si="0"/>
        <v>360</v>
      </c>
      <c r="H6" s="746">
        <f t="shared" si="0"/>
        <v>0</v>
      </c>
      <c r="I6" s="746">
        <f t="shared" si="0"/>
        <v>0</v>
      </c>
      <c r="J6" s="746">
        <f t="shared" si="0"/>
        <v>0</v>
      </c>
      <c r="K6" s="746">
        <f t="shared" si="0"/>
        <v>20</v>
      </c>
      <c r="L6" s="746">
        <f t="shared" si="0"/>
        <v>0</v>
      </c>
      <c r="M6" s="746">
        <f t="shared" si="0"/>
        <v>0</v>
      </c>
      <c r="N6" s="746">
        <f t="shared" si="0"/>
        <v>0</v>
      </c>
      <c r="O6" s="746">
        <f t="shared" si="0"/>
        <v>0</v>
      </c>
      <c r="P6" s="746">
        <f t="shared" si="0"/>
        <v>0</v>
      </c>
      <c r="Q6" s="746">
        <f t="shared" si="0"/>
        <v>0</v>
      </c>
      <c r="R6" s="746">
        <f t="shared" si="0"/>
        <v>0</v>
      </c>
      <c r="S6" s="746">
        <f t="shared" si="0"/>
        <v>1719.7234000000001</v>
      </c>
      <c r="T6" s="746">
        <f t="shared" si="0"/>
        <v>0</v>
      </c>
      <c r="U6" s="746">
        <f t="shared" si="0"/>
        <v>0</v>
      </c>
      <c r="V6" s="746">
        <f t="shared" si="0"/>
        <v>0</v>
      </c>
      <c r="W6" s="746">
        <f t="shared" si="0"/>
        <v>0</v>
      </c>
      <c r="X6" s="746">
        <f t="shared" si="0"/>
        <v>0</v>
      </c>
      <c r="Y6" s="746">
        <f t="shared" si="0"/>
        <v>6139.0083799999993</v>
      </c>
      <c r="Z6" s="746">
        <f t="shared" si="0"/>
        <v>0</v>
      </c>
      <c r="AA6" s="746">
        <f t="shared" si="0"/>
        <v>0</v>
      </c>
      <c r="AB6" s="746">
        <f t="shared" si="0"/>
        <v>0</v>
      </c>
      <c r="AC6" s="746">
        <f t="shared" si="0"/>
        <v>527.33000000000004</v>
      </c>
      <c r="AD6" s="746">
        <f t="shared" si="0"/>
        <v>0</v>
      </c>
      <c r="AE6" s="746">
        <f t="shared" si="0"/>
        <v>9.1529999999999987</v>
      </c>
      <c r="AF6" s="746">
        <f t="shared" si="0"/>
        <v>0</v>
      </c>
      <c r="AG6" s="746">
        <f t="shared" si="0"/>
        <v>57</v>
      </c>
      <c r="AH6" s="746">
        <f t="shared" si="0"/>
        <v>0</v>
      </c>
      <c r="AI6" s="746">
        <f t="shared" si="0"/>
        <v>0</v>
      </c>
      <c r="AJ6" s="746">
        <f t="shared" si="0"/>
        <v>0</v>
      </c>
      <c r="AK6" s="746">
        <f t="shared" si="0"/>
        <v>0</v>
      </c>
      <c r="AL6" s="746">
        <f t="shared" si="0"/>
        <v>0</v>
      </c>
      <c r="AM6" s="746">
        <f t="shared" si="0"/>
        <v>0</v>
      </c>
      <c r="AN6" s="746">
        <f t="shared" si="0"/>
        <v>0</v>
      </c>
    </row>
    <row r="7" spans="1:54" s="157" customFormat="1" x14ac:dyDescent="0.25">
      <c r="A7" s="3780"/>
      <c r="B7" s="672" t="s">
        <v>4737</v>
      </c>
      <c r="C7" s="746">
        <f>SUM(C59:C61)</f>
        <v>3539.0526200000004</v>
      </c>
      <c r="D7" s="746">
        <f>SUM(D59:D61)</f>
        <v>0</v>
      </c>
      <c r="E7" s="746">
        <f>SUM(E59:E61)</f>
        <v>42</v>
      </c>
      <c r="F7" s="746">
        <f t="shared" ref="F7:AN7" si="1">SUM(F59:F61)</f>
        <v>0</v>
      </c>
      <c r="G7" s="746">
        <f t="shared" si="1"/>
        <v>84</v>
      </c>
      <c r="H7" s="746">
        <f t="shared" si="1"/>
        <v>0</v>
      </c>
      <c r="I7" s="746">
        <f t="shared" si="1"/>
        <v>0</v>
      </c>
      <c r="J7" s="746">
        <f t="shared" si="1"/>
        <v>0</v>
      </c>
      <c r="K7" s="746">
        <f t="shared" si="1"/>
        <v>8</v>
      </c>
      <c r="L7" s="746">
        <f t="shared" si="1"/>
        <v>0</v>
      </c>
      <c r="M7" s="746">
        <f t="shared" si="1"/>
        <v>0</v>
      </c>
      <c r="N7" s="746">
        <f t="shared" si="1"/>
        <v>0</v>
      </c>
      <c r="O7" s="746">
        <f t="shared" si="1"/>
        <v>0</v>
      </c>
      <c r="P7" s="746">
        <f t="shared" si="1"/>
        <v>0</v>
      </c>
      <c r="Q7" s="746">
        <f t="shared" si="1"/>
        <v>0</v>
      </c>
      <c r="R7" s="746">
        <f t="shared" si="1"/>
        <v>0</v>
      </c>
      <c r="S7" s="746">
        <f t="shared" si="1"/>
        <v>0</v>
      </c>
      <c r="T7" s="746">
        <f t="shared" si="1"/>
        <v>0</v>
      </c>
      <c r="U7" s="746">
        <f t="shared" si="1"/>
        <v>0</v>
      </c>
      <c r="V7" s="746">
        <f t="shared" si="1"/>
        <v>0</v>
      </c>
      <c r="W7" s="746">
        <f t="shared" si="1"/>
        <v>0</v>
      </c>
      <c r="X7" s="746">
        <f t="shared" si="1"/>
        <v>0</v>
      </c>
      <c r="Y7" s="746">
        <f t="shared" si="1"/>
        <v>0</v>
      </c>
      <c r="Z7" s="746">
        <f t="shared" si="1"/>
        <v>0</v>
      </c>
      <c r="AA7" s="746">
        <f t="shared" si="1"/>
        <v>0</v>
      </c>
      <c r="AB7" s="746">
        <f t="shared" si="1"/>
        <v>0</v>
      </c>
      <c r="AC7" s="746">
        <f t="shared" si="1"/>
        <v>2794.10862</v>
      </c>
      <c r="AD7" s="746">
        <f t="shared" si="1"/>
        <v>0</v>
      </c>
      <c r="AE7" s="746">
        <f t="shared" si="1"/>
        <v>0</v>
      </c>
      <c r="AF7" s="746">
        <f t="shared" si="1"/>
        <v>0</v>
      </c>
      <c r="AG7" s="746">
        <f t="shared" si="1"/>
        <v>207.6</v>
      </c>
      <c r="AH7" s="746">
        <f t="shared" si="1"/>
        <v>0</v>
      </c>
      <c r="AI7" s="746">
        <f t="shared" si="1"/>
        <v>0</v>
      </c>
      <c r="AJ7" s="746">
        <f t="shared" si="1"/>
        <v>0</v>
      </c>
      <c r="AK7" s="746">
        <f t="shared" si="1"/>
        <v>403.34400000000005</v>
      </c>
      <c r="AL7" s="746">
        <f t="shared" si="1"/>
        <v>0</v>
      </c>
      <c r="AM7" s="746">
        <f t="shared" si="1"/>
        <v>0</v>
      </c>
      <c r="AN7" s="746">
        <f t="shared" si="1"/>
        <v>0</v>
      </c>
    </row>
    <row r="8" spans="1:54" s="157" customFormat="1" x14ac:dyDescent="0.25">
      <c r="A8" s="3783" t="s">
        <v>4357</v>
      </c>
      <c r="B8" s="673" t="s">
        <v>4686</v>
      </c>
      <c r="C8" s="748">
        <f t="shared" ref="C8:C61" si="2">E8+G8+I8+K8+M8+O8+Q8+S8+U8+W8+Y8+AA8+AC8+AE8+AG8+AI8+AK8+AM8</f>
        <v>2024.9999</v>
      </c>
      <c r="D8" s="748">
        <f t="shared" ref="D8:D61" si="3">F8+H8+J8+L8+N8+P8+R8+T8+V8+X8+Z8+AB8+AD8+AF8+AH8+AJ8+AL8+AN8</f>
        <v>0</v>
      </c>
      <c r="E8" s="267">
        <f>'1.SD Facility Based Annex'!F4</f>
        <v>0</v>
      </c>
      <c r="F8" s="267">
        <f>'1.SD Facility Based Annex'!F3</f>
        <v>0</v>
      </c>
      <c r="G8" s="267">
        <f>'2.SD Community Based Annex'!F4</f>
        <v>0</v>
      </c>
      <c r="H8" s="268">
        <f>'2.SD Community Based Annex'!F3</f>
        <v>0</v>
      </c>
      <c r="I8" s="267">
        <f>'3.Community Intervention Annexn'!F4</f>
        <v>0</v>
      </c>
      <c r="J8" s="267">
        <f>'3.Community Intervention Annexn'!F3</f>
        <v>0</v>
      </c>
      <c r="K8" s="648">
        <f>'5.Infrastructure Annex'!F4</f>
        <v>0</v>
      </c>
      <c r="L8" s="648">
        <f>'5.Infrastructure Annex'!F3</f>
        <v>0</v>
      </c>
      <c r="M8" s="648">
        <f>'7.Referral Transport Annex'!F4</f>
        <v>0</v>
      </c>
      <c r="N8" s="648">
        <f>'7.Referral Transport Annex'!F3</f>
        <v>0</v>
      </c>
      <c r="O8" s="648">
        <f>'11.IEC-BCC Annex'!F4</f>
        <v>0</v>
      </c>
      <c r="P8" s="648">
        <f>'11.IEC-BCC Annex'!F3</f>
        <v>0</v>
      </c>
      <c r="Q8" s="648">
        <f>'12.Printing Annex'!F4</f>
        <v>0</v>
      </c>
      <c r="R8" s="648">
        <f>'12.Printing Annex'!F3</f>
        <v>0</v>
      </c>
      <c r="S8" s="648">
        <f>'13.Quality Assurance Annex'!F4</f>
        <v>0</v>
      </c>
      <c r="T8" s="650">
        <f>'13.Quality Assurance Annex'!F3</f>
        <v>0</v>
      </c>
      <c r="U8" s="648">
        <f>'4.Untied grants Annex'!F4</f>
        <v>0</v>
      </c>
      <c r="V8" s="648">
        <f>'4.Untied grants Annex'!F3</f>
        <v>0</v>
      </c>
      <c r="W8" s="648">
        <f>'15.PPP Annex'!F4</f>
        <v>0</v>
      </c>
      <c r="X8" s="648">
        <f>'15.PPP Annex'!F3</f>
        <v>0</v>
      </c>
      <c r="Y8" s="648">
        <f>'6.Procurement Annex'!F4</f>
        <v>2024.9999</v>
      </c>
      <c r="Z8" s="648">
        <f>'6.Procurement Annex'!F3</f>
        <v>0</v>
      </c>
      <c r="AA8" s="648">
        <f>'14.Drug warehouse &amp;Logistic Anx'!F4</f>
        <v>0</v>
      </c>
      <c r="AB8" s="648">
        <f>'14.Drug warehouse &amp;Logistic Anx'!F3</f>
        <v>0</v>
      </c>
      <c r="AC8" s="648">
        <f>'8.Human Resources (SD) Annex'!F4</f>
        <v>0</v>
      </c>
      <c r="AD8" s="648">
        <f>'8.Human Resources (SD) Annex'!F3</f>
        <v>0</v>
      </c>
      <c r="AE8" s="650">
        <f>'9.Training Annex'!F4</f>
        <v>0</v>
      </c>
      <c r="AF8" s="650">
        <f>'9.Training Annex'!F3</f>
        <v>0</v>
      </c>
      <c r="AG8" s="648">
        <f>'16.PM Annex'!F4</f>
        <v>0</v>
      </c>
      <c r="AH8" s="648">
        <f>'16.PM Annex'!F3</f>
        <v>0</v>
      </c>
      <c r="AI8" s="648">
        <f>'10.Review Research &amp; Surveillen'!F4</f>
        <v>0</v>
      </c>
      <c r="AJ8" s="648">
        <f>'10.Review Research &amp; Surveillen'!F3</f>
        <v>0</v>
      </c>
      <c r="AK8" s="648">
        <f>'17.IT Initiatives_SD'!F4</f>
        <v>0</v>
      </c>
      <c r="AL8" s="648">
        <f>'17.IT Initiatives_SD'!F3</f>
        <v>0</v>
      </c>
      <c r="AM8" s="648">
        <f>'18.Innovation'!F4</f>
        <v>0</v>
      </c>
      <c r="AN8" s="648">
        <f>'18.Innovation'!F3</f>
        <v>0</v>
      </c>
      <c r="AO8" s="651"/>
      <c r="AP8" s="267"/>
      <c r="AQ8" s="267"/>
      <c r="AR8" s="267"/>
      <c r="AS8" s="267"/>
      <c r="AT8" s="267"/>
      <c r="AU8" s="267"/>
      <c r="AV8" s="267"/>
      <c r="AW8" s="267"/>
      <c r="AX8" s="267"/>
      <c r="AY8" s="267"/>
      <c r="AZ8" s="267"/>
      <c r="BA8" s="267"/>
      <c r="BB8" s="267"/>
    </row>
    <row r="9" spans="1:54" s="157" customFormat="1" x14ac:dyDescent="0.25">
      <c r="A9" s="3783"/>
      <c r="B9" s="673" t="s">
        <v>4070</v>
      </c>
      <c r="C9" s="748">
        <f t="shared" si="2"/>
        <v>21.152999999999999</v>
      </c>
      <c r="D9" s="748">
        <f t="shared" si="3"/>
        <v>0</v>
      </c>
      <c r="E9" s="266">
        <f>'1.SD Facility Based Annex'!G4</f>
        <v>0</v>
      </c>
      <c r="F9" s="266">
        <f>'1.SD Facility Based Annex'!G3</f>
        <v>0</v>
      </c>
      <c r="G9" s="267">
        <f>'2.SD Community Based Annex'!G4</f>
        <v>0</v>
      </c>
      <c r="H9" s="268">
        <f>'2.SD Community Based Annex'!G3</f>
        <v>0</v>
      </c>
      <c r="I9" s="267">
        <f>'3.Community Intervention Annexn'!G4</f>
        <v>0</v>
      </c>
      <c r="J9" s="267">
        <f>'3.Community Intervention Annexn'!G3</f>
        <v>0</v>
      </c>
      <c r="K9" s="648">
        <f>'5.Infrastructure Annex'!G4</f>
        <v>0</v>
      </c>
      <c r="L9" s="648">
        <f>'5.Infrastructure Annex'!G3</f>
        <v>0</v>
      </c>
      <c r="M9" s="648">
        <f>'7.Referral Transport Annex'!G4</f>
        <v>0</v>
      </c>
      <c r="N9" s="648">
        <f>'7.Referral Transport Annex'!G3</f>
        <v>0</v>
      </c>
      <c r="O9" s="648">
        <f>'11.IEC-BCC Annex'!G4</f>
        <v>0</v>
      </c>
      <c r="P9" s="648">
        <f>'11.IEC-BCC Annex'!G3</f>
        <v>0</v>
      </c>
      <c r="Q9" s="648">
        <f>'12.Printing Annex'!G4</f>
        <v>0</v>
      </c>
      <c r="R9" s="648">
        <f>'12.Printing Annex'!G3</f>
        <v>0</v>
      </c>
      <c r="S9" s="648">
        <f>'13.Quality Assurance Annex'!G4</f>
        <v>0</v>
      </c>
      <c r="T9" s="650">
        <f>'13.Quality Assurance Annex'!G3</f>
        <v>0</v>
      </c>
      <c r="U9" s="648">
        <f>'4.Untied grants Annex'!G4</f>
        <v>0</v>
      </c>
      <c r="V9" s="648">
        <f>'4.Untied grants Annex'!G3</f>
        <v>0</v>
      </c>
      <c r="W9" s="648">
        <f>'15.PPP Annex'!G4</f>
        <v>0</v>
      </c>
      <c r="X9" s="648">
        <f>'15.PPP Annex'!G3</f>
        <v>0</v>
      </c>
      <c r="Y9" s="648">
        <f>'6.Procurement Annex'!G4</f>
        <v>12</v>
      </c>
      <c r="Z9" s="648">
        <f>'6.Procurement Annex'!G3</f>
        <v>0</v>
      </c>
      <c r="AA9" s="648">
        <f>'14.Drug warehouse &amp;Logistic Anx'!G4</f>
        <v>0</v>
      </c>
      <c r="AB9" s="648">
        <f>'14.Drug warehouse &amp;Logistic Anx'!G3</f>
        <v>0</v>
      </c>
      <c r="AC9" s="648">
        <f>'8.Human Resources (SD) Annex'!G4</f>
        <v>0</v>
      </c>
      <c r="AD9" s="648">
        <f>'8.Human Resources (SD) Annex'!G3</f>
        <v>0</v>
      </c>
      <c r="AE9" s="650">
        <f>'9.Training Annex'!G4</f>
        <v>9.1529999999999987</v>
      </c>
      <c r="AF9" s="650">
        <f>'9.Training Annex'!G3</f>
        <v>0</v>
      </c>
      <c r="AG9" s="648">
        <f>'16.PM Annex'!G4</f>
        <v>0</v>
      </c>
      <c r="AH9" s="648">
        <f>'16.PM Annex'!G3</f>
        <v>0</v>
      </c>
      <c r="AI9" s="648">
        <f>'10.Review Research &amp; Surveillen'!G4</f>
        <v>0</v>
      </c>
      <c r="AJ9" s="648">
        <f>'10.Review Research &amp; Surveillen'!G3</f>
        <v>0</v>
      </c>
      <c r="AK9" s="648">
        <f>'17.IT Initiatives_SD'!G4</f>
        <v>0</v>
      </c>
      <c r="AL9" s="648">
        <f>'17.IT Initiatives_SD'!G3</f>
        <v>0</v>
      </c>
      <c r="AM9" s="648">
        <f>'18.Innovation'!G4</f>
        <v>0</v>
      </c>
      <c r="AN9" s="648">
        <f>'18.Innovation'!G3</f>
        <v>0</v>
      </c>
    </row>
    <row r="10" spans="1:54" s="157" customFormat="1" x14ac:dyDescent="0.25">
      <c r="A10" s="3783"/>
      <c r="B10" s="673" t="s">
        <v>2948</v>
      </c>
      <c r="C10" s="748">
        <f t="shared" si="2"/>
        <v>0</v>
      </c>
      <c r="D10" s="748">
        <f t="shared" si="3"/>
        <v>0</v>
      </c>
      <c r="E10" s="267">
        <f>'1.SD Facility Based Annex'!H4</f>
        <v>0</v>
      </c>
      <c r="F10" s="267">
        <f>'1.SD Facility Based Annex'!H3</f>
        <v>0</v>
      </c>
      <c r="G10" s="267">
        <f>'2.SD Community Based Annex'!H4</f>
        <v>0</v>
      </c>
      <c r="H10" s="268">
        <f>'2.SD Community Based Annex'!H3</f>
        <v>0</v>
      </c>
      <c r="I10" s="267">
        <f>'3.Community Intervention Annexn'!H4</f>
        <v>0</v>
      </c>
      <c r="J10" s="267">
        <f>'3.Community Intervention Annexn'!H3</f>
        <v>0</v>
      </c>
      <c r="K10" s="648">
        <f>'5.Infrastructure Annex'!H4</f>
        <v>0</v>
      </c>
      <c r="L10" s="648">
        <f>'5.Infrastructure Annex'!H3</f>
        <v>0</v>
      </c>
      <c r="M10" s="648">
        <f>'7.Referral Transport Annex'!H4</f>
        <v>0</v>
      </c>
      <c r="N10" s="648">
        <f>'7.Referral Transport Annex'!H3</f>
        <v>0</v>
      </c>
      <c r="O10" s="648">
        <f>'11.IEC-BCC Annex'!H4</f>
        <v>0</v>
      </c>
      <c r="P10" s="648">
        <f>'11.IEC-BCC Annex'!H3</f>
        <v>0</v>
      </c>
      <c r="Q10" s="648">
        <f>'12.Printing Annex'!H4</f>
        <v>0</v>
      </c>
      <c r="R10" s="648">
        <f>'12.Printing Annex'!H3</f>
        <v>0</v>
      </c>
      <c r="S10" s="648">
        <f>'13.Quality Assurance Annex'!H4</f>
        <v>0</v>
      </c>
      <c r="T10" s="650">
        <f>'13.Quality Assurance Annex'!H3</f>
        <v>0</v>
      </c>
      <c r="U10" s="648">
        <f>'4.Untied grants Annex'!H4</f>
        <v>0</v>
      </c>
      <c r="V10" s="648">
        <f>'4.Untied grants Annex'!H3</f>
        <v>0</v>
      </c>
      <c r="W10" s="648">
        <f>'15.PPP Annex'!H4</f>
        <v>0</v>
      </c>
      <c r="X10" s="648">
        <f>'15.PPP Annex'!H3</f>
        <v>0</v>
      </c>
      <c r="Y10" s="648">
        <f>'6.Procurement Annex'!H4</f>
        <v>0</v>
      </c>
      <c r="Z10" s="648">
        <f>'6.Procurement Annex'!H3</f>
        <v>0</v>
      </c>
      <c r="AA10" s="648">
        <f>'14.Drug warehouse &amp;Logistic Anx'!H4</f>
        <v>0</v>
      </c>
      <c r="AB10" s="648">
        <f>'14.Drug warehouse &amp;Logistic Anx'!H3</f>
        <v>0</v>
      </c>
      <c r="AC10" s="648">
        <f>'8.Human Resources (SD) Annex'!H4</f>
        <v>0</v>
      </c>
      <c r="AD10" s="648">
        <f>'8.Human Resources (SD) Annex'!H3</f>
        <v>0</v>
      </c>
      <c r="AE10" s="650">
        <f>'9.Training Annex'!H4</f>
        <v>0</v>
      </c>
      <c r="AF10" s="650">
        <f>'9.Training Annex'!H3</f>
        <v>0</v>
      </c>
      <c r="AG10" s="648">
        <f>'16.PM Annex'!H4</f>
        <v>0</v>
      </c>
      <c r="AH10" s="648">
        <f>'16.PM Annex'!H3</f>
        <v>0</v>
      </c>
      <c r="AI10" s="648">
        <f>'10.Review Research &amp; Surveillen'!H4</f>
        <v>0</v>
      </c>
      <c r="AJ10" s="648">
        <f>'10.Review Research &amp; Surveillen'!H3</f>
        <v>0</v>
      </c>
      <c r="AK10" s="648">
        <f>'17.IT Initiatives_SD'!H4</f>
        <v>0</v>
      </c>
      <c r="AL10" s="648">
        <f>'17.IT Initiatives_SD'!H3</f>
        <v>0</v>
      </c>
      <c r="AM10" s="648">
        <f>'18.Innovation'!H4</f>
        <v>0</v>
      </c>
      <c r="AN10" s="648">
        <f>'18.Innovation'!H3</f>
        <v>0</v>
      </c>
    </row>
    <row r="11" spans="1:54" s="157" customFormat="1" x14ac:dyDescent="0.25">
      <c r="A11" s="3783"/>
      <c r="B11" s="673" t="s">
        <v>4078</v>
      </c>
      <c r="C11" s="748">
        <f t="shared" si="2"/>
        <v>0</v>
      </c>
      <c r="D11" s="748">
        <f t="shared" si="3"/>
        <v>0</v>
      </c>
      <c r="E11" s="266">
        <f>'1.SD Facility Based Annex'!I4</f>
        <v>0</v>
      </c>
      <c r="F11" s="266">
        <f>'1.SD Facility Based Annex'!I3</f>
        <v>0</v>
      </c>
      <c r="G11" s="267">
        <f>'2.SD Community Based Annex'!I4</f>
        <v>0</v>
      </c>
      <c r="H11" s="268">
        <f>'2.SD Community Based Annex'!I3</f>
        <v>0</v>
      </c>
      <c r="I11" s="267">
        <f>'3.Community Intervention Annexn'!I4</f>
        <v>0</v>
      </c>
      <c r="J11" s="267">
        <f>'3.Community Intervention Annexn'!I3</f>
        <v>0</v>
      </c>
      <c r="K11" s="648">
        <f>'5.Infrastructure Annex'!I4</f>
        <v>0</v>
      </c>
      <c r="L11" s="648">
        <f>'5.Infrastructure Annex'!I3</f>
        <v>0</v>
      </c>
      <c r="M11" s="648">
        <f>'7.Referral Transport Annex'!I4</f>
        <v>0</v>
      </c>
      <c r="N11" s="648">
        <f>'7.Referral Transport Annex'!I3</f>
        <v>0</v>
      </c>
      <c r="O11" s="648">
        <f>'11.IEC-BCC Annex'!I4</f>
        <v>0</v>
      </c>
      <c r="P11" s="648">
        <f>'11.IEC-BCC Annex'!I3</f>
        <v>0</v>
      </c>
      <c r="Q11" s="648">
        <f>'12.Printing Annex'!I4</f>
        <v>0</v>
      </c>
      <c r="R11" s="648">
        <f>'12.Printing Annex'!I3</f>
        <v>0</v>
      </c>
      <c r="S11" s="648">
        <f>'13.Quality Assurance Annex'!I4</f>
        <v>0</v>
      </c>
      <c r="T11" s="650">
        <f>'13.Quality Assurance Annex'!I3</f>
        <v>0</v>
      </c>
      <c r="U11" s="648">
        <f>'4.Untied grants Annex'!I4</f>
        <v>0</v>
      </c>
      <c r="V11" s="648">
        <f>'4.Untied grants Annex'!I3</f>
        <v>0</v>
      </c>
      <c r="W11" s="648">
        <f>'15.PPP Annex'!I4</f>
        <v>0</v>
      </c>
      <c r="X11" s="648">
        <f>'15.PPP Annex'!I3</f>
        <v>0</v>
      </c>
      <c r="Y11" s="648">
        <f>'6.Procurement Annex'!I4</f>
        <v>0</v>
      </c>
      <c r="Z11" s="648">
        <f>'6.Procurement Annex'!I3</f>
        <v>0</v>
      </c>
      <c r="AA11" s="648">
        <f>'14.Drug warehouse &amp;Logistic Anx'!I4</f>
        <v>0</v>
      </c>
      <c r="AB11" s="648">
        <f>'14.Drug warehouse &amp;Logistic Anx'!I3</f>
        <v>0</v>
      </c>
      <c r="AC11" s="648">
        <f>'8.Human Resources (SD) Annex'!I4</f>
        <v>0</v>
      </c>
      <c r="AD11" s="648">
        <f>'8.Human Resources (SD) Annex'!I3</f>
        <v>0</v>
      </c>
      <c r="AE11" s="650">
        <f>'9.Training Annex'!I4</f>
        <v>0</v>
      </c>
      <c r="AF11" s="650">
        <f>'9.Training Annex'!I3</f>
        <v>0</v>
      </c>
      <c r="AG11" s="648">
        <f>'16.PM Annex'!I4</f>
        <v>0</v>
      </c>
      <c r="AH11" s="648">
        <f>'16.PM Annex'!I3</f>
        <v>0</v>
      </c>
      <c r="AI11" s="648">
        <f>'10.Review Research &amp; Surveillen'!I4</f>
        <v>0</v>
      </c>
      <c r="AJ11" s="648">
        <f>'10.Review Research &amp; Surveillen'!I3</f>
        <v>0</v>
      </c>
      <c r="AK11" s="648">
        <f>'17.IT Initiatives_SD'!I4</f>
        <v>0</v>
      </c>
      <c r="AL11" s="648">
        <f>'17.IT Initiatives_SD'!I3</f>
        <v>0</v>
      </c>
      <c r="AM11" s="648">
        <f>'18.Innovation'!I4</f>
        <v>0</v>
      </c>
      <c r="AN11" s="648">
        <f>'18.Innovation'!I3</f>
        <v>0</v>
      </c>
    </row>
    <row r="12" spans="1:54" s="157" customFormat="1" x14ac:dyDescent="0.25">
      <c r="A12" s="3783"/>
      <c r="B12" s="673" t="s">
        <v>96</v>
      </c>
      <c r="C12" s="748">
        <f t="shared" si="2"/>
        <v>241.5</v>
      </c>
      <c r="D12" s="748">
        <f t="shared" si="3"/>
        <v>0</v>
      </c>
      <c r="E12" s="267">
        <f>'1.SD Facility Based Annex'!J4</f>
        <v>0</v>
      </c>
      <c r="F12" s="267">
        <f>'1.SD Facility Based Annex'!J3</f>
        <v>0</v>
      </c>
      <c r="G12" s="267">
        <f>'2.SD Community Based Annex'!J4</f>
        <v>241.5</v>
      </c>
      <c r="H12" s="268">
        <f>'2.SD Community Based Annex'!J3</f>
        <v>0</v>
      </c>
      <c r="I12" s="267">
        <f>'3.Community Intervention Annexn'!J4</f>
        <v>0</v>
      </c>
      <c r="J12" s="267">
        <f>'3.Community Intervention Annexn'!J3</f>
        <v>0</v>
      </c>
      <c r="K12" s="648">
        <f>'5.Infrastructure Annex'!J4</f>
        <v>0</v>
      </c>
      <c r="L12" s="648">
        <f>'5.Infrastructure Annex'!J3</f>
        <v>0</v>
      </c>
      <c r="M12" s="648">
        <f>'7.Referral Transport Annex'!J4</f>
        <v>0</v>
      </c>
      <c r="N12" s="648">
        <f>'7.Referral Transport Annex'!J3</f>
        <v>0</v>
      </c>
      <c r="O12" s="648">
        <f>'11.IEC-BCC Annex'!J4</f>
        <v>0</v>
      </c>
      <c r="P12" s="648">
        <f>'11.IEC-BCC Annex'!J3</f>
        <v>0</v>
      </c>
      <c r="Q12" s="648">
        <f>'12.Printing Annex'!J4</f>
        <v>0</v>
      </c>
      <c r="R12" s="648">
        <f>'12.Printing Annex'!J3</f>
        <v>0</v>
      </c>
      <c r="S12" s="648">
        <f>'13.Quality Assurance Annex'!J4</f>
        <v>0</v>
      </c>
      <c r="T12" s="650">
        <f>'13.Quality Assurance Annex'!J3</f>
        <v>0</v>
      </c>
      <c r="U12" s="648">
        <f>'4.Untied grants Annex'!J4</f>
        <v>0</v>
      </c>
      <c r="V12" s="648">
        <f>'4.Untied grants Annex'!J3</f>
        <v>0</v>
      </c>
      <c r="W12" s="648">
        <f>'15.PPP Annex'!J4</f>
        <v>0</v>
      </c>
      <c r="X12" s="648">
        <f>'15.PPP Annex'!J3</f>
        <v>0</v>
      </c>
      <c r="Y12" s="648">
        <f>'6.Procurement Annex'!J4</f>
        <v>0</v>
      </c>
      <c r="Z12" s="648">
        <f>'6.Procurement Annex'!J3</f>
        <v>0</v>
      </c>
      <c r="AA12" s="648">
        <f>'14.Drug warehouse &amp;Logistic Anx'!J4</f>
        <v>0</v>
      </c>
      <c r="AB12" s="648">
        <f>'14.Drug warehouse &amp;Logistic Anx'!J3</f>
        <v>0</v>
      </c>
      <c r="AC12" s="648">
        <f>'8.Human Resources (SD) Annex'!J4</f>
        <v>0</v>
      </c>
      <c r="AD12" s="648">
        <f>'8.Human Resources (SD) Annex'!J3</f>
        <v>0</v>
      </c>
      <c r="AE12" s="650">
        <f>'9.Training Annex'!J4</f>
        <v>0</v>
      </c>
      <c r="AF12" s="650">
        <f>'9.Training Annex'!J3</f>
        <v>0</v>
      </c>
      <c r="AG12" s="648">
        <f>'16.PM Annex'!J4</f>
        <v>0</v>
      </c>
      <c r="AH12" s="648">
        <f>'16.PM Annex'!J3</f>
        <v>0</v>
      </c>
      <c r="AI12" s="648">
        <f>'10.Review Research &amp; Surveillen'!J4</f>
        <v>0</v>
      </c>
      <c r="AJ12" s="648">
        <f>'10.Review Research &amp; Surveillen'!J3</f>
        <v>0</v>
      </c>
      <c r="AK12" s="648">
        <f>'17.IT Initiatives_SD'!J4</f>
        <v>0</v>
      </c>
      <c r="AL12" s="648">
        <f>'17.IT Initiatives_SD'!J3</f>
        <v>0</v>
      </c>
      <c r="AM12" s="648">
        <f>'18.Innovation'!J4</f>
        <v>0</v>
      </c>
      <c r="AN12" s="648">
        <f>'18.Innovation'!J3</f>
        <v>0</v>
      </c>
    </row>
    <row r="13" spans="1:54" s="157" customFormat="1" x14ac:dyDescent="0.25">
      <c r="A13" s="3783"/>
      <c r="B13" s="673" t="s">
        <v>4071</v>
      </c>
      <c r="C13" s="748">
        <f t="shared" si="2"/>
        <v>0</v>
      </c>
      <c r="D13" s="748">
        <f t="shared" si="3"/>
        <v>0</v>
      </c>
      <c r="E13" s="269">
        <f>'1.SD Facility Based Annex'!K4</f>
        <v>0</v>
      </c>
      <c r="F13" s="269">
        <f>'1.SD Facility Based Annex'!K3</f>
        <v>0</v>
      </c>
      <c r="G13" s="267">
        <f>'2.SD Community Based Annex'!K4</f>
        <v>0</v>
      </c>
      <c r="H13" s="268">
        <f>'2.SD Community Based Annex'!K3</f>
        <v>0</v>
      </c>
      <c r="I13" s="267">
        <f>'3.Community Intervention Annexn'!K4</f>
        <v>0</v>
      </c>
      <c r="J13" s="267">
        <f>'3.Community Intervention Annexn'!K3</f>
        <v>0</v>
      </c>
      <c r="K13" s="648">
        <f>'5.Infrastructure Annex'!K4</f>
        <v>0</v>
      </c>
      <c r="L13" s="648">
        <f>'5.Infrastructure Annex'!K3</f>
        <v>0</v>
      </c>
      <c r="M13" s="648">
        <f>'7.Referral Transport Annex'!K4</f>
        <v>0</v>
      </c>
      <c r="N13" s="648">
        <f>'7.Referral Transport Annex'!K3</f>
        <v>0</v>
      </c>
      <c r="O13" s="648">
        <f>'11.IEC-BCC Annex'!K4</f>
        <v>0</v>
      </c>
      <c r="P13" s="648">
        <f>'11.IEC-BCC Annex'!K3</f>
        <v>0</v>
      </c>
      <c r="Q13" s="648">
        <f>'12.Printing Annex'!K4</f>
        <v>0</v>
      </c>
      <c r="R13" s="648">
        <f>'12.Printing Annex'!K3</f>
        <v>0</v>
      </c>
      <c r="S13" s="648">
        <f>'13.Quality Assurance Annex'!K4</f>
        <v>0</v>
      </c>
      <c r="T13" s="650">
        <f>'13.Quality Assurance Annex'!K3</f>
        <v>0</v>
      </c>
      <c r="U13" s="648">
        <f>'4.Untied grants Annex'!K4</f>
        <v>0</v>
      </c>
      <c r="V13" s="648">
        <f>'4.Untied grants Annex'!K3</f>
        <v>0</v>
      </c>
      <c r="W13" s="648">
        <f>'15.PPP Annex'!K4</f>
        <v>0</v>
      </c>
      <c r="X13" s="648">
        <f>'15.PPP Annex'!K3</f>
        <v>0</v>
      </c>
      <c r="Y13" s="648">
        <f>'6.Procurement Annex'!K4</f>
        <v>0</v>
      </c>
      <c r="Z13" s="648">
        <f>'6.Procurement Annex'!K3</f>
        <v>0</v>
      </c>
      <c r="AA13" s="648">
        <f>'14.Drug warehouse &amp;Logistic Anx'!K4</f>
        <v>0</v>
      </c>
      <c r="AB13" s="648">
        <f>'14.Drug warehouse &amp;Logistic Anx'!K3</f>
        <v>0</v>
      </c>
      <c r="AC13" s="648">
        <f>'8.Human Resources (SD) Annex'!K4</f>
        <v>0</v>
      </c>
      <c r="AD13" s="648">
        <f>'8.Human Resources (SD) Annex'!K3</f>
        <v>0</v>
      </c>
      <c r="AE13" s="650">
        <f>'9.Training Annex'!K4</f>
        <v>0</v>
      </c>
      <c r="AF13" s="650">
        <f>'9.Training Annex'!K3</f>
        <v>0</v>
      </c>
      <c r="AG13" s="648">
        <f>'16.PM Annex'!K4</f>
        <v>0</v>
      </c>
      <c r="AH13" s="648">
        <f>'16.PM Annex'!K3</f>
        <v>0</v>
      </c>
      <c r="AI13" s="648">
        <f>'10.Review Research &amp; Surveillen'!K4</f>
        <v>0</v>
      </c>
      <c r="AJ13" s="648">
        <f>'10.Review Research &amp; Surveillen'!K3</f>
        <v>0</v>
      </c>
      <c r="AK13" s="648">
        <f>'17.IT Initiatives_SD'!K4</f>
        <v>0</v>
      </c>
      <c r="AL13" s="648">
        <f>'17.IT Initiatives_SD'!K3</f>
        <v>0</v>
      </c>
      <c r="AM13" s="648">
        <f>'18.Innovation'!K4</f>
        <v>0</v>
      </c>
      <c r="AN13" s="648">
        <f>'18.Innovation'!K3</f>
        <v>0</v>
      </c>
    </row>
    <row r="14" spans="1:54" s="157" customFormat="1" x14ac:dyDescent="0.25">
      <c r="A14" s="3783"/>
      <c r="B14" s="673" t="s">
        <v>4072</v>
      </c>
      <c r="C14" s="748">
        <f t="shared" si="2"/>
        <v>0</v>
      </c>
      <c r="D14" s="748">
        <f t="shared" si="3"/>
        <v>0</v>
      </c>
      <c r="E14" s="269">
        <f>'1.SD Facility Based Annex'!L4</f>
        <v>0</v>
      </c>
      <c r="F14" s="269">
        <f>'1.SD Facility Based Annex'!L3</f>
        <v>0</v>
      </c>
      <c r="G14" s="267">
        <f>'2.SD Community Based Annex'!L4</f>
        <v>0</v>
      </c>
      <c r="H14" s="268">
        <f>'2.SD Community Based Annex'!L3</f>
        <v>0</v>
      </c>
      <c r="I14" s="267">
        <f>'3.Community Intervention Annexn'!L4</f>
        <v>0</v>
      </c>
      <c r="J14" s="267">
        <f>'3.Community Intervention Annexn'!L3</f>
        <v>0</v>
      </c>
      <c r="K14" s="648">
        <f>'5.Infrastructure Annex'!L4</f>
        <v>0</v>
      </c>
      <c r="L14" s="648">
        <f>'5.Infrastructure Annex'!L3</f>
        <v>0</v>
      </c>
      <c r="M14" s="648">
        <f>'7.Referral Transport Annex'!L4</f>
        <v>0</v>
      </c>
      <c r="N14" s="648">
        <f>'7.Referral Transport Annex'!L3</f>
        <v>0</v>
      </c>
      <c r="O14" s="648">
        <f>'11.IEC-BCC Annex'!L4</f>
        <v>0</v>
      </c>
      <c r="P14" s="648">
        <f>'11.IEC-BCC Annex'!L3</f>
        <v>0</v>
      </c>
      <c r="Q14" s="648">
        <f>'12.Printing Annex'!L4</f>
        <v>0</v>
      </c>
      <c r="R14" s="648">
        <f>'12.Printing Annex'!L3</f>
        <v>0</v>
      </c>
      <c r="S14" s="648">
        <f>'13.Quality Assurance Annex'!L4</f>
        <v>0</v>
      </c>
      <c r="T14" s="650">
        <f>'13.Quality Assurance Annex'!L3</f>
        <v>0</v>
      </c>
      <c r="U14" s="648">
        <f>'4.Untied grants Annex'!L4</f>
        <v>0</v>
      </c>
      <c r="V14" s="648">
        <f>'4.Untied grants Annex'!L3</f>
        <v>0</v>
      </c>
      <c r="W14" s="648">
        <f>'15.PPP Annex'!L4</f>
        <v>0</v>
      </c>
      <c r="X14" s="648">
        <f>'15.PPP Annex'!L3</f>
        <v>0</v>
      </c>
      <c r="Y14" s="648">
        <f>'6.Procurement Annex'!L4</f>
        <v>0</v>
      </c>
      <c r="Z14" s="648">
        <f>'6.Procurement Annex'!L3</f>
        <v>0</v>
      </c>
      <c r="AA14" s="648">
        <f>'14.Drug warehouse &amp;Logistic Anx'!L4</f>
        <v>0</v>
      </c>
      <c r="AB14" s="648">
        <f>'14.Drug warehouse &amp;Logistic Anx'!L3</f>
        <v>0</v>
      </c>
      <c r="AC14" s="648">
        <f>'8.Human Resources (SD) Annex'!L4</f>
        <v>0</v>
      </c>
      <c r="AD14" s="648">
        <f>'8.Human Resources (SD) Annex'!L3</f>
        <v>0</v>
      </c>
      <c r="AE14" s="650">
        <f>'9.Training Annex'!L4</f>
        <v>0</v>
      </c>
      <c r="AF14" s="650">
        <f>'9.Training Annex'!L3</f>
        <v>0</v>
      </c>
      <c r="AG14" s="648">
        <f>'16.PM Annex'!L4</f>
        <v>0</v>
      </c>
      <c r="AH14" s="648">
        <f>'16.PM Annex'!L3</f>
        <v>0</v>
      </c>
      <c r="AI14" s="648">
        <f>'10.Review Research &amp; Surveillen'!L4</f>
        <v>0</v>
      </c>
      <c r="AJ14" s="648">
        <f>'10.Review Research &amp; Surveillen'!L3</f>
        <v>0</v>
      </c>
      <c r="AK14" s="648">
        <f>'17.IT Initiatives_SD'!L4</f>
        <v>0</v>
      </c>
      <c r="AL14" s="648">
        <f>'17.IT Initiatives_SD'!L3</f>
        <v>0</v>
      </c>
      <c r="AM14" s="648">
        <f>'18.Innovation'!L4</f>
        <v>0</v>
      </c>
      <c r="AN14" s="648">
        <f>'18.Innovation'!L3</f>
        <v>0</v>
      </c>
    </row>
    <row r="15" spans="1:54" s="157" customFormat="1" x14ac:dyDescent="0.25">
      <c r="A15" s="3783"/>
      <c r="B15" s="673" t="s">
        <v>5275</v>
      </c>
      <c r="C15" s="748">
        <f t="shared" si="2"/>
        <v>0</v>
      </c>
      <c r="D15" s="748">
        <f t="shared" si="3"/>
        <v>0</v>
      </c>
      <c r="E15" s="267">
        <f>'1.SD Facility Based Annex'!M4</f>
        <v>0</v>
      </c>
      <c r="F15" s="267">
        <f>'1.SD Facility Based Annex'!M3</f>
        <v>0</v>
      </c>
      <c r="G15" s="267">
        <f>'2.SD Community Based Annex'!M4</f>
        <v>0</v>
      </c>
      <c r="H15" s="268">
        <f>'2.SD Community Based Annex'!M3</f>
        <v>0</v>
      </c>
      <c r="I15" s="267">
        <f>'3.Community Intervention Annexn'!M4</f>
        <v>0</v>
      </c>
      <c r="J15" s="267">
        <f>'3.Community Intervention Annexn'!M3</f>
        <v>0</v>
      </c>
      <c r="K15" s="648">
        <f>'5.Infrastructure Annex'!M4</f>
        <v>0</v>
      </c>
      <c r="L15" s="648">
        <f>'5.Infrastructure Annex'!M3</f>
        <v>0</v>
      </c>
      <c r="M15" s="648">
        <f>'7.Referral Transport Annex'!M4</f>
        <v>0</v>
      </c>
      <c r="N15" s="648">
        <f>'7.Referral Transport Annex'!M3</f>
        <v>0</v>
      </c>
      <c r="O15" s="648">
        <f>'11.IEC-BCC Annex'!M4</f>
        <v>0</v>
      </c>
      <c r="P15" s="648">
        <f>'11.IEC-BCC Annex'!M3</f>
        <v>0</v>
      </c>
      <c r="Q15" s="648">
        <f>'12.Printing Annex'!M4</f>
        <v>0</v>
      </c>
      <c r="R15" s="648">
        <f>'12.Printing Annex'!M3</f>
        <v>0</v>
      </c>
      <c r="S15" s="648">
        <f>'13.Quality Assurance Annex'!M4</f>
        <v>0</v>
      </c>
      <c r="T15" s="650">
        <f>'13.Quality Assurance Annex'!M3</f>
        <v>0</v>
      </c>
      <c r="U15" s="648">
        <f>'4.Untied grants Annex'!M4</f>
        <v>0</v>
      </c>
      <c r="V15" s="648">
        <f>'4.Untied grants Annex'!M3</f>
        <v>0</v>
      </c>
      <c r="W15" s="648">
        <f>'15.PPP Annex'!M4</f>
        <v>0</v>
      </c>
      <c r="X15" s="648">
        <f>'15.PPP Annex'!M3</f>
        <v>0</v>
      </c>
      <c r="Y15" s="648">
        <f>'6.Procurement Annex'!M4</f>
        <v>0</v>
      </c>
      <c r="Z15" s="648">
        <f>'6.Procurement Annex'!M3</f>
        <v>0</v>
      </c>
      <c r="AA15" s="648">
        <f>'14.Drug warehouse &amp;Logistic Anx'!M4</f>
        <v>0</v>
      </c>
      <c r="AB15" s="648">
        <f>'14.Drug warehouse &amp;Logistic Anx'!M3</f>
        <v>0</v>
      </c>
      <c r="AC15" s="648">
        <f>'8.Human Resources (SD) Annex'!M4</f>
        <v>0</v>
      </c>
      <c r="AD15" s="648">
        <f>'8.Human Resources (SD) Annex'!M3</f>
        <v>0</v>
      </c>
      <c r="AE15" s="650">
        <f>'9.Training Annex'!M4</f>
        <v>0</v>
      </c>
      <c r="AF15" s="650">
        <f>'9.Training Annex'!M3</f>
        <v>0</v>
      </c>
      <c r="AG15" s="648">
        <f>'16.PM Annex'!M4</f>
        <v>0</v>
      </c>
      <c r="AH15" s="648">
        <f>'16.PM Annex'!M3</f>
        <v>0</v>
      </c>
      <c r="AI15" s="648">
        <f>'10.Review Research &amp; Surveillen'!M4</f>
        <v>0</v>
      </c>
      <c r="AJ15" s="648">
        <f>'10.Review Research &amp; Surveillen'!M3</f>
        <v>0</v>
      </c>
      <c r="AK15" s="648">
        <f>'17.IT Initiatives_SD'!M4</f>
        <v>0</v>
      </c>
      <c r="AL15" s="648">
        <f>'17.IT Initiatives_SD'!M3</f>
        <v>0</v>
      </c>
      <c r="AM15" s="648">
        <f>'18.Innovation'!M4</f>
        <v>0</v>
      </c>
      <c r="AN15" s="648">
        <f>'18.Innovation'!M3</f>
        <v>0</v>
      </c>
    </row>
    <row r="16" spans="1:54" s="157" customFormat="1" x14ac:dyDescent="0.25">
      <c r="A16" s="3783"/>
      <c r="B16" s="673" t="s">
        <v>5276</v>
      </c>
      <c r="C16" s="748">
        <f t="shared" si="2"/>
        <v>0</v>
      </c>
      <c r="D16" s="748">
        <f t="shared" si="3"/>
        <v>0</v>
      </c>
      <c r="E16" s="267"/>
      <c r="F16" s="267"/>
      <c r="G16" s="267"/>
      <c r="H16" s="268"/>
      <c r="I16" s="267"/>
      <c r="J16" s="267"/>
      <c r="K16" s="648"/>
      <c r="L16" s="648"/>
      <c r="M16" s="648"/>
      <c r="N16" s="648"/>
      <c r="O16" s="648"/>
      <c r="P16" s="648"/>
      <c r="Q16" s="648"/>
      <c r="R16" s="648"/>
      <c r="S16" s="648"/>
      <c r="T16" s="650"/>
      <c r="U16" s="648"/>
      <c r="V16" s="648"/>
      <c r="W16" s="648">
        <f>'15.PPP Annex'!BB4</f>
        <v>0</v>
      </c>
      <c r="X16" s="648">
        <f>'15.PPP Annex'!BB3</f>
        <v>0</v>
      </c>
      <c r="Y16" s="648"/>
      <c r="Z16" s="648"/>
      <c r="AA16" s="648"/>
      <c r="AB16" s="648"/>
      <c r="AC16" s="648"/>
      <c r="AD16" s="648"/>
      <c r="AE16" s="650"/>
      <c r="AF16" s="650"/>
      <c r="AG16" s="648">
        <f>'16.PM Annex'!BB4</f>
        <v>0</v>
      </c>
      <c r="AH16" s="648">
        <f>'16.PM Annex'!BB3</f>
        <v>0</v>
      </c>
      <c r="AI16" s="648"/>
      <c r="AJ16" s="648"/>
      <c r="AK16" s="648"/>
      <c r="AL16" s="648"/>
      <c r="AM16" s="648">
        <f>'18.Innovation'!BB4</f>
        <v>0</v>
      </c>
      <c r="AN16" s="648">
        <f>'18.Innovation'!BB3</f>
        <v>0</v>
      </c>
    </row>
    <row r="17" spans="1:40" s="157" customFormat="1" ht="30" x14ac:dyDescent="0.25">
      <c r="A17" s="3783"/>
      <c r="B17" s="673" t="s">
        <v>3884</v>
      </c>
      <c r="C17" s="748">
        <f t="shared" si="2"/>
        <v>0</v>
      </c>
      <c r="D17" s="748">
        <f t="shared" si="3"/>
        <v>0</v>
      </c>
      <c r="E17" s="267">
        <f>'1.SD Facility Based Annex'!N4</f>
        <v>0</v>
      </c>
      <c r="F17" s="267">
        <f>'1.SD Facility Based Annex'!N3</f>
        <v>0</v>
      </c>
      <c r="G17" s="267">
        <f>'2.SD Community Based Annex'!N4</f>
        <v>0</v>
      </c>
      <c r="H17" s="268">
        <f>'2.SD Community Based Annex'!N3</f>
        <v>0</v>
      </c>
      <c r="I17" s="267">
        <f>'3.Community Intervention Annexn'!N4</f>
        <v>0</v>
      </c>
      <c r="J17" s="267">
        <f>'3.Community Intervention Annexn'!N3</f>
        <v>0</v>
      </c>
      <c r="K17" s="648">
        <f>'5.Infrastructure Annex'!N4</f>
        <v>0</v>
      </c>
      <c r="L17" s="648">
        <f>'5.Infrastructure Annex'!N3</f>
        <v>0</v>
      </c>
      <c r="M17" s="648">
        <f>'7.Referral Transport Annex'!N4</f>
        <v>0</v>
      </c>
      <c r="N17" s="648">
        <f>'7.Referral Transport Annex'!N3</f>
        <v>0</v>
      </c>
      <c r="O17" s="648">
        <f>'11.IEC-BCC Annex'!N4</f>
        <v>0</v>
      </c>
      <c r="P17" s="648">
        <f>'11.IEC-BCC Annex'!N3</f>
        <v>0</v>
      </c>
      <c r="Q17" s="648">
        <f>'12.Printing Annex'!N4</f>
        <v>0</v>
      </c>
      <c r="R17" s="648">
        <f>'12.Printing Annex'!N3</f>
        <v>0</v>
      </c>
      <c r="S17" s="648">
        <f>'13.Quality Assurance Annex'!N4</f>
        <v>0</v>
      </c>
      <c r="T17" s="650">
        <f>'13.Quality Assurance Annex'!N3</f>
        <v>0</v>
      </c>
      <c r="U17" s="648">
        <f>'4.Untied grants Annex'!N4</f>
        <v>0</v>
      </c>
      <c r="V17" s="648">
        <f>'4.Untied grants Annex'!N3</f>
        <v>0</v>
      </c>
      <c r="W17" s="648">
        <f>'15.PPP Annex'!N4</f>
        <v>0</v>
      </c>
      <c r="X17" s="648">
        <f>'15.PPP Annex'!N3</f>
        <v>0</v>
      </c>
      <c r="Y17" s="648">
        <f>'6.Procurement Annex'!N4</f>
        <v>0</v>
      </c>
      <c r="Z17" s="648">
        <f>'6.Procurement Annex'!N3</f>
        <v>0</v>
      </c>
      <c r="AA17" s="648">
        <f>'14.Drug warehouse &amp;Logistic Anx'!N4</f>
        <v>0</v>
      </c>
      <c r="AB17" s="648">
        <f>'14.Drug warehouse &amp;Logistic Anx'!N3</f>
        <v>0</v>
      </c>
      <c r="AC17" s="648">
        <f>'8.Human Resources (SD) Annex'!N4</f>
        <v>0</v>
      </c>
      <c r="AD17" s="648">
        <f>'8.Human Resources (SD) Annex'!N3</f>
        <v>0</v>
      </c>
      <c r="AE17" s="650">
        <f>'9.Training Annex'!N4</f>
        <v>0</v>
      </c>
      <c r="AF17" s="650">
        <f>'9.Training Annex'!N3</f>
        <v>0</v>
      </c>
      <c r="AG17" s="648">
        <f>'16.PM Annex'!N4</f>
        <v>0</v>
      </c>
      <c r="AH17" s="648">
        <f>'16.PM Annex'!N3</f>
        <v>0</v>
      </c>
      <c r="AI17" s="648">
        <f>'10.Review Research &amp; Surveillen'!N4</f>
        <v>0</v>
      </c>
      <c r="AJ17" s="648">
        <f>'10.Review Research &amp; Surveillen'!N3</f>
        <v>0</v>
      </c>
      <c r="AK17" s="648">
        <f>'17.IT Initiatives_SD'!N4</f>
        <v>0</v>
      </c>
      <c r="AL17" s="648">
        <f>'17.IT Initiatives_SD'!N3</f>
        <v>0</v>
      </c>
      <c r="AM17" s="648">
        <f>'18.Innovation'!N4</f>
        <v>0</v>
      </c>
      <c r="AN17" s="648">
        <f>'18.Innovation'!N3</f>
        <v>0</v>
      </c>
    </row>
    <row r="18" spans="1:40" s="157" customFormat="1" x14ac:dyDescent="0.25">
      <c r="A18" s="3783" t="s">
        <v>4713</v>
      </c>
      <c r="B18" s="673" t="s">
        <v>4707</v>
      </c>
      <c r="C18" s="748">
        <f t="shared" si="2"/>
        <v>300</v>
      </c>
      <c r="D18" s="748">
        <f t="shared" si="3"/>
        <v>0</v>
      </c>
      <c r="E18" s="267">
        <f>'1.SD Facility Based Annex'!O4</f>
        <v>0</v>
      </c>
      <c r="F18" s="267">
        <f>'1.SD Facility Based Annex'!O3</f>
        <v>0</v>
      </c>
      <c r="G18" s="267">
        <f>'2.SD Community Based Annex'!O4</f>
        <v>0</v>
      </c>
      <c r="H18" s="268">
        <f>'2.SD Community Based Annex'!O3</f>
        <v>0</v>
      </c>
      <c r="I18" s="267">
        <f>'3.Community Intervention Annexn'!O4</f>
        <v>0</v>
      </c>
      <c r="J18" s="267">
        <f>'3.Community Intervention Annexn'!O3</f>
        <v>0</v>
      </c>
      <c r="K18" s="648">
        <f>'5.Infrastructure Annex'!O4</f>
        <v>0</v>
      </c>
      <c r="L18" s="648">
        <f>'5.Infrastructure Annex'!O3</f>
        <v>0</v>
      </c>
      <c r="M18" s="648">
        <f>'7.Referral Transport Annex'!O4</f>
        <v>0</v>
      </c>
      <c r="N18" s="648">
        <f>'7.Referral Transport Annex'!O3</f>
        <v>0</v>
      </c>
      <c r="O18" s="648">
        <f>'11.IEC-BCC Annex'!O4</f>
        <v>0</v>
      </c>
      <c r="P18" s="648">
        <f>'11.IEC-BCC Annex'!O3</f>
        <v>0</v>
      </c>
      <c r="Q18" s="648">
        <f>'12.Printing Annex'!O4</f>
        <v>0</v>
      </c>
      <c r="R18" s="648">
        <f>'12.Printing Annex'!O3</f>
        <v>0</v>
      </c>
      <c r="S18" s="648">
        <f>'13.Quality Assurance Annex'!O4</f>
        <v>0</v>
      </c>
      <c r="T18" s="650">
        <f>'13.Quality Assurance Annex'!O3</f>
        <v>0</v>
      </c>
      <c r="U18" s="648">
        <f>'4.Untied grants Annex'!O4</f>
        <v>0</v>
      </c>
      <c r="V18" s="648">
        <f>'4.Untied grants Annex'!O3</f>
        <v>0</v>
      </c>
      <c r="W18" s="648">
        <f>'15.PPP Annex'!O4</f>
        <v>0</v>
      </c>
      <c r="X18" s="648">
        <f>'15.PPP Annex'!O3</f>
        <v>0</v>
      </c>
      <c r="Y18" s="648">
        <f>'6.Procurement Annex'!O4</f>
        <v>0</v>
      </c>
      <c r="Z18" s="648">
        <f>'6.Procurement Annex'!O3</f>
        <v>0</v>
      </c>
      <c r="AA18" s="648">
        <f>'14.Drug warehouse &amp;Logistic Anx'!O4</f>
        <v>0</v>
      </c>
      <c r="AB18" s="648">
        <f>'14.Drug warehouse &amp;Logistic Anx'!O3</f>
        <v>0</v>
      </c>
      <c r="AC18" s="648">
        <f>'8.Human Resources (SD) Annex'!O4</f>
        <v>300</v>
      </c>
      <c r="AD18" s="648">
        <f>'8.Human Resources (SD) Annex'!O3</f>
        <v>0</v>
      </c>
      <c r="AE18" s="650">
        <f>'9.Training Annex'!O4</f>
        <v>0</v>
      </c>
      <c r="AF18" s="650">
        <f>'9.Training Annex'!O3</f>
        <v>0</v>
      </c>
      <c r="AG18" s="648">
        <f>'16.PM Annex'!O4</f>
        <v>0</v>
      </c>
      <c r="AH18" s="648">
        <f>'16.PM Annex'!O3</f>
        <v>0</v>
      </c>
      <c r="AI18" s="648">
        <f>'10.Review Research &amp; Surveillen'!O4</f>
        <v>0</v>
      </c>
      <c r="AJ18" s="648">
        <f>'10.Review Research &amp; Surveillen'!O3</f>
        <v>0</v>
      </c>
      <c r="AK18" s="648">
        <f>'17.IT Initiatives_SD'!O4</f>
        <v>0</v>
      </c>
      <c r="AL18" s="648">
        <f>'17.IT Initiatives_SD'!O3</f>
        <v>0</v>
      </c>
      <c r="AM18" s="648">
        <f>'18.Innovation'!O4</f>
        <v>0</v>
      </c>
      <c r="AN18" s="648">
        <f>'18.Innovation'!O3</f>
        <v>0</v>
      </c>
    </row>
    <row r="19" spans="1:40" s="157" customFormat="1" x14ac:dyDescent="0.25">
      <c r="A19" s="3783"/>
      <c r="B19" s="673" t="s">
        <v>3855</v>
      </c>
      <c r="C19" s="748">
        <f t="shared" si="2"/>
        <v>0</v>
      </c>
      <c r="D19" s="748">
        <f t="shared" si="3"/>
        <v>0</v>
      </c>
      <c r="E19" s="267">
        <f>'1.SD Facility Based Annex'!P4</f>
        <v>0</v>
      </c>
      <c r="F19" s="267">
        <f>'1.SD Facility Based Annex'!P3</f>
        <v>0</v>
      </c>
      <c r="G19" s="267">
        <f>'2.SD Community Based Annex'!P4</f>
        <v>0</v>
      </c>
      <c r="H19" s="268">
        <f>'2.SD Community Based Annex'!P3</f>
        <v>0</v>
      </c>
      <c r="I19" s="267">
        <f>'3.Community Intervention Annexn'!P4</f>
        <v>0</v>
      </c>
      <c r="J19" s="267">
        <f>'3.Community Intervention Annexn'!P3</f>
        <v>0</v>
      </c>
      <c r="K19" s="648">
        <f>'5.Infrastructure Annex'!P4</f>
        <v>0</v>
      </c>
      <c r="L19" s="648">
        <f>'5.Infrastructure Annex'!P3</f>
        <v>0</v>
      </c>
      <c r="M19" s="648">
        <f>'7.Referral Transport Annex'!P4</f>
        <v>0</v>
      </c>
      <c r="N19" s="648">
        <f>'7.Referral Transport Annex'!P3</f>
        <v>0</v>
      </c>
      <c r="O19" s="648">
        <f>'11.IEC-BCC Annex'!P4</f>
        <v>0</v>
      </c>
      <c r="P19" s="648">
        <f>'11.IEC-BCC Annex'!P3</f>
        <v>0</v>
      </c>
      <c r="Q19" s="648">
        <f>'12.Printing Annex'!P4</f>
        <v>0</v>
      </c>
      <c r="R19" s="648">
        <f>'12.Printing Annex'!P3</f>
        <v>0</v>
      </c>
      <c r="S19" s="648">
        <f>'13.Quality Assurance Annex'!P4</f>
        <v>0</v>
      </c>
      <c r="T19" s="650">
        <f>'13.Quality Assurance Annex'!P3</f>
        <v>0</v>
      </c>
      <c r="U19" s="648">
        <f>'4.Untied grants Annex'!P4</f>
        <v>0</v>
      </c>
      <c r="V19" s="648">
        <f>'4.Untied grants Annex'!P3</f>
        <v>0</v>
      </c>
      <c r="W19" s="648">
        <f>'15.PPP Annex'!P4</f>
        <v>0</v>
      </c>
      <c r="X19" s="648">
        <f>'15.PPP Annex'!P3</f>
        <v>0</v>
      </c>
      <c r="Y19" s="648">
        <f>'6.Procurement Annex'!P4</f>
        <v>0</v>
      </c>
      <c r="Z19" s="648">
        <f>'6.Procurement Annex'!P3</f>
        <v>0</v>
      </c>
      <c r="AA19" s="648">
        <f>'14.Drug warehouse &amp;Logistic Anx'!P4</f>
        <v>0</v>
      </c>
      <c r="AB19" s="648">
        <f>'14.Drug warehouse &amp;Logistic Anx'!P3</f>
        <v>0</v>
      </c>
      <c r="AC19" s="648">
        <f>'8.Human Resources (SD) Annex'!P4</f>
        <v>0</v>
      </c>
      <c r="AD19" s="648">
        <f>'8.Human Resources (SD) Annex'!P3</f>
        <v>0</v>
      </c>
      <c r="AE19" s="650">
        <f>'9.Training Annex'!P4</f>
        <v>0</v>
      </c>
      <c r="AF19" s="650">
        <f>'9.Training Annex'!P3</f>
        <v>0</v>
      </c>
      <c r="AG19" s="648">
        <f>'16.PM Annex'!P4</f>
        <v>0</v>
      </c>
      <c r="AH19" s="648">
        <f>'16.PM Annex'!P3</f>
        <v>0</v>
      </c>
      <c r="AI19" s="648">
        <f>'10.Review Research &amp; Surveillen'!P4</f>
        <v>0</v>
      </c>
      <c r="AJ19" s="648">
        <f>'10.Review Research &amp; Surveillen'!P3</f>
        <v>0</v>
      </c>
      <c r="AK19" s="648">
        <f>'17.IT Initiatives_SD'!P4</f>
        <v>0</v>
      </c>
      <c r="AL19" s="648">
        <f>'17.IT Initiatives_SD'!P3</f>
        <v>0</v>
      </c>
      <c r="AM19" s="648">
        <f>'18.Innovation'!P4</f>
        <v>0</v>
      </c>
      <c r="AN19" s="648">
        <f>'18.Innovation'!P3</f>
        <v>0</v>
      </c>
    </row>
    <row r="20" spans="1:40" s="157" customFormat="1" x14ac:dyDescent="0.25">
      <c r="A20" s="3783"/>
      <c r="B20" s="673" t="s">
        <v>14</v>
      </c>
      <c r="C20" s="748">
        <f t="shared" si="2"/>
        <v>0</v>
      </c>
      <c r="D20" s="748">
        <f t="shared" si="3"/>
        <v>0</v>
      </c>
      <c r="E20" s="267">
        <f>'1.SD Facility Based Annex'!Q4</f>
        <v>0</v>
      </c>
      <c r="F20" s="267">
        <f>'1.SD Facility Based Annex'!Q3</f>
        <v>0</v>
      </c>
      <c r="G20" s="267">
        <f>'2.SD Community Based Annex'!Q4</f>
        <v>0</v>
      </c>
      <c r="H20" s="268">
        <f>'2.SD Community Based Annex'!Q3</f>
        <v>0</v>
      </c>
      <c r="I20" s="269">
        <f>'3.Community Intervention Annexn'!Q4</f>
        <v>0</v>
      </c>
      <c r="J20" s="269">
        <f>'3.Community Intervention Annexn'!Q3</f>
        <v>0</v>
      </c>
      <c r="K20" s="648">
        <f>'5.Infrastructure Annex'!Q4</f>
        <v>0</v>
      </c>
      <c r="L20" s="648">
        <f>'5.Infrastructure Annex'!Q3</f>
        <v>0</v>
      </c>
      <c r="M20" s="648">
        <f>'7.Referral Transport Annex'!Q4</f>
        <v>0</v>
      </c>
      <c r="N20" s="648">
        <f>'7.Referral Transport Annex'!Q3</f>
        <v>0</v>
      </c>
      <c r="O20" s="648">
        <f>'11.IEC-BCC Annex'!Q4</f>
        <v>0</v>
      </c>
      <c r="P20" s="648">
        <f>'11.IEC-BCC Annex'!Q3</f>
        <v>0</v>
      </c>
      <c r="Q20" s="648">
        <f>'12.Printing Annex'!Q4</f>
        <v>0</v>
      </c>
      <c r="R20" s="648">
        <f>'12.Printing Annex'!Q3</f>
        <v>0</v>
      </c>
      <c r="S20" s="648">
        <f>'13.Quality Assurance Annex'!Q4</f>
        <v>0</v>
      </c>
      <c r="T20" s="650">
        <f>'13.Quality Assurance Annex'!Q3</f>
        <v>0</v>
      </c>
      <c r="U20" s="648">
        <f>'4.Untied grants Annex'!Q4</f>
        <v>0</v>
      </c>
      <c r="V20" s="648">
        <f>'4.Untied grants Annex'!Q3</f>
        <v>0</v>
      </c>
      <c r="W20" s="648">
        <f>'15.PPP Annex'!Q4</f>
        <v>0</v>
      </c>
      <c r="X20" s="648">
        <f>'15.PPP Annex'!Q3</f>
        <v>0</v>
      </c>
      <c r="Y20" s="648">
        <f>'6.Procurement Annex'!Q4</f>
        <v>0</v>
      </c>
      <c r="Z20" s="648">
        <f>'6.Procurement Annex'!Q3</f>
        <v>0</v>
      </c>
      <c r="AA20" s="648">
        <f>'14.Drug warehouse &amp;Logistic Anx'!Q4</f>
        <v>0</v>
      </c>
      <c r="AB20" s="648">
        <f>'14.Drug warehouse &amp;Logistic Anx'!Q3</f>
        <v>0</v>
      </c>
      <c r="AC20" s="648">
        <f>'8.Human Resources (SD) Annex'!Q4</f>
        <v>0</v>
      </c>
      <c r="AD20" s="648">
        <f>'8.Human Resources (SD) Annex'!Q3</f>
        <v>0</v>
      </c>
      <c r="AE20" s="650">
        <f>'9.Training Annex'!Q4</f>
        <v>0</v>
      </c>
      <c r="AF20" s="650">
        <f>'9.Training Annex'!Q3</f>
        <v>0</v>
      </c>
      <c r="AG20" s="648">
        <f>'16.PM Annex'!Q4</f>
        <v>0</v>
      </c>
      <c r="AH20" s="648">
        <f>'16.PM Annex'!Q3</f>
        <v>0</v>
      </c>
      <c r="AI20" s="648">
        <f>'10.Review Research &amp; Surveillen'!Q4</f>
        <v>0</v>
      </c>
      <c r="AJ20" s="648">
        <f>'10.Review Research &amp; Surveillen'!Q3</f>
        <v>0</v>
      </c>
      <c r="AK20" s="648">
        <f>'17.IT Initiatives_SD'!Q4</f>
        <v>0</v>
      </c>
      <c r="AL20" s="648">
        <f>'17.IT Initiatives_SD'!Q3</f>
        <v>0</v>
      </c>
      <c r="AM20" s="648">
        <f>'18.Innovation'!Q4</f>
        <v>0</v>
      </c>
      <c r="AN20" s="648">
        <f>'18.Innovation'!Q3</f>
        <v>0</v>
      </c>
    </row>
    <row r="21" spans="1:40" s="157" customFormat="1" x14ac:dyDescent="0.25">
      <c r="A21" s="3783"/>
      <c r="B21" s="673" t="s">
        <v>4701</v>
      </c>
      <c r="C21" s="748">
        <f t="shared" si="2"/>
        <v>0</v>
      </c>
      <c r="D21" s="748">
        <f t="shared" si="3"/>
        <v>0</v>
      </c>
      <c r="E21" s="267">
        <f>'1.SD Facility Based Annex'!R4</f>
        <v>0</v>
      </c>
      <c r="F21" s="267">
        <f>'1.SD Facility Based Annex'!R3</f>
        <v>0</v>
      </c>
      <c r="G21" s="267">
        <f>'2.SD Community Based Annex'!R4</f>
        <v>0</v>
      </c>
      <c r="H21" s="268">
        <f>'2.SD Community Based Annex'!R3</f>
        <v>0</v>
      </c>
      <c r="I21" s="267">
        <f>'3.Community Intervention Annexn'!R4</f>
        <v>0</v>
      </c>
      <c r="J21" s="267">
        <f>'3.Community Intervention Annexn'!R3</f>
        <v>0</v>
      </c>
      <c r="K21" s="648">
        <f>'5.Infrastructure Annex'!R4</f>
        <v>0</v>
      </c>
      <c r="L21" s="648">
        <f>'5.Infrastructure Annex'!R3</f>
        <v>0</v>
      </c>
      <c r="M21" s="648">
        <f>'7.Referral Transport Annex'!R4</f>
        <v>0</v>
      </c>
      <c r="N21" s="648">
        <f>'7.Referral Transport Annex'!R3</f>
        <v>0</v>
      </c>
      <c r="O21" s="648">
        <f>'11.IEC-BCC Annex'!R4</f>
        <v>0</v>
      </c>
      <c r="P21" s="648">
        <f>'11.IEC-BCC Annex'!R3</f>
        <v>0</v>
      </c>
      <c r="Q21" s="648">
        <f>'12.Printing Annex'!R4</f>
        <v>0</v>
      </c>
      <c r="R21" s="648">
        <f>'12.Printing Annex'!R3</f>
        <v>0</v>
      </c>
      <c r="S21" s="648">
        <f>'13.Quality Assurance Annex'!R4</f>
        <v>0</v>
      </c>
      <c r="T21" s="650">
        <f>'13.Quality Assurance Annex'!R3</f>
        <v>0</v>
      </c>
      <c r="U21" s="648">
        <f>'4.Untied grants Annex'!R4</f>
        <v>0</v>
      </c>
      <c r="V21" s="648">
        <f>'4.Untied grants Annex'!R3</f>
        <v>0</v>
      </c>
      <c r="W21" s="648">
        <f>'15.PPP Annex'!R4</f>
        <v>0</v>
      </c>
      <c r="X21" s="648">
        <f>'15.PPP Annex'!R3</f>
        <v>0</v>
      </c>
      <c r="Y21" s="648">
        <f>'6.Procurement Annex'!R4</f>
        <v>0</v>
      </c>
      <c r="Z21" s="648">
        <f>'6.Procurement Annex'!R3</f>
        <v>0</v>
      </c>
      <c r="AA21" s="648">
        <f>'14.Drug warehouse &amp;Logistic Anx'!R4</f>
        <v>0</v>
      </c>
      <c r="AB21" s="648">
        <f>'14.Drug warehouse &amp;Logistic Anx'!R3</f>
        <v>0</v>
      </c>
      <c r="AC21" s="648">
        <f>'8.Human Resources (SD) Annex'!R4</f>
        <v>0</v>
      </c>
      <c r="AD21" s="648">
        <f>'8.Human Resources (SD) Annex'!R3</f>
        <v>0</v>
      </c>
      <c r="AE21" s="650">
        <f>'9.Training Annex'!R4</f>
        <v>0</v>
      </c>
      <c r="AF21" s="650">
        <f>'9.Training Annex'!R3</f>
        <v>0</v>
      </c>
      <c r="AG21" s="648">
        <f>'16.PM Annex'!R4</f>
        <v>0</v>
      </c>
      <c r="AH21" s="648">
        <f>'16.PM Annex'!R3</f>
        <v>0</v>
      </c>
      <c r="AI21" s="648">
        <f>'10.Review Research &amp; Surveillen'!R4</f>
        <v>0</v>
      </c>
      <c r="AJ21" s="648">
        <f>'10.Review Research &amp; Surveillen'!R3</f>
        <v>0</v>
      </c>
      <c r="AK21" s="648">
        <f>'17.IT Initiatives_SD'!R4</f>
        <v>0</v>
      </c>
      <c r="AL21" s="648">
        <f>'17.IT Initiatives_SD'!R3</f>
        <v>0</v>
      </c>
      <c r="AM21" s="648">
        <f>'18.Innovation'!R4</f>
        <v>0</v>
      </c>
      <c r="AN21" s="648">
        <f>'18.Innovation'!R3</f>
        <v>0</v>
      </c>
    </row>
    <row r="22" spans="1:40" s="157" customFormat="1" x14ac:dyDescent="0.25">
      <c r="A22" s="3783"/>
      <c r="B22" s="673" t="s">
        <v>4702</v>
      </c>
      <c r="C22" s="748">
        <f t="shared" si="2"/>
        <v>118.5</v>
      </c>
      <c r="D22" s="748">
        <f t="shared" si="3"/>
        <v>0</v>
      </c>
      <c r="E22" s="267">
        <f>'1.SD Facility Based Annex'!S4</f>
        <v>0</v>
      </c>
      <c r="F22" s="267">
        <f>'1.SD Facility Based Annex'!S3</f>
        <v>0</v>
      </c>
      <c r="G22" s="267">
        <f>'2.SD Community Based Annex'!S4</f>
        <v>118.5</v>
      </c>
      <c r="H22" s="268">
        <f>'2.SD Community Based Annex'!S3</f>
        <v>0</v>
      </c>
      <c r="I22" s="267">
        <f>'3.Community Intervention Annexn'!S4</f>
        <v>0</v>
      </c>
      <c r="J22" s="267">
        <f>'3.Community Intervention Annexn'!S3</f>
        <v>0</v>
      </c>
      <c r="K22" s="648">
        <f>'5.Infrastructure Annex'!S4</f>
        <v>0</v>
      </c>
      <c r="L22" s="648">
        <f>'5.Infrastructure Annex'!S3</f>
        <v>0</v>
      </c>
      <c r="M22" s="648">
        <f>'7.Referral Transport Annex'!S4</f>
        <v>0</v>
      </c>
      <c r="N22" s="648">
        <f>'7.Referral Transport Annex'!S3</f>
        <v>0</v>
      </c>
      <c r="O22" s="648">
        <f>'11.IEC-BCC Annex'!S4</f>
        <v>0</v>
      </c>
      <c r="P22" s="648">
        <f>'11.IEC-BCC Annex'!S3</f>
        <v>0</v>
      </c>
      <c r="Q22" s="648">
        <f>'12.Printing Annex'!S4</f>
        <v>0</v>
      </c>
      <c r="R22" s="648">
        <f>'12.Printing Annex'!S3</f>
        <v>0</v>
      </c>
      <c r="S22" s="648">
        <f>'13.Quality Assurance Annex'!S4</f>
        <v>0</v>
      </c>
      <c r="T22" s="650">
        <f>'13.Quality Assurance Annex'!S3</f>
        <v>0</v>
      </c>
      <c r="U22" s="648">
        <f>'4.Untied grants Annex'!S4</f>
        <v>0</v>
      </c>
      <c r="V22" s="648">
        <f>'4.Untied grants Annex'!S3</f>
        <v>0</v>
      </c>
      <c r="W22" s="648">
        <f>'15.PPP Annex'!S4</f>
        <v>0</v>
      </c>
      <c r="X22" s="648">
        <f>'15.PPP Annex'!S3</f>
        <v>0</v>
      </c>
      <c r="Y22" s="648">
        <f>'6.Procurement Annex'!S4</f>
        <v>0</v>
      </c>
      <c r="Z22" s="648">
        <f>'6.Procurement Annex'!S3</f>
        <v>0</v>
      </c>
      <c r="AA22" s="648">
        <f>'14.Drug warehouse &amp;Logistic Anx'!S4</f>
        <v>0</v>
      </c>
      <c r="AB22" s="648">
        <f>'14.Drug warehouse &amp;Logistic Anx'!S3</f>
        <v>0</v>
      </c>
      <c r="AC22" s="648">
        <f>'8.Human Resources (SD) Annex'!S4</f>
        <v>0</v>
      </c>
      <c r="AD22" s="648">
        <f>'8.Human Resources (SD) Annex'!S3</f>
        <v>0</v>
      </c>
      <c r="AE22" s="650">
        <f>'9.Training Annex'!S4</f>
        <v>0</v>
      </c>
      <c r="AF22" s="650">
        <f>'9.Training Annex'!S3</f>
        <v>0</v>
      </c>
      <c r="AG22" s="648">
        <f>'16.PM Annex'!S4</f>
        <v>0</v>
      </c>
      <c r="AH22" s="648">
        <f>'16.PM Annex'!S3</f>
        <v>0</v>
      </c>
      <c r="AI22" s="648">
        <f>'10.Review Research &amp; Surveillen'!S4</f>
        <v>0</v>
      </c>
      <c r="AJ22" s="648">
        <f>'10.Review Research &amp; Surveillen'!S3</f>
        <v>0</v>
      </c>
      <c r="AK22" s="648">
        <f>'17.IT Initiatives_SD'!S4</f>
        <v>0</v>
      </c>
      <c r="AL22" s="648">
        <f>'17.IT Initiatives_SD'!S3</f>
        <v>0</v>
      </c>
      <c r="AM22" s="648">
        <f>'18.Innovation'!S4</f>
        <v>0</v>
      </c>
      <c r="AN22" s="648">
        <f>'18.Innovation'!S3</f>
        <v>0</v>
      </c>
    </row>
    <row r="23" spans="1:40" s="157" customFormat="1" x14ac:dyDescent="0.25">
      <c r="A23" s="3783"/>
      <c r="B23" s="673" t="s">
        <v>4703</v>
      </c>
      <c r="C23" s="748">
        <f t="shared" si="2"/>
        <v>0</v>
      </c>
      <c r="D23" s="748">
        <f t="shared" si="3"/>
        <v>0</v>
      </c>
      <c r="E23" s="267">
        <f>'1.SD Facility Based Annex'!T4</f>
        <v>0</v>
      </c>
      <c r="F23" s="267">
        <f>'1.SD Facility Based Annex'!T3</f>
        <v>0</v>
      </c>
      <c r="G23" s="268">
        <f>'2.SD Community Based Annex'!T4</f>
        <v>0</v>
      </c>
      <c r="H23" s="268">
        <f>'2.SD Community Based Annex'!T3</f>
        <v>0</v>
      </c>
      <c r="I23" s="267">
        <f>'3.Community Intervention Annexn'!T4</f>
        <v>0</v>
      </c>
      <c r="J23" s="267">
        <f>'3.Community Intervention Annexn'!T3</f>
        <v>0</v>
      </c>
      <c r="K23" s="648">
        <f>'5.Infrastructure Annex'!T4</f>
        <v>0</v>
      </c>
      <c r="L23" s="648">
        <f>'5.Infrastructure Annex'!T3</f>
        <v>0</v>
      </c>
      <c r="M23" s="648">
        <f>'7.Referral Transport Annex'!T4</f>
        <v>0</v>
      </c>
      <c r="N23" s="648">
        <f>'7.Referral Transport Annex'!T3</f>
        <v>0</v>
      </c>
      <c r="O23" s="648">
        <f>'11.IEC-BCC Annex'!T4</f>
        <v>0</v>
      </c>
      <c r="P23" s="648">
        <f>'11.IEC-BCC Annex'!T3</f>
        <v>0</v>
      </c>
      <c r="Q23" s="648">
        <f>'12.Printing Annex'!T4</f>
        <v>0</v>
      </c>
      <c r="R23" s="648">
        <f>'12.Printing Annex'!T3</f>
        <v>0</v>
      </c>
      <c r="S23" s="648">
        <f>'13.Quality Assurance Annex'!T4</f>
        <v>0</v>
      </c>
      <c r="T23" s="650">
        <f>'13.Quality Assurance Annex'!T3</f>
        <v>0</v>
      </c>
      <c r="U23" s="648">
        <f>'4.Untied grants Annex'!T4</f>
        <v>0</v>
      </c>
      <c r="V23" s="648">
        <f>'4.Untied grants Annex'!T3</f>
        <v>0</v>
      </c>
      <c r="W23" s="648">
        <f>'15.PPP Annex'!T4</f>
        <v>0</v>
      </c>
      <c r="X23" s="648">
        <f>'15.PPP Annex'!T3</f>
        <v>0</v>
      </c>
      <c r="Y23" s="648">
        <f>'6.Procurement Annex'!T4</f>
        <v>0</v>
      </c>
      <c r="Z23" s="648">
        <f>'6.Procurement Annex'!T3</f>
        <v>0</v>
      </c>
      <c r="AA23" s="648">
        <f>'14.Drug warehouse &amp;Logistic Anx'!T4</f>
        <v>0</v>
      </c>
      <c r="AB23" s="648">
        <f>'14.Drug warehouse &amp;Logistic Anx'!T3</f>
        <v>0</v>
      </c>
      <c r="AC23" s="648">
        <f>'8.Human Resources (SD) Annex'!T4</f>
        <v>0</v>
      </c>
      <c r="AD23" s="648">
        <f>'8.Human Resources (SD) Annex'!T3</f>
        <v>0</v>
      </c>
      <c r="AE23" s="650">
        <f>'9.Training Annex'!T4</f>
        <v>0</v>
      </c>
      <c r="AF23" s="650">
        <f>'9.Training Annex'!T3</f>
        <v>0</v>
      </c>
      <c r="AG23" s="648">
        <f>'16.PM Annex'!T4</f>
        <v>0</v>
      </c>
      <c r="AH23" s="648">
        <f>'16.PM Annex'!T3</f>
        <v>0</v>
      </c>
      <c r="AI23" s="648">
        <f>'10.Review Research &amp; Surveillen'!T4</f>
        <v>0</v>
      </c>
      <c r="AJ23" s="648">
        <f>'10.Review Research &amp; Surveillen'!T3</f>
        <v>0</v>
      </c>
      <c r="AK23" s="648">
        <f>'17.IT Initiatives_SD'!T4</f>
        <v>0</v>
      </c>
      <c r="AL23" s="648">
        <f>'17.IT Initiatives_SD'!T3</f>
        <v>0</v>
      </c>
      <c r="AM23" s="648">
        <f>'18.Innovation'!T4</f>
        <v>0</v>
      </c>
      <c r="AN23" s="648">
        <f>'18.Innovation'!T3</f>
        <v>0</v>
      </c>
    </row>
    <row r="24" spans="1:40" s="157" customFormat="1" x14ac:dyDescent="0.25">
      <c r="A24" s="3783"/>
      <c r="B24" s="673" t="s">
        <v>30</v>
      </c>
      <c r="C24" s="748">
        <f t="shared" si="2"/>
        <v>1719.7234000000001</v>
      </c>
      <c r="D24" s="748">
        <f t="shared" si="3"/>
        <v>0</v>
      </c>
      <c r="E24" s="267">
        <f>'1.SD Facility Based Annex'!U4</f>
        <v>0</v>
      </c>
      <c r="F24" s="267">
        <f>'1.SD Facility Based Annex'!U3</f>
        <v>0</v>
      </c>
      <c r="G24" s="268">
        <f>'2.SD Community Based Annex'!U4</f>
        <v>0</v>
      </c>
      <c r="H24" s="268">
        <f>'2.SD Community Based Annex'!U3</f>
        <v>0</v>
      </c>
      <c r="I24" s="267">
        <f>'3.Community Intervention Annexn'!U4</f>
        <v>0</v>
      </c>
      <c r="J24" s="267">
        <f>'3.Community Intervention Annexn'!U3</f>
        <v>0</v>
      </c>
      <c r="K24" s="648">
        <f>'5.Infrastructure Annex'!U4</f>
        <v>0</v>
      </c>
      <c r="L24" s="648">
        <f>'5.Infrastructure Annex'!U3</f>
        <v>0</v>
      </c>
      <c r="M24" s="648">
        <f>'7.Referral Transport Annex'!U4</f>
        <v>0</v>
      </c>
      <c r="N24" s="648">
        <f>'7.Referral Transport Annex'!U3</f>
        <v>0</v>
      </c>
      <c r="O24" s="648">
        <f>'11.IEC-BCC Annex'!U4</f>
        <v>0</v>
      </c>
      <c r="P24" s="648">
        <f>'11.IEC-BCC Annex'!U3</f>
        <v>0</v>
      </c>
      <c r="Q24" s="648">
        <f>'12.Printing Annex'!U4</f>
        <v>0</v>
      </c>
      <c r="R24" s="648">
        <f>'12.Printing Annex'!U3</f>
        <v>0</v>
      </c>
      <c r="S24" s="648">
        <f>'13.Quality Assurance Annex'!U4</f>
        <v>1719.7234000000001</v>
      </c>
      <c r="T24" s="650">
        <f>'13.Quality Assurance Annex'!U3</f>
        <v>0</v>
      </c>
      <c r="U24" s="648">
        <f>'4.Untied grants Annex'!U4</f>
        <v>0</v>
      </c>
      <c r="V24" s="648">
        <f>'4.Untied grants Annex'!U3</f>
        <v>0</v>
      </c>
      <c r="W24" s="648">
        <f>'15.PPP Annex'!U4</f>
        <v>0</v>
      </c>
      <c r="X24" s="648">
        <f>'15.PPP Annex'!U3</f>
        <v>0</v>
      </c>
      <c r="Y24" s="648">
        <f>'6.Procurement Annex'!U4</f>
        <v>0</v>
      </c>
      <c r="Z24" s="648">
        <f>'6.Procurement Annex'!U3</f>
        <v>0</v>
      </c>
      <c r="AA24" s="648">
        <f>'14.Drug warehouse &amp;Logistic Anx'!U4</f>
        <v>0</v>
      </c>
      <c r="AB24" s="648">
        <f>'14.Drug warehouse &amp;Logistic Anx'!U3</f>
        <v>0</v>
      </c>
      <c r="AC24" s="648">
        <f>'8.Human Resources (SD) Annex'!U4</f>
        <v>0</v>
      </c>
      <c r="AD24" s="648">
        <f>'8.Human Resources (SD) Annex'!U3</f>
        <v>0</v>
      </c>
      <c r="AE24" s="650">
        <f>'9.Training Annex'!U4</f>
        <v>0</v>
      </c>
      <c r="AF24" s="650">
        <f>'9.Training Annex'!U3</f>
        <v>0</v>
      </c>
      <c r="AG24" s="648">
        <f>'16.PM Annex'!U4</f>
        <v>0</v>
      </c>
      <c r="AH24" s="648">
        <f>'16.PM Annex'!U3</f>
        <v>0</v>
      </c>
      <c r="AI24" s="648">
        <f>'10.Review Research &amp; Surveillen'!U4</f>
        <v>0</v>
      </c>
      <c r="AJ24" s="648">
        <f>'10.Review Research &amp; Surveillen'!U3</f>
        <v>0</v>
      </c>
      <c r="AK24" s="648">
        <f>'17.IT Initiatives_SD'!U4</f>
        <v>0</v>
      </c>
      <c r="AL24" s="648">
        <f>'17.IT Initiatives_SD'!U3</f>
        <v>0</v>
      </c>
      <c r="AM24" s="648">
        <f>'18.Innovation'!U4</f>
        <v>0</v>
      </c>
      <c r="AN24" s="648">
        <f>'18.Innovation'!U3</f>
        <v>0</v>
      </c>
    </row>
    <row r="25" spans="1:40" s="157" customFormat="1" x14ac:dyDescent="0.25">
      <c r="A25" s="3783"/>
      <c r="B25" s="673" t="s">
        <v>4704</v>
      </c>
      <c r="C25" s="748">
        <f t="shared" si="2"/>
        <v>0</v>
      </c>
      <c r="D25" s="748">
        <f t="shared" si="3"/>
        <v>0</v>
      </c>
      <c r="E25" s="267">
        <f>'1.SD Facility Based Annex'!V4</f>
        <v>0</v>
      </c>
      <c r="F25" s="267">
        <f>'1.SD Facility Based Annex'!V3</f>
        <v>0</v>
      </c>
      <c r="G25" s="268">
        <f>'2.SD Community Based Annex'!V4</f>
        <v>0</v>
      </c>
      <c r="H25" s="268">
        <f>'2.SD Community Based Annex'!V3</f>
        <v>0</v>
      </c>
      <c r="I25" s="267">
        <f>'3.Community Intervention Annexn'!V4</f>
        <v>0</v>
      </c>
      <c r="J25" s="267">
        <f>'3.Community Intervention Annexn'!V3</f>
        <v>0</v>
      </c>
      <c r="K25" s="648">
        <f>'5.Infrastructure Annex'!V4</f>
        <v>0</v>
      </c>
      <c r="L25" s="648">
        <f>'5.Infrastructure Annex'!V3</f>
        <v>0</v>
      </c>
      <c r="M25" s="648">
        <f>'7.Referral Transport Annex'!V4</f>
        <v>0</v>
      </c>
      <c r="N25" s="648">
        <f>'7.Referral Transport Annex'!V3</f>
        <v>0</v>
      </c>
      <c r="O25" s="648">
        <f>'11.IEC-BCC Annex'!V4</f>
        <v>0</v>
      </c>
      <c r="P25" s="648">
        <f>'11.IEC-BCC Annex'!V3</f>
        <v>0</v>
      </c>
      <c r="Q25" s="648">
        <f>'12.Printing Annex'!V4</f>
        <v>0</v>
      </c>
      <c r="R25" s="648">
        <f>'12.Printing Annex'!V3</f>
        <v>0</v>
      </c>
      <c r="S25" s="648">
        <f>'13.Quality Assurance Annex'!V4</f>
        <v>0</v>
      </c>
      <c r="T25" s="650">
        <f>'13.Quality Assurance Annex'!V3</f>
        <v>0</v>
      </c>
      <c r="U25" s="648">
        <f>'4.Untied grants Annex'!V4</f>
        <v>0</v>
      </c>
      <c r="V25" s="648">
        <f>'4.Untied grants Annex'!V3</f>
        <v>0</v>
      </c>
      <c r="W25" s="648">
        <f>'15.PPP Annex'!V4</f>
        <v>0</v>
      </c>
      <c r="X25" s="648">
        <f>'15.PPP Annex'!V3</f>
        <v>0</v>
      </c>
      <c r="Y25" s="648">
        <f>'6.Procurement Annex'!V4</f>
        <v>0</v>
      </c>
      <c r="Z25" s="648">
        <f>'6.Procurement Annex'!V3</f>
        <v>0</v>
      </c>
      <c r="AA25" s="648">
        <f>'14.Drug warehouse &amp;Logistic Anx'!V4</f>
        <v>0</v>
      </c>
      <c r="AB25" s="648">
        <f>'14.Drug warehouse &amp;Logistic Anx'!V3</f>
        <v>0</v>
      </c>
      <c r="AC25" s="648">
        <f>'8.Human Resources (SD) Annex'!V4</f>
        <v>0</v>
      </c>
      <c r="AD25" s="648">
        <f>'8.Human Resources (SD) Annex'!V3</f>
        <v>0</v>
      </c>
      <c r="AE25" s="650">
        <f>'9.Training Annex'!V4</f>
        <v>0</v>
      </c>
      <c r="AF25" s="650">
        <f>'9.Training Annex'!V3</f>
        <v>0</v>
      </c>
      <c r="AG25" s="648">
        <f>'16.PM Annex'!V4</f>
        <v>0</v>
      </c>
      <c r="AH25" s="648">
        <f>'16.PM Annex'!V3</f>
        <v>0</v>
      </c>
      <c r="AI25" s="648">
        <f>'10.Review Research &amp; Surveillen'!V4</f>
        <v>0</v>
      </c>
      <c r="AJ25" s="648">
        <f>'10.Review Research &amp; Surveillen'!V3</f>
        <v>0</v>
      </c>
      <c r="AK25" s="648">
        <f>'17.IT Initiatives_SD'!V4</f>
        <v>0</v>
      </c>
      <c r="AL25" s="648">
        <f>'17.IT Initiatives_SD'!V3</f>
        <v>0</v>
      </c>
      <c r="AM25" s="648">
        <f>'18.Innovation'!V4</f>
        <v>0</v>
      </c>
      <c r="AN25" s="648">
        <f>'18.Innovation'!V3</f>
        <v>0</v>
      </c>
    </row>
    <row r="26" spans="1:40" s="157" customFormat="1" x14ac:dyDescent="0.25">
      <c r="A26" s="3783"/>
      <c r="B26" s="673" t="s">
        <v>2729</v>
      </c>
      <c r="C26" s="748">
        <f t="shared" si="2"/>
        <v>0</v>
      </c>
      <c r="D26" s="748">
        <f t="shared" si="3"/>
        <v>0</v>
      </c>
      <c r="E26" s="267">
        <f>'1.SD Facility Based Annex'!W4</f>
        <v>0</v>
      </c>
      <c r="F26" s="267">
        <f>'1.SD Facility Based Annex'!W3</f>
        <v>0</v>
      </c>
      <c r="G26" s="268">
        <f>'2.SD Community Based Annex'!W4</f>
        <v>0</v>
      </c>
      <c r="H26" s="268">
        <f>'2.SD Community Based Annex'!W3</f>
        <v>0</v>
      </c>
      <c r="I26" s="267">
        <f>'3.Community Intervention Annexn'!W4</f>
        <v>0</v>
      </c>
      <c r="J26" s="267">
        <f>'3.Community Intervention Annexn'!W3</f>
        <v>0</v>
      </c>
      <c r="K26" s="648">
        <f>'5.Infrastructure Annex'!W4</f>
        <v>0</v>
      </c>
      <c r="L26" s="648">
        <f>'5.Infrastructure Annex'!W3</f>
        <v>0</v>
      </c>
      <c r="M26" s="648">
        <f>'7.Referral Transport Annex'!W4</f>
        <v>0</v>
      </c>
      <c r="N26" s="648">
        <f>'7.Referral Transport Annex'!W3</f>
        <v>0</v>
      </c>
      <c r="O26" s="648">
        <f>'11.IEC-BCC Annex'!W4</f>
        <v>0</v>
      </c>
      <c r="P26" s="648">
        <f>'11.IEC-BCC Annex'!W3</f>
        <v>0</v>
      </c>
      <c r="Q26" s="648">
        <f>'12.Printing Annex'!W4</f>
        <v>0</v>
      </c>
      <c r="R26" s="648">
        <f>'12.Printing Annex'!W3</f>
        <v>0</v>
      </c>
      <c r="S26" s="648">
        <f>'13.Quality Assurance Annex'!W4</f>
        <v>0</v>
      </c>
      <c r="T26" s="650">
        <f>'13.Quality Assurance Annex'!W3</f>
        <v>0</v>
      </c>
      <c r="U26" s="648">
        <f>'4.Untied grants Annex'!W4</f>
        <v>0</v>
      </c>
      <c r="V26" s="648">
        <f>'4.Untied grants Annex'!W3</f>
        <v>0</v>
      </c>
      <c r="W26" s="648">
        <f>'15.PPP Annex'!W4</f>
        <v>0</v>
      </c>
      <c r="X26" s="648">
        <f>'15.PPP Annex'!W3</f>
        <v>0</v>
      </c>
      <c r="Y26" s="648">
        <f>'6.Procurement Annex'!W4</f>
        <v>0</v>
      </c>
      <c r="Z26" s="648">
        <f>'6.Procurement Annex'!W3</f>
        <v>0</v>
      </c>
      <c r="AA26" s="648">
        <f>'14.Drug warehouse &amp;Logistic Anx'!W4</f>
        <v>0</v>
      </c>
      <c r="AB26" s="648">
        <f>'14.Drug warehouse &amp;Logistic Anx'!W3</f>
        <v>0</v>
      </c>
      <c r="AC26" s="648">
        <f>'8.Human Resources (SD) Annex'!W4</f>
        <v>0</v>
      </c>
      <c r="AD26" s="648">
        <f>'8.Human Resources (SD) Annex'!W3</f>
        <v>0</v>
      </c>
      <c r="AE26" s="650">
        <f>'9.Training Annex'!W4</f>
        <v>0</v>
      </c>
      <c r="AF26" s="650">
        <f>'9.Training Annex'!W3</f>
        <v>0</v>
      </c>
      <c r="AG26" s="648">
        <f>'16.PM Annex'!W4</f>
        <v>0</v>
      </c>
      <c r="AH26" s="648">
        <f>'16.PM Annex'!W3</f>
        <v>0</v>
      </c>
      <c r="AI26" s="648">
        <f>'10.Review Research &amp; Surveillen'!W4</f>
        <v>0</v>
      </c>
      <c r="AJ26" s="648">
        <f>'10.Review Research &amp; Surveillen'!W3</f>
        <v>0</v>
      </c>
      <c r="AK26" s="648">
        <f>'17.IT Initiatives_SD'!W4</f>
        <v>0</v>
      </c>
      <c r="AL26" s="648">
        <f>'17.IT Initiatives_SD'!W3</f>
        <v>0</v>
      </c>
      <c r="AM26" s="648">
        <f>'18.Innovation'!W4</f>
        <v>0</v>
      </c>
      <c r="AN26" s="648">
        <f>'18.Innovation'!W3</f>
        <v>0</v>
      </c>
    </row>
    <row r="27" spans="1:40" s="157" customFormat="1" x14ac:dyDescent="0.25">
      <c r="A27" s="3783"/>
      <c r="B27" s="673" t="s">
        <v>33</v>
      </c>
      <c r="C27" s="748">
        <f t="shared" si="2"/>
        <v>0</v>
      </c>
      <c r="D27" s="748">
        <f t="shared" si="3"/>
        <v>0</v>
      </c>
      <c r="E27" s="267">
        <f>'1.SD Facility Based Annex'!X4</f>
        <v>0</v>
      </c>
      <c r="F27" s="267">
        <f>'1.SD Facility Based Annex'!X3</f>
        <v>0</v>
      </c>
      <c r="G27" s="268">
        <f>'2.SD Community Based Annex'!X4</f>
        <v>0</v>
      </c>
      <c r="H27" s="268">
        <f>'2.SD Community Based Annex'!X3</f>
        <v>0</v>
      </c>
      <c r="I27" s="267">
        <f>'3.Community Intervention Annexn'!X4</f>
        <v>0</v>
      </c>
      <c r="J27" s="267">
        <f>'3.Community Intervention Annexn'!X3</f>
        <v>0</v>
      </c>
      <c r="K27" s="648">
        <f>'5.Infrastructure Annex'!X4</f>
        <v>0</v>
      </c>
      <c r="L27" s="648">
        <f>'5.Infrastructure Annex'!X3</f>
        <v>0</v>
      </c>
      <c r="M27" s="648">
        <f>'7.Referral Transport Annex'!X4</f>
        <v>0</v>
      </c>
      <c r="N27" s="648">
        <f>'7.Referral Transport Annex'!X3</f>
        <v>0</v>
      </c>
      <c r="O27" s="648">
        <f>'11.IEC-BCC Annex'!X4</f>
        <v>0</v>
      </c>
      <c r="P27" s="648">
        <f>'11.IEC-BCC Annex'!X3</f>
        <v>0</v>
      </c>
      <c r="Q27" s="648">
        <f>'12.Printing Annex'!X4</f>
        <v>0</v>
      </c>
      <c r="R27" s="648">
        <f>'12.Printing Annex'!X3</f>
        <v>0</v>
      </c>
      <c r="S27" s="648">
        <f>'13.Quality Assurance Annex'!X4</f>
        <v>0</v>
      </c>
      <c r="T27" s="650">
        <f>'13.Quality Assurance Annex'!X3</f>
        <v>0</v>
      </c>
      <c r="U27" s="648">
        <f>'4.Untied grants Annex'!X4</f>
        <v>0</v>
      </c>
      <c r="V27" s="648">
        <f>'4.Untied grants Annex'!X3</f>
        <v>0</v>
      </c>
      <c r="W27" s="648">
        <f>'15.PPP Annex'!X4</f>
        <v>0</v>
      </c>
      <c r="X27" s="648">
        <f>'15.PPP Annex'!X3</f>
        <v>0</v>
      </c>
      <c r="Y27" s="648">
        <f>'6.Procurement Annex'!X4</f>
        <v>0</v>
      </c>
      <c r="Z27" s="648">
        <f>'6.Procurement Annex'!X3</f>
        <v>0</v>
      </c>
      <c r="AA27" s="648">
        <f>'14.Drug warehouse &amp;Logistic Anx'!X4</f>
        <v>0</v>
      </c>
      <c r="AB27" s="648">
        <f>'14.Drug warehouse &amp;Logistic Anx'!X3</f>
        <v>0</v>
      </c>
      <c r="AC27" s="648">
        <f>'8.Human Resources (SD) Annex'!X4</f>
        <v>0</v>
      </c>
      <c r="AD27" s="648">
        <f>'8.Human Resources (SD) Annex'!X3</f>
        <v>0</v>
      </c>
      <c r="AE27" s="650">
        <f>'9.Training Annex'!X4</f>
        <v>0</v>
      </c>
      <c r="AF27" s="650">
        <f>'9.Training Annex'!X3</f>
        <v>0</v>
      </c>
      <c r="AG27" s="648">
        <f>'16.PM Annex'!X4</f>
        <v>0</v>
      </c>
      <c r="AH27" s="648">
        <f>'16.PM Annex'!X3</f>
        <v>0</v>
      </c>
      <c r="AI27" s="648">
        <f>'10.Review Research &amp; Surveillen'!X4</f>
        <v>0</v>
      </c>
      <c r="AJ27" s="648">
        <f>'10.Review Research &amp; Surveillen'!X3</f>
        <v>0</v>
      </c>
      <c r="AK27" s="648">
        <f>'17.IT Initiatives_SD'!X4</f>
        <v>0</v>
      </c>
      <c r="AL27" s="648">
        <f>'17.IT Initiatives_SD'!X3</f>
        <v>0</v>
      </c>
      <c r="AM27" s="648">
        <f>'18.Innovation'!X4</f>
        <v>0</v>
      </c>
      <c r="AN27" s="648">
        <f>'18.Innovation'!X3</f>
        <v>0</v>
      </c>
    </row>
    <row r="28" spans="1:40" s="157" customFormat="1" x14ac:dyDescent="0.25">
      <c r="A28" s="3783"/>
      <c r="B28" s="673" t="s">
        <v>4722</v>
      </c>
      <c r="C28" s="748">
        <f t="shared" si="2"/>
        <v>0</v>
      </c>
      <c r="D28" s="748">
        <f t="shared" si="3"/>
        <v>0</v>
      </c>
      <c r="E28" s="267">
        <f>'1.SD Facility Based Annex'!Y4</f>
        <v>0</v>
      </c>
      <c r="F28" s="267">
        <f>'1.SD Facility Based Annex'!Y3</f>
        <v>0</v>
      </c>
      <c r="G28" s="268">
        <f>'2.SD Community Based Annex'!Y4</f>
        <v>0</v>
      </c>
      <c r="H28" s="268">
        <f>'2.SD Community Based Annex'!Y3</f>
        <v>0</v>
      </c>
      <c r="I28" s="267">
        <f>'3.Community Intervention Annexn'!Y4</f>
        <v>0</v>
      </c>
      <c r="J28" s="267">
        <f>'3.Community Intervention Annexn'!Y3</f>
        <v>0</v>
      </c>
      <c r="K28" s="648">
        <f>'5.Infrastructure Annex'!Y4</f>
        <v>0</v>
      </c>
      <c r="L28" s="648">
        <f>'5.Infrastructure Annex'!Y3</f>
        <v>0</v>
      </c>
      <c r="M28" s="648">
        <f>'7.Referral Transport Annex'!Y4</f>
        <v>0</v>
      </c>
      <c r="N28" s="648">
        <f>'7.Referral Transport Annex'!Y3</f>
        <v>0</v>
      </c>
      <c r="O28" s="648">
        <f>'11.IEC-BCC Annex'!Y4</f>
        <v>0</v>
      </c>
      <c r="P28" s="648">
        <f>'11.IEC-BCC Annex'!Y3</f>
        <v>0</v>
      </c>
      <c r="Q28" s="648">
        <f>'12.Printing Annex'!Y4</f>
        <v>0</v>
      </c>
      <c r="R28" s="648">
        <f>'12.Printing Annex'!Y3</f>
        <v>0</v>
      </c>
      <c r="S28" s="648">
        <f>'13.Quality Assurance Annex'!Y4</f>
        <v>0</v>
      </c>
      <c r="T28" s="650">
        <f>'13.Quality Assurance Annex'!Y3</f>
        <v>0</v>
      </c>
      <c r="U28" s="648">
        <f>'4.Untied grants Annex'!Y4</f>
        <v>0</v>
      </c>
      <c r="V28" s="648">
        <f>'4.Untied grants Annex'!Y3</f>
        <v>0</v>
      </c>
      <c r="W28" s="648">
        <f>'15.PPP Annex'!Y4</f>
        <v>0</v>
      </c>
      <c r="X28" s="648">
        <f>'15.PPP Annex'!Y3</f>
        <v>0</v>
      </c>
      <c r="Y28" s="648">
        <f>'6.Procurement Annex'!Y4</f>
        <v>0</v>
      </c>
      <c r="Z28" s="648">
        <f>'6.Procurement Annex'!Y3</f>
        <v>0</v>
      </c>
      <c r="AA28" s="648">
        <f>'14.Drug warehouse &amp;Logistic Anx'!Y4</f>
        <v>0</v>
      </c>
      <c r="AB28" s="648">
        <f>'14.Drug warehouse &amp;Logistic Anx'!Y3</f>
        <v>0</v>
      </c>
      <c r="AC28" s="648">
        <f>'8.Human Resources (SD) Annex'!Y4</f>
        <v>0</v>
      </c>
      <c r="AD28" s="648">
        <f>'8.Human Resources (SD) Annex'!Y3</f>
        <v>0</v>
      </c>
      <c r="AE28" s="650">
        <f>'9.Training Annex'!Y4</f>
        <v>0</v>
      </c>
      <c r="AF28" s="650">
        <f>'9.Training Annex'!Y3</f>
        <v>0</v>
      </c>
      <c r="AG28" s="648">
        <f>'16.PM Annex'!Y4</f>
        <v>0</v>
      </c>
      <c r="AH28" s="648">
        <f>'16.PM Annex'!Y3</f>
        <v>0</v>
      </c>
      <c r="AI28" s="648">
        <f>'10.Review Research &amp; Surveillen'!Y4</f>
        <v>0</v>
      </c>
      <c r="AJ28" s="648">
        <f>'10.Review Research &amp; Surveillen'!Y3</f>
        <v>0</v>
      </c>
      <c r="AK28" s="648">
        <f>'17.IT Initiatives_SD'!Y4</f>
        <v>0</v>
      </c>
      <c r="AL28" s="648">
        <f>'17.IT Initiatives_SD'!Y3</f>
        <v>0</v>
      </c>
      <c r="AM28" s="648">
        <f>'18.Innovation'!Y4</f>
        <v>0</v>
      </c>
      <c r="AN28" s="648">
        <f>'18.Innovation'!Y3</f>
        <v>0</v>
      </c>
    </row>
    <row r="29" spans="1:40" s="157" customFormat="1" x14ac:dyDescent="0.25">
      <c r="A29" s="3783"/>
      <c r="B29" s="673" t="s">
        <v>4705</v>
      </c>
      <c r="C29" s="748">
        <f t="shared" si="2"/>
        <v>135</v>
      </c>
      <c r="D29" s="748">
        <f t="shared" si="3"/>
        <v>0</v>
      </c>
      <c r="E29" s="267">
        <f>'1.SD Facility Based Annex'!Z4</f>
        <v>0</v>
      </c>
      <c r="F29" s="267">
        <f>'1.SD Facility Based Annex'!Z3</f>
        <v>0</v>
      </c>
      <c r="G29" s="268">
        <f>'2.SD Community Based Annex'!Z4</f>
        <v>0</v>
      </c>
      <c r="H29" s="268">
        <f>'2.SD Community Based Annex'!Z3</f>
        <v>0</v>
      </c>
      <c r="I29" s="267">
        <f>'3.Community Intervention Annexn'!Z4</f>
        <v>0</v>
      </c>
      <c r="J29" s="267">
        <f>'3.Community Intervention Annexn'!Z3</f>
        <v>0</v>
      </c>
      <c r="K29" s="648">
        <f>'5.Infrastructure Annex'!Z4</f>
        <v>0</v>
      </c>
      <c r="L29" s="648">
        <f>'5.Infrastructure Annex'!Z3</f>
        <v>0</v>
      </c>
      <c r="M29" s="648">
        <f>'7.Referral Transport Annex'!Z4</f>
        <v>0</v>
      </c>
      <c r="N29" s="648">
        <f>'7.Referral Transport Annex'!Z3</f>
        <v>0</v>
      </c>
      <c r="O29" s="648">
        <f>'11.IEC-BCC Annex'!Z4</f>
        <v>0</v>
      </c>
      <c r="P29" s="648">
        <f>'11.IEC-BCC Annex'!Z3</f>
        <v>0</v>
      </c>
      <c r="Q29" s="648">
        <f>'12.Printing Annex'!Z4</f>
        <v>0</v>
      </c>
      <c r="R29" s="648">
        <f>'12.Printing Annex'!Z3</f>
        <v>0</v>
      </c>
      <c r="S29" s="648">
        <f>'13.Quality Assurance Annex'!Z4</f>
        <v>0</v>
      </c>
      <c r="T29" s="650">
        <f>'13.Quality Assurance Annex'!Z3</f>
        <v>0</v>
      </c>
      <c r="U29" s="648">
        <f>'4.Untied grants Annex'!Z4</f>
        <v>0</v>
      </c>
      <c r="V29" s="648">
        <f>'4.Untied grants Annex'!Z3</f>
        <v>0</v>
      </c>
      <c r="W29" s="648">
        <f>'15.PPP Annex'!Z4</f>
        <v>0</v>
      </c>
      <c r="X29" s="648">
        <f>'15.PPP Annex'!Z3</f>
        <v>0</v>
      </c>
      <c r="Y29" s="648">
        <f>'6.Procurement Annex'!Z4</f>
        <v>135</v>
      </c>
      <c r="Z29" s="648">
        <f>'6.Procurement Annex'!Z3</f>
        <v>0</v>
      </c>
      <c r="AA29" s="648">
        <f>'14.Drug warehouse &amp;Logistic Anx'!Z4</f>
        <v>0</v>
      </c>
      <c r="AB29" s="648">
        <f>'14.Drug warehouse &amp;Logistic Anx'!Z3</f>
        <v>0</v>
      </c>
      <c r="AC29" s="648">
        <f>'8.Human Resources (SD) Annex'!Z4</f>
        <v>0</v>
      </c>
      <c r="AD29" s="648">
        <f>'8.Human Resources (SD) Annex'!Z3</f>
        <v>0</v>
      </c>
      <c r="AE29" s="650">
        <f>'9.Training Annex'!Z4</f>
        <v>0</v>
      </c>
      <c r="AF29" s="650">
        <f>'9.Training Annex'!Z3</f>
        <v>0</v>
      </c>
      <c r="AG29" s="648">
        <f>'16.PM Annex'!Z4</f>
        <v>0</v>
      </c>
      <c r="AH29" s="648">
        <f>'16.PM Annex'!Z3</f>
        <v>0</v>
      </c>
      <c r="AI29" s="648">
        <f>'10.Review Research &amp; Surveillen'!Z4</f>
        <v>0</v>
      </c>
      <c r="AJ29" s="648">
        <f>'10.Review Research &amp; Surveillen'!Z3</f>
        <v>0</v>
      </c>
      <c r="AK29" s="648">
        <f>'17.IT Initiatives_SD'!Z4</f>
        <v>0</v>
      </c>
      <c r="AL29" s="648">
        <f>'17.IT Initiatives_SD'!Z3</f>
        <v>0</v>
      </c>
      <c r="AM29" s="648">
        <f>'18.Innovation'!Z4</f>
        <v>0</v>
      </c>
      <c r="AN29" s="648">
        <f>'18.Innovation'!Z3</f>
        <v>0</v>
      </c>
    </row>
    <row r="30" spans="1:40" s="157" customFormat="1" x14ac:dyDescent="0.25">
      <c r="A30" s="3783"/>
      <c r="B30" s="673" t="s">
        <v>4706</v>
      </c>
      <c r="C30" s="748">
        <f t="shared" si="2"/>
        <v>227.33</v>
      </c>
      <c r="D30" s="748">
        <f t="shared" si="3"/>
        <v>0</v>
      </c>
      <c r="E30" s="267">
        <f>'1.SD Facility Based Annex'!AA4</f>
        <v>0</v>
      </c>
      <c r="F30" s="267">
        <f>'1.SD Facility Based Annex'!AA3</f>
        <v>0</v>
      </c>
      <c r="G30" s="268">
        <f>'2.SD Community Based Annex'!AA4</f>
        <v>0</v>
      </c>
      <c r="H30" s="268">
        <f>'2.SD Community Based Annex'!AA3</f>
        <v>0</v>
      </c>
      <c r="I30" s="267">
        <f>'3.Community Intervention Annexn'!AA4</f>
        <v>0</v>
      </c>
      <c r="J30" s="267">
        <f>'3.Community Intervention Annexn'!AA3</f>
        <v>0</v>
      </c>
      <c r="K30" s="648">
        <f>'5.Infrastructure Annex'!AA4</f>
        <v>0</v>
      </c>
      <c r="L30" s="648">
        <f>'5.Infrastructure Annex'!AA3</f>
        <v>0</v>
      </c>
      <c r="M30" s="648">
        <f>'7.Referral Transport Annex'!AA4</f>
        <v>0</v>
      </c>
      <c r="N30" s="648">
        <f>'7.Referral Transport Annex'!AA3</f>
        <v>0</v>
      </c>
      <c r="O30" s="648">
        <f>'11.IEC-BCC Annex'!AA4</f>
        <v>0</v>
      </c>
      <c r="P30" s="648">
        <f>'11.IEC-BCC Annex'!AA3</f>
        <v>0</v>
      </c>
      <c r="Q30" s="648">
        <f>'12.Printing Annex'!AA4</f>
        <v>0</v>
      </c>
      <c r="R30" s="648">
        <f>'12.Printing Annex'!AA3</f>
        <v>0</v>
      </c>
      <c r="S30" s="648">
        <f>'13.Quality Assurance Annex'!AA4</f>
        <v>0</v>
      </c>
      <c r="T30" s="650">
        <f>'13.Quality Assurance Annex'!AA3</f>
        <v>0</v>
      </c>
      <c r="U30" s="648">
        <f>'4.Untied grants Annex'!AA4</f>
        <v>0</v>
      </c>
      <c r="V30" s="648">
        <f>'4.Untied grants Annex'!AA3</f>
        <v>0</v>
      </c>
      <c r="W30" s="648">
        <f>'15.PPP Annex'!AA4</f>
        <v>0</v>
      </c>
      <c r="X30" s="648">
        <f>'15.PPP Annex'!AA3</f>
        <v>0</v>
      </c>
      <c r="Y30" s="648">
        <f>'6.Procurement Annex'!AA4</f>
        <v>0</v>
      </c>
      <c r="Z30" s="648">
        <f>'6.Procurement Annex'!AA3</f>
        <v>0</v>
      </c>
      <c r="AA30" s="648">
        <f>'14.Drug warehouse &amp;Logistic Anx'!AA4</f>
        <v>0</v>
      </c>
      <c r="AB30" s="648">
        <f>'14.Drug warehouse &amp;Logistic Anx'!AA3</f>
        <v>0</v>
      </c>
      <c r="AC30" s="648">
        <f>'8.Human Resources (SD) Annex'!AA4</f>
        <v>227.33</v>
      </c>
      <c r="AD30" s="648">
        <f>'8.Human Resources (SD) Annex'!AA3</f>
        <v>0</v>
      </c>
      <c r="AE30" s="650">
        <f>'9.Training Annex'!AA4</f>
        <v>0</v>
      </c>
      <c r="AF30" s="650">
        <f>'9.Training Annex'!AA3</f>
        <v>0</v>
      </c>
      <c r="AG30" s="648">
        <f>'16.PM Annex'!AA4</f>
        <v>0</v>
      </c>
      <c r="AH30" s="648">
        <f>'16.PM Annex'!AA3</f>
        <v>0</v>
      </c>
      <c r="AI30" s="648">
        <f>'10.Review Research &amp; Surveillen'!AA4</f>
        <v>0</v>
      </c>
      <c r="AJ30" s="648">
        <f>'10.Review Research &amp; Surveillen'!AA3</f>
        <v>0</v>
      </c>
      <c r="AK30" s="648">
        <f>'17.IT Initiatives_SD'!AA4</f>
        <v>0</v>
      </c>
      <c r="AL30" s="648">
        <f>'17.IT Initiatives_SD'!AA3</f>
        <v>0</v>
      </c>
      <c r="AM30" s="648">
        <f>'18.Innovation'!AA4</f>
        <v>0</v>
      </c>
      <c r="AN30" s="648">
        <f>'18.Innovation'!AA3</f>
        <v>0</v>
      </c>
    </row>
    <row r="31" spans="1:40" s="157" customFormat="1" x14ac:dyDescent="0.25">
      <c r="A31" s="3783"/>
      <c r="B31" s="673" t="s">
        <v>742</v>
      </c>
      <c r="C31" s="748">
        <f t="shared" si="2"/>
        <v>0</v>
      </c>
      <c r="D31" s="748">
        <f t="shared" si="3"/>
        <v>0</v>
      </c>
      <c r="E31" s="267">
        <f>'1.SD Facility Based Annex'!AB4</f>
        <v>0</v>
      </c>
      <c r="F31" s="267">
        <f>'1.SD Facility Based Annex'!AB3</f>
        <v>0</v>
      </c>
      <c r="G31" s="268">
        <f>'2.SD Community Based Annex'!AB4</f>
        <v>0</v>
      </c>
      <c r="H31" s="268">
        <f>'2.SD Community Based Annex'!AB3</f>
        <v>0</v>
      </c>
      <c r="I31" s="267">
        <f>'3.Community Intervention Annexn'!AB4</f>
        <v>0</v>
      </c>
      <c r="J31" s="267">
        <f>'3.Community Intervention Annexn'!AB3</f>
        <v>0</v>
      </c>
      <c r="K31" s="648">
        <f>'5.Infrastructure Annex'!AB4</f>
        <v>0</v>
      </c>
      <c r="L31" s="648">
        <f>'5.Infrastructure Annex'!AB3</f>
        <v>0</v>
      </c>
      <c r="M31" s="648">
        <f>'7.Referral Transport Annex'!AB4</f>
        <v>0</v>
      </c>
      <c r="N31" s="648">
        <f>'7.Referral Transport Annex'!AB3</f>
        <v>0</v>
      </c>
      <c r="O31" s="648">
        <f>'11.IEC-BCC Annex'!AB4</f>
        <v>0</v>
      </c>
      <c r="P31" s="648">
        <f>'11.IEC-BCC Annex'!AB3</f>
        <v>0</v>
      </c>
      <c r="Q31" s="648">
        <f>'12.Printing Annex'!AB4</f>
        <v>0</v>
      </c>
      <c r="R31" s="648">
        <f>'12.Printing Annex'!AB3</f>
        <v>0</v>
      </c>
      <c r="S31" s="648">
        <f>'13.Quality Assurance Annex'!AB4</f>
        <v>0</v>
      </c>
      <c r="T31" s="650">
        <f>'13.Quality Assurance Annex'!AB3</f>
        <v>0</v>
      </c>
      <c r="U31" s="648">
        <f>'4.Untied grants Annex'!AB4</f>
        <v>0</v>
      </c>
      <c r="V31" s="648">
        <f>'4.Untied grants Annex'!AB3</f>
        <v>0</v>
      </c>
      <c r="W31" s="648">
        <f>'15.PPP Annex'!AB4</f>
        <v>0</v>
      </c>
      <c r="X31" s="648">
        <f>'15.PPP Annex'!AB3</f>
        <v>0</v>
      </c>
      <c r="Y31" s="648">
        <f>'6.Procurement Annex'!AB4</f>
        <v>0</v>
      </c>
      <c r="Z31" s="648">
        <f>'6.Procurement Annex'!AB3</f>
        <v>0</v>
      </c>
      <c r="AA31" s="648">
        <f>'14.Drug warehouse &amp;Logistic Anx'!AB4</f>
        <v>0</v>
      </c>
      <c r="AB31" s="648">
        <f>'14.Drug warehouse &amp;Logistic Anx'!AB3</f>
        <v>0</v>
      </c>
      <c r="AC31" s="648">
        <f>'8.Human Resources (SD) Annex'!AB4</f>
        <v>0</v>
      </c>
      <c r="AD31" s="648">
        <f>'8.Human Resources (SD) Annex'!AB3</f>
        <v>0</v>
      </c>
      <c r="AE31" s="650">
        <f>'9.Training Annex'!AB4</f>
        <v>0</v>
      </c>
      <c r="AF31" s="650">
        <f>'9.Training Annex'!AB3</f>
        <v>0</v>
      </c>
      <c r="AG31" s="648">
        <f>'16.PM Annex'!AB4</f>
        <v>0</v>
      </c>
      <c r="AH31" s="648">
        <f>'16.PM Annex'!AB3</f>
        <v>0</v>
      </c>
      <c r="AI31" s="648">
        <f>'10.Review Research &amp; Surveillen'!AB4</f>
        <v>0</v>
      </c>
      <c r="AJ31" s="648">
        <f>'10.Review Research &amp; Surveillen'!AB3</f>
        <v>0</v>
      </c>
      <c r="AK31" s="648">
        <f>'17.IT Initiatives_SD'!AB4</f>
        <v>0</v>
      </c>
      <c r="AL31" s="648">
        <f>'17.IT Initiatives_SD'!AB3</f>
        <v>0</v>
      </c>
      <c r="AM31" s="648">
        <f>'18.Innovation'!AB4</f>
        <v>0</v>
      </c>
      <c r="AN31" s="648">
        <f>'18.Innovation'!AB3</f>
        <v>0</v>
      </c>
    </row>
    <row r="32" spans="1:40" s="157" customFormat="1" x14ac:dyDescent="0.25">
      <c r="A32" s="3783"/>
      <c r="B32" s="673" t="s">
        <v>34</v>
      </c>
      <c r="C32" s="748">
        <f t="shared" si="2"/>
        <v>0</v>
      </c>
      <c r="D32" s="748">
        <f t="shared" si="3"/>
        <v>0</v>
      </c>
      <c r="E32" s="267">
        <f>'1.SD Facility Based Annex'!AC4</f>
        <v>0</v>
      </c>
      <c r="F32" s="267">
        <f>'1.SD Facility Based Annex'!AC3</f>
        <v>0</v>
      </c>
      <c r="G32" s="268">
        <f>'2.SD Community Based Annex'!AC4</f>
        <v>0</v>
      </c>
      <c r="H32" s="268">
        <f>'2.SD Community Based Annex'!AC3</f>
        <v>0</v>
      </c>
      <c r="I32" s="267">
        <f>'3.Community Intervention Annexn'!AC4</f>
        <v>0</v>
      </c>
      <c r="J32" s="267">
        <f>'3.Community Intervention Annexn'!AC3</f>
        <v>0</v>
      </c>
      <c r="K32" s="648">
        <f>'5.Infrastructure Annex'!AC4</f>
        <v>0</v>
      </c>
      <c r="L32" s="648">
        <f>'5.Infrastructure Annex'!AC3</f>
        <v>0</v>
      </c>
      <c r="M32" s="648">
        <f>'7.Referral Transport Annex'!AC4</f>
        <v>0</v>
      </c>
      <c r="N32" s="648">
        <f>'7.Referral Transport Annex'!AC3</f>
        <v>0</v>
      </c>
      <c r="O32" s="648">
        <f>'11.IEC-BCC Annex'!AC4</f>
        <v>0</v>
      </c>
      <c r="P32" s="648">
        <f>'11.IEC-BCC Annex'!AC3</f>
        <v>0</v>
      </c>
      <c r="Q32" s="648">
        <f>'12.Printing Annex'!AC4</f>
        <v>0</v>
      </c>
      <c r="R32" s="648">
        <f>'12.Printing Annex'!AC3</f>
        <v>0</v>
      </c>
      <c r="S32" s="648">
        <f>'13.Quality Assurance Annex'!AC4</f>
        <v>0</v>
      </c>
      <c r="T32" s="650">
        <f>'13.Quality Assurance Annex'!AC3</f>
        <v>0</v>
      </c>
      <c r="U32" s="648">
        <f>'4.Untied grants Annex'!AC4</f>
        <v>0</v>
      </c>
      <c r="V32" s="648">
        <f>'4.Untied grants Annex'!AC3</f>
        <v>0</v>
      </c>
      <c r="W32" s="648">
        <f>'15.PPP Annex'!AC4</f>
        <v>0</v>
      </c>
      <c r="X32" s="648">
        <f>'15.PPP Annex'!AC3</f>
        <v>0</v>
      </c>
      <c r="Y32" s="648">
        <f>'6.Procurement Annex'!AC4</f>
        <v>0</v>
      </c>
      <c r="Z32" s="648">
        <f>'6.Procurement Annex'!AC3</f>
        <v>0</v>
      </c>
      <c r="AA32" s="648">
        <f>'14.Drug warehouse &amp;Logistic Anx'!AC4</f>
        <v>0</v>
      </c>
      <c r="AB32" s="648">
        <f>'14.Drug warehouse &amp;Logistic Anx'!AC3</f>
        <v>0</v>
      </c>
      <c r="AC32" s="648">
        <f>'8.Human Resources (SD) Annex'!AC4</f>
        <v>0</v>
      </c>
      <c r="AD32" s="648">
        <f>'8.Human Resources (SD) Annex'!AC3</f>
        <v>0</v>
      </c>
      <c r="AE32" s="650">
        <f>'9.Training Annex'!AC4</f>
        <v>0</v>
      </c>
      <c r="AF32" s="650">
        <f>'9.Training Annex'!AC3</f>
        <v>0</v>
      </c>
      <c r="AG32" s="648">
        <f>'16.PM Annex'!AC4</f>
        <v>0</v>
      </c>
      <c r="AH32" s="648">
        <f>'16.PM Annex'!AC3</f>
        <v>0</v>
      </c>
      <c r="AI32" s="648">
        <f>'10.Review Research &amp; Surveillen'!AC4</f>
        <v>0</v>
      </c>
      <c r="AJ32" s="648">
        <f>'10.Review Research &amp; Surveillen'!AC3</f>
        <v>0</v>
      </c>
      <c r="AK32" s="648">
        <f>'17.IT Initiatives_SD'!AC4</f>
        <v>0</v>
      </c>
      <c r="AL32" s="648">
        <f>'17.IT Initiatives_SD'!AC3</f>
        <v>0</v>
      </c>
      <c r="AM32" s="648">
        <f>'18.Innovation'!AC4</f>
        <v>0</v>
      </c>
      <c r="AN32" s="648">
        <f>'18.Innovation'!AC3</f>
        <v>0</v>
      </c>
    </row>
    <row r="33" spans="1:40" s="157" customFormat="1" x14ac:dyDescent="0.25">
      <c r="A33" s="3783"/>
      <c r="B33" s="673" t="s">
        <v>3123</v>
      </c>
      <c r="C33" s="748">
        <f t="shared" si="2"/>
        <v>0</v>
      </c>
      <c r="D33" s="748">
        <f t="shared" si="3"/>
        <v>0</v>
      </c>
      <c r="E33" s="267">
        <f>'1.SD Facility Based Annex'!AD4</f>
        <v>0</v>
      </c>
      <c r="F33" s="267">
        <f>'1.SD Facility Based Annex'!AD3</f>
        <v>0</v>
      </c>
      <c r="G33" s="268">
        <f>'2.SD Community Based Annex'!AD4</f>
        <v>0</v>
      </c>
      <c r="H33" s="268">
        <f>'2.SD Community Based Annex'!AD3</f>
        <v>0</v>
      </c>
      <c r="I33" s="267">
        <f>'3.Community Intervention Annexn'!AD4</f>
        <v>0</v>
      </c>
      <c r="J33" s="267">
        <f>'3.Community Intervention Annexn'!AD3</f>
        <v>0</v>
      </c>
      <c r="K33" s="648">
        <f>'5.Infrastructure Annex'!AD4</f>
        <v>0</v>
      </c>
      <c r="L33" s="648">
        <f>'5.Infrastructure Annex'!AD3</f>
        <v>0</v>
      </c>
      <c r="M33" s="648">
        <f>'7.Referral Transport Annex'!AD4</f>
        <v>0</v>
      </c>
      <c r="N33" s="648">
        <f>'7.Referral Transport Annex'!AD3</f>
        <v>0</v>
      </c>
      <c r="O33" s="648">
        <f>'11.IEC-BCC Annex'!AD4</f>
        <v>0</v>
      </c>
      <c r="P33" s="648">
        <f>'11.IEC-BCC Annex'!AD3</f>
        <v>0</v>
      </c>
      <c r="Q33" s="648">
        <f>'12.Printing Annex'!AD4</f>
        <v>0</v>
      </c>
      <c r="R33" s="648">
        <f>'12.Printing Annex'!AD3</f>
        <v>0</v>
      </c>
      <c r="S33" s="648">
        <f>'13.Quality Assurance Annex'!AD4</f>
        <v>0</v>
      </c>
      <c r="T33" s="650">
        <f>'13.Quality Assurance Annex'!AD3</f>
        <v>0</v>
      </c>
      <c r="U33" s="648">
        <f>'4.Untied grants Annex'!AD4</f>
        <v>0</v>
      </c>
      <c r="V33" s="648">
        <f>'4.Untied grants Annex'!AD3</f>
        <v>0</v>
      </c>
      <c r="W33" s="648">
        <f>'15.PPP Annex'!AD4</f>
        <v>0</v>
      </c>
      <c r="X33" s="648">
        <f>'15.PPP Annex'!AD3</f>
        <v>0</v>
      </c>
      <c r="Y33" s="648">
        <f>'6.Procurement Annex'!AD4</f>
        <v>0</v>
      </c>
      <c r="Z33" s="648">
        <f>'6.Procurement Annex'!AD3</f>
        <v>0</v>
      </c>
      <c r="AA33" s="648">
        <f>'14.Drug warehouse &amp;Logistic Anx'!AD4</f>
        <v>0</v>
      </c>
      <c r="AB33" s="648">
        <f>'14.Drug warehouse &amp;Logistic Anx'!AD3</f>
        <v>0</v>
      </c>
      <c r="AC33" s="648">
        <f>'8.Human Resources (SD) Annex'!AD4</f>
        <v>0</v>
      </c>
      <c r="AD33" s="648">
        <f>'8.Human Resources (SD) Annex'!AD3</f>
        <v>0</v>
      </c>
      <c r="AE33" s="650">
        <f>'9.Training Annex'!AD4</f>
        <v>0</v>
      </c>
      <c r="AF33" s="650">
        <f>'9.Training Annex'!AD3</f>
        <v>0</v>
      </c>
      <c r="AG33" s="648">
        <f>'16.PM Annex'!AD4</f>
        <v>0</v>
      </c>
      <c r="AH33" s="648">
        <f>'16.PM Annex'!AD3</f>
        <v>0</v>
      </c>
      <c r="AI33" s="648">
        <f>'10.Review Research &amp; Surveillen'!AD4</f>
        <v>0</v>
      </c>
      <c r="AJ33" s="648">
        <f>'10.Review Research &amp; Surveillen'!AD3</f>
        <v>0</v>
      </c>
      <c r="AK33" s="648">
        <f>'17.IT Initiatives_SD'!AD4</f>
        <v>0</v>
      </c>
      <c r="AL33" s="648">
        <f>'17.IT Initiatives_SD'!AD3</f>
        <v>0</v>
      </c>
      <c r="AM33" s="648">
        <f>'18.Innovation'!AD4</f>
        <v>0</v>
      </c>
      <c r="AN33" s="648">
        <f>'18.Innovation'!AD3</f>
        <v>0</v>
      </c>
    </row>
    <row r="34" spans="1:40" s="157" customFormat="1" x14ac:dyDescent="0.25">
      <c r="A34" s="3783"/>
      <c r="B34" s="673" t="s">
        <v>2383</v>
      </c>
      <c r="C34" s="748">
        <f t="shared" si="2"/>
        <v>0</v>
      </c>
      <c r="D34" s="748">
        <f t="shared" si="3"/>
        <v>0</v>
      </c>
      <c r="E34" s="267">
        <f>'1.SD Facility Based Annex'!AE4</f>
        <v>0</v>
      </c>
      <c r="F34" s="267">
        <f>'1.SD Facility Based Annex'!AE3</f>
        <v>0</v>
      </c>
      <c r="G34" s="268">
        <f>'2.SD Community Based Annex'!AE4</f>
        <v>0</v>
      </c>
      <c r="H34" s="268">
        <f>'2.SD Community Based Annex'!AE3</f>
        <v>0</v>
      </c>
      <c r="I34" s="267">
        <f>'3.Community Intervention Annexn'!AE4</f>
        <v>0</v>
      </c>
      <c r="J34" s="267">
        <f>'3.Community Intervention Annexn'!AE3</f>
        <v>0</v>
      </c>
      <c r="K34" s="648">
        <f>'5.Infrastructure Annex'!AE4</f>
        <v>0</v>
      </c>
      <c r="L34" s="648">
        <f>'5.Infrastructure Annex'!AE3</f>
        <v>0</v>
      </c>
      <c r="M34" s="648">
        <f>'7.Referral Transport Annex'!AE4</f>
        <v>0</v>
      </c>
      <c r="N34" s="648">
        <f>'7.Referral Transport Annex'!AE3</f>
        <v>0</v>
      </c>
      <c r="O34" s="648">
        <f>'11.IEC-BCC Annex'!AE4</f>
        <v>0</v>
      </c>
      <c r="P34" s="648">
        <f>'11.IEC-BCC Annex'!AE3</f>
        <v>0</v>
      </c>
      <c r="Q34" s="648">
        <f>'12.Printing Annex'!AE4</f>
        <v>0</v>
      </c>
      <c r="R34" s="648">
        <f>'12.Printing Annex'!AE3</f>
        <v>0</v>
      </c>
      <c r="S34" s="648">
        <f>'13.Quality Assurance Annex'!AE4</f>
        <v>0</v>
      </c>
      <c r="T34" s="650">
        <f>'13.Quality Assurance Annex'!AE3</f>
        <v>0</v>
      </c>
      <c r="U34" s="648">
        <f>'4.Untied grants Annex'!AE4</f>
        <v>0</v>
      </c>
      <c r="V34" s="648">
        <f>'4.Untied grants Annex'!AE3</f>
        <v>0</v>
      </c>
      <c r="W34" s="648">
        <f>'15.PPP Annex'!AE4</f>
        <v>0</v>
      </c>
      <c r="X34" s="648">
        <f>'15.PPP Annex'!AE3</f>
        <v>0</v>
      </c>
      <c r="Y34" s="648">
        <f>'6.Procurement Annex'!AE4</f>
        <v>0</v>
      </c>
      <c r="Z34" s="648">
        <f>'6.Procurement Annex'!AE3</f>
        <v>0</v>
      </c>
      <c r="AA34" s="648">
        <f>'14.Drug warehouse &amp;Logistic Anx'!AE4</f>
        <v>0</v>
      </c>
      <c r="AB34" s="648">
        <f>'14.Drug warehouse &amp;Logistic Anx'!AE3</f>
        <v>0</v>
      </c>
      <c r="AC34" s="648">
        <f>'8.Human Resources (SD) Annex'!AE4</f>
        <v>0</v>
      </c>
      <c r="AD34" s="648">
        <f>'8.Human Resources (SD) Annex'!AE3</f>
        <v>0</v>
      </c>
      <c r="AE34" s="650">
        <f>'9.Training Annex'!AE4</f>
        <v>0</v>
      </c>
      <c r="AF34" s="650">
        <f>'9.Training Annex'!AE3</f>
        <v>0</v>
      </c>
      <c r="AG34" s="648">
        <f>'16.PM Annex'!AE4</f>
        <v>0</v>
      </c>
      <c r="AH34" s="648">
        <f>'16.PM Annex'!AE3</f>
        <v>0</v>
      </c>
      <c r="AI34" s="648">
        <f>'10.Review Research &amp; Surveillen'!AE4</f>
        <v>0</v>
      </c>
      <c r="AJ34" s="648">
        <f>'10.Review Research &amp; Surveillen'!AE3</f>
        <v>0</v>
      </c>
      <c r="AK34" s="648">
        <f>'17.IT Initiatives_SD'!AE4</f>
        <v>0</v>
      </c>
      <c r="AL34" s="648">
        <f>'17.IT Initiatives_SD'!AE3</f>
        <v>0</v>
      </c>
      <c r="AM34" s="648">
        <f>'18.Innovation'!AE4</f>
        <v>0</v>
      </c>
      <c r="AN34" s="648">
        <f>'18.Innovation'!AE3</f>
        <v>0</v>
      </c>
    </row>
    <row r="35" spans="1:40" s="157" customFormat="1" x14ac:dyDescent="0.25">
      <c r="A35" s="3783"/>
      <c r="B35" s="673" t="s">
        <v>3852</v>
      </c>
      <c r="C35" s="748">
        <f t="shared" si="2"/>
        <v>0</v>
      </c>
      <c r="D35" s="748">
        <f t="shared" si="3"/>
        <v>0</v>
      </c>
      <c r="E35" s="267">
        <f>'1.SD Facility Based Annex'!AF4</f>
        <v>0</v>
      </c>
      <c r="F35" s="267">
        <f>'1.SD Facility Based Annex'!AF3</f>
        <v>0</v>
      </c>
      <c r="G35" s="268">
        <f>'2.SD Community Based Annex'!AF4</f>
        <v>0</v>
      </c>
      <c r="H35" s="268">
        <f>'2.SD Community Based Annex'!AF3</f>
        <v>0</v>
      </c>
      <c r="I35" s="267">
        <f>'3.Community Intervention Annexn'!AF4</f>
        <v>0</v>
      </c>
      <c r="J35" s="267">
        <f>'3.Community Intervention Annexn'!AF3</f>
        <v>0</v>
      </c>
      <c r="K35" s="648">
        <f>'5.Infrastructure Annex'!AF4</f>
        <v>0</v>
      </c>
      <c r="L35" s="648">
        <f>'5.Infrastructure Annex'!AF3</f>
        <v>0</v>
      </c>
      <c r="M35" s="648">
        <f>'7.Referral Transport Annex'!AF4</f>
        <v>0</v>
      </c>
      <c r="N35" s="648">
        <f>'7.Referral Transport Annex'!AF3</f>
        <v>0</v>
      </c>
      <c r="O35" s="648">
        <f>'11.IEC-BCC Annex'!AF4</f>
        <v>0</v>
      </c>
      <c r="P35" s="648">
        <f>'11.IEC-BCC Annex'!AF3</f>
        <v>0</v>
      </c>
      <c r="Q35" s="648">
        <f>'12.Printing Annex'!AF4</f>
        <v>0</v>
      </c>
      <c r="R35" s="648">
        <f>'12.Printing Annex'!AF3</f>
        <v>0</v>
      </c>
      <c r="S35" s="648">
        <f>'13.Quality Assurance Annex'!AF4</f>
        <v>0</v>
      </c>
      <c r="T35" s="650">
        <f>'13.Quality Assurance Annex'!AF3</f>
        <v>0</v>
      </c>
      <c r="U35" s="648">
        <f>'4.Untied grants Annex'!AF4</f>
        <v>0</v>
      </c>
      <c r="V35" s="648">
        <f>'4.Untied grants Annex'!AF3</f>
        <v>0</v>
      </c>
      <c r="W35" s="648">
        <f>'15.PPP Annex'!AF4</f>
        <v>0</v>
      </c>
      <c r="X35" s="648">
        <f>'15.PPP Annex'!AF3</f>
        <v>0</v>
      </c>
      <c r="Y35" s="648">
        <f>'6.Procurement Annex'!AF4</f>
        <v>0</v>
      </c>
      <c r="Z35" s="648">
        <f>'6.Procurement Annex'!AF3</f>
        <v>0</v>
      </c>
      <c r="AA35" s="648">
        <f>'14.Drug warehouse &amp;Logistic Anx'!AF4</f>
        <v>0</v>
      </c>
      <c r="AB35" s="648">
        <f>'14.Drug warehouse &amp;Logistic Anx'!AF3</f>
        <v>0</v>
      </c>
      <c r="AC35" s="648">
        <f>'8.Human Resources (SD) Annex'!AF4</f>
        <v>0</v>
      </c>
      <c r="AD35" s="648">
        <f>'8.Human Resources (SD) Annex'!AF3</f>
        <v>0</v>
      </c>
      <c r="AE35" s="650">
        <f>'9.Training Annex'!AF4</f>
        <v>0</v>
      </c>
      <c r="AF35" s="650">
        <f>'9.Training Annex'!AF3</f>
        <v>0</v>
      </c>
      <c r="AG35" s="648">
        <f>'16.PM Annex'!AF4</f>
        <v>0</v>
      </c>
      <c r="AH35" s="648">
        <f>'16.PM Annex'!AF3</f>
        <v>0</v>
      </c>
      <c r="AI35" s="648">
        <f>'10.Review Research &amp; Surveillen'!AF4</f>
        <v>0</v>
      </c>
      <c r="AJ35" s="648">
        <f>'10.Review Research &amp; Surveillen'!AF3</f>
        <v>0</v>
      </c>
      <c r="AK35" s="648">
        <f>'17.IT Initiatives_SD'!AF4</f>
        <v>0</v>
      </c>
      <c r="AL35" s="648">
        <f>'17.IT Initiatives_SD'!AF3</f>
        <v>0</v>
      </c>
      <c r="AM35" s="648">
        <f>'18.Innovation'!AF4</f>
        <v>0</v>
      </c>
      <c r="AN35" s="648">
        <f>'18.Innovation'!AF3</f>
        <v>0</v>
      </c>
    </row>
    <row r="36" spans="1:40" s="157" customFormat="1" x14ac:dyDescent="0.25">
      <c r="A36" s="3783"/>
      <c r="B36" s="673" t="s">
        <v>3854</v>
      </c>
      <c r="C36" s="748">
        <f t="shared" si="2"/>
        <v>0</v>
      </c>
      <c r="D36" s="748">
        <f t="shared" si="3"/>
        <v>0</v>
      </c>
      <c r="E36" s="267">
        <f>'1.SD Facility Based Annex'!AG4</f>
        <v>0</v>
      </c>
      <c r="F36" s="267">
        <f>'1.SD Facility Based Annex'!AG3</f>
        <v>0</v>
      </c>
      <c r="G36" s="268">
        <f>'2.SD Community Based Annex'!AG4</f>
        <v>0</v>
      </c>
      <c r="H36" s="268">
        <f>'2.SD Community Based Annex'!AG3</f>
        <v>0</v>
      </c>
      <c r="I36" s="267">
        <f>'3.Community Intervention Annexn'!AG4</f>
        <v>0</v>
      </c>
      <c r="J36" s="267">
        <f>'3.Community Intervention Annexn'!AG3</f>
        <v>0</v>
      </c>
      <c r="K36" s="648">
        <f>'5.Infrastructure Annex'!AG4</f>
        <v>0</v>
      </c>
      <c r="L36" s="648">
        <f>'5.Infrastructure Annex'!AG3</f>
        <v>0</v>
      </c>
      <c r="M36" s="648">
        <f>'7.Referral Transport Annex'!AG4</f>
        <v>0</v>
      </c>
      <c r="N36" s="648">
        <f>'7.Referral Transport Annex'!AG3</f>
        <v>0</v>
      </c>
      <c r="O36" s="648">
        <f>'11.IEC-BCC Annex'!AG4</f>
        <v>0</v>
      </c>
      <c r="P36" s="648">
        <f>'11.IEC-BCC Annex'!AG3</f>
        <v>0</v>
      </c>
      <c r="Q36" s="648">
        <f>'12.Printing Annex'!AG4</f>
        <v>0</v>
      </c>
      <c r="R36" s="648">
        <f>'12.Printing Annex'!AG3</f>
        <v>0</v>
      </c>
      <c r="S36" s="648">
        <f>'13.Quality Assurance Annex'!AG4</f>
        <v>0</v>
      </c>
      <c r="T36" s="650">
        <f>'13.Quality Assurance Annex'!AG3</f>
        <v>0</v>
      </c>
      <c r="U36" s="648">
        <f>'4.Untied grants Annex'!AG4</f>
        <v>0</v>
      </c>
      <c r="V36" s="648">
        <f>'4.Untied grants Annex'!AG3</f>
        <v>0</v>
      </c>
      <c r="W36" s="648">
        <f>'15.PPP Annex'!AG4</f>
        <v>0</v>
      </c>
      <c r="X36" s="648">
        <f>'15.PPP Annex'!AG3</f>
        <v>0</v>
      </c>
      <c r="Y36" s="648">
        <f>'6.Procurement Annex'!AG4</f>
        <v>0</v>
      </c>
      <c r="Z36" s="648">
        <f>'6.Procurement Annex'!AG3</f>
        <v>0</v>
      </c>
      <c r="AA36" s="648">
        <f>'14.Drug warehouse &amp;Logistic Anx'!AG4</f>
        <v>0</v>
      </c>
      <c r="AB36" s="648">
        <f>'14.Drug warehouse &amp;Logistic Anx'!AG3</f>
        <v>0</v>
      </c>
      <c r="AC36" s="648">
        <f>'8.Human Resources (SD) Annex'!AG4</f>
        <v>0</v>
      </c>
      <c r="AD36" s="648">
        <f>'8.Human Resources (SD) Annex'!AG3</f>
        <v>0</v>
      </c>
      <c r="AE36" s="650">
        <f>'9.Training Annex'!AG4</f>
        <v>0</v>
      </c>
      <c r="AF36" s="650">
        <f>'9.Training Annex'!AG3</f>
        <v>0</v>
      </c>
      <c r="AG36" s="648">
        <f>'16.PM Annex'!AG4</f>
        <v>0</v>
      </c>
      <c r="AH36" s="648">
        <f>'16.PM Annex'!AG3</f>
        <v>0</v>
      </c>
      <c r="AI36" s="648">
        <f>'10.Review Research &amp; Surveillen'!AG4</f>
        <v>0</v>
      </c>
      <c r="AJ36" s="648">
        <f>'10.Review Research &amp; Surveillen'!AG3</f>
        <v>0</v>
      </c>
      <c r="AK36" s="648">
        <f>'17.IT Initiatives_SD'!AG4</f>
        <v>0</v>
      </c>
      <c r="AL36" s="648">
        <f>'17.IT Initiatives_SD'!AG3</f>
        <v>0</v>
      </c>
      <c r="AM36" s="648">
        <f>'18.Innovation'!AG4</f>
        <v>0</v>
      </c>
      <c r="AN36" s="648">
        <f>'18.Innovation'!AG3</f>
        <v>0</v>
      </c>
    </row>
    <row r="37" spans="1:40" s="157" customFormat="1" x14ac:dyDescent="0.25">
      <c r="A37" s="3783"/>
      <c r="B37" s="673" t="s">
        <v>4735</v>
      </c>
      <c r="C37" s="748">
        <f t="shared" si="2"/>
        <v>128.08000000000001</v>
      </c>
      <c r="D37" s="748">
        <f t="shared" si="3"/>
        <v>0</v>
      </c>
      <c r="E37" s="267">
        <f>'1.SD Facility Based Annex'!AH4</f>
        <v>0</v>
      </c>
      <c r="F37" s="267">
        <f>'1.SD Facility Based Annex'!AH3</f>
        <v>0</v>
      </c>
      <c r="G37" s="268">
        <f>'2.SD Community Based Annex'!AH4</f>
        <v>0</v>
      </c>
      <c r="H37" s="268">
        <f>'2.SD Community Based Annex'!AH3</f>
        <v>0</v>
      </c>
      <c r="I37" s="267">
        <f>'3.Community Intervention Annexn'!AH4</f>
        <v>0</v>
      </c>
      <c r="J37" s="267">
        <f>'3.Community Intervention Annexn'!AH3</f>
        <v>0</v>
      </c>
      <c r="K37" s="648">
        <f>'5.Infrastructure Annex'!AH4</f>
        <v>0</v>
      </c>
      <c r="L37" s="648">
        <f>'5.Infrastructure Annex'!AH3</f>
        <v>0</v>
      </c>
      <c r="M37" s="648">
        <f>'7.Referral Transport Annex'!AH4</f>
        <v>0</v>
      </c>
      <c r="N37" s="648">
        <f>'7.Referral Transport Annex'!AH3</f>
        <v>0</v>
      </c>
      <c r="O37" s="648">
        <f>'11.IEC-BCC Annex'!AH4</f>
        <v>0</v>
      </c>
      <c r="P37" s="648">
        <f>'11.IEC-BCC Annex'!AH3</f>
        <v>0</v>
      </c>
      <c r="Q37" s="648">
        <f>'12.Printing Annex'!AH4</f>
        <v>0</v>
      </c>
      <c r="R37" s="648">
        <f>'12.Printing Annex'!AH3</f>
        <v>0</v>
      </c>
      <c r="S37" s="648">
        <f>'13.Quality Assurance Annex'!AH4</f>
        <v>0</v>
      </c>
      <c r="T37" s="650">
        <f>'13.Quality Assurance Annex'!AH3</f>
        <v>0</v>
      </c>
      <c r="U37" s="648">
        <f>'4.Untied grants Annex'!AH4</f>
        <v>0</v>
      </c>
      <c r="V37" s="648">
        <f>'4.Untied grants Annex'!AH3</f>
        <v>0</v>
      </c>
      <c r="W37" s="648">
        <f>'15.PPP Annex'!AH4</f>
        <v>0</v>
      </c>
      <c r="X37" s="648">
        <f>'15.PPP Annex'!AH3</f>
        <v>0</v>
      </c>
      <c r="Y37" s="648">
        <f>'6.Procurement Annex'!AH4</f>
        <v>128.08000000000001</v>
      </c>
      <c r="Z37" s="648">
        <f>'6.Procurement Annex'!AH3</f>
        <v>0</v>
      </c>
      <c r="AA37" s="648">
        <f>'14.Drug warehouse &amp;Logistic Anx'!AH4</f>
        <v>0</v>
      </c>
      <c r="AB37" s="648">
        <f>'14.Drug warehouse &amp;Logistic Anx'!AH3</f>
        <v>0</v>
      </c>
      <c r="AC37" s="648">
        <f>'8.Human Resources (SD) Annex'!AH4</f>
        <v>0</v>
      </c>
      <c r="AD37" s="648">
        <f>'8.Human Resources (SD) Annex'!AH3</f>
        <v>0</v>
      </c>
      <c r="AE37" s="650">
        <f>'9.Training Annex'!AH4</f>
        <v>0</v>
      </c>
      <c r="AF37" s="650">
        <f>'9.Training Annex'!AH3</f>
        <v>0</v>
      </c>
      <c r="AG37" s="648">
        <f>'16.PM Annex'!AH4</f>
        <v>0</v>
      </c>
      <c r="AH37" s="648">
        <f>'16.PM Annex'!AH3</f>
        <v>0</v>
      </c>
      <c r="AI37" s="648">
        <f>'10.Review Research &amp; Surveillen'!AH4</f>
        <v>0</v>
      </c>
      <c r="AJ37" s="648">
        <f>'10.Review Research &amp; Surveillen'!AH3</f>
        <v>0</v>
      </c>
      <c r="AK37" s="648">
        <f>'17.IT Initiatives_SD'!AH4</f>
        <v>0</v>
      </c>
      <c r="AL37" s="648">
        <f>'17.IT Initiatives_SD'!AH3</f>
        <v>0</v>
      </c>
      <c r="AM37" s="648">
        <f>'18.Innovation'!AH4</f>
        <v>0</v>
      </c>
      <c r="AN37" s="648">
        <f>'18.Innovation'!AH3</f>
        <v>0</v>
      </c>
    </row>
    <row r="38" spans="1:40" s="157" customFormat="1" x14ac:dyDescent="0.25">
      <c r="A38" s="3783" t="s">
        <v>4690</v>
      </c>
      <c r="B38" s="673" t="s">
        <v>3879</v>
      </c>
      <c r="C38" s="748">
        <f t="shared" si="2"/>
        <v>0</v>
      </c>
      <c r="D38" s="748">
        <f t="shared" si="3"/>
        <v>0</v>
      </c>
      <c r="E38" s="269">
        <f>'1.SD Facility Based Annex'!AI4</f>
        <v>0</v>
      </c>
      <c r="F38" s="267">
        <f>'1.SD Facility Based Annex'!AI3</f>
        <v>0</v>
      </c>
      <c r="G38" s="268">
        <f>'2.SD Community Based Annex'!AI4</f>
        <v>0</v>
      </c>
      <c r="H38" s="268">
        <f>'2.SD Community Based Annex'!AI3</f>
        <v>0</v>
      </c>
      <c r="I38" s="267">
        <f>'3.Community Intervention Annexn'!AI4</f>
        <v>0</v>
      </c>
      <c r="J38" s="267">
        <f>'3.Community Intervention Annexn'!AI3</f>
        <v>0</v>
      </c>
      <c r="K38" s="648">
        <f>'5.Infrastructure Annex'!AI4</f>
        <v>0</v>
      </c>
      <c r="L38" s="648">
        <f>'5.Infrastructure Annex'!AI3</f>
        <v>0</v>
      </c>
      <c r="M38" s="648">
        <f>'7.Referral Transport Annex'!AI4</f>
        <v>0</v>
      </c>
      <c r="N38" s="648">
        <f>'7.Referral Transport Annex'!AI3</f>
        <v>0</v>
      </c>
      <c r="O38" s="648">
        <f>'11.IEC-BCC Annex'!AI4</f>
        <v>0</v>
      </c>
      <c r="P38" s="648">
        <f>'11.IEC-BCC Annex'!AI3</f>
        <v>0</v>
      </c>
      <c r="Q38" s="648">
        <f>'12.Printing Annex'!AI4</f>
        <v>0</v>
      </c>
      <c r="R38" s="648">
        <f>'12.Printing Annex'!AI3</f>
        <v>0</v>
      </c>
      <c r="S38" s="648">
        <f>'13.Quality Assurance Annex'!AI4</f>
        <v>0</v>
      </c>
      <c r="T38" s="650">
        <f>'13.Quality Assurance Annex'!AI3</f>
        <v>0</v>
      </c>
      <c r="U38" s="648">
        <f>'4.Untied grants Annex'!AI4</f>
        <v>0</v>
      </c>
      <c r="V38" s="648">
        <f>'4.Untied grants Annex'!AI3</f>
        <v>0</v>
      </c>
      <c r="W38" s="648">
        <f>'15.PPP Annex'!AI4</f>
        <v>0</v>
      </c>
      <c r="X38" s="648">
        <f>'15.PPP Annex'!AI3</f>
        <v>0</v>
      </c>
      <c r="Y38" s="648">
        <f>'6.Procurement Annex'!AI4</f>
        <v>0</v>
      </c>
      <c r="Z38" s="648">
        <f>'6.Procurement Annex'!AI3</f>
        <v>0</v>
      </c>
      <c r="AA38" s="648">
        <f>'14.Drug warehouse &amp;Logistic Anx'!AI4</f>
        <v>0</v>
      </c>
      <c r="AB38" s="648">
        <f>'14.Drug warehouse &amp;Logistic Anx'!AI3</f>
        <v>0</v>
      </c>
      <c r="AC38" s="648">
        <f>'8.Human Resources (SD) Annex'!AI4</f>
        <v>0</v>
      </c>
      <c r="AD38" s="648">
        <f>'8.Human Resources (SD) Annex'!AI3</f>
        <v>0</v>
      </c>
      <c r="AE38" s="650">
        <f>'9.Training Annex'!AI4</f>
        <v>0</v>
      </c>
      <c r="AF38" s="650">
        <f>'9.Training Annex'!AI3</f>
        <v>0</v>
      </c>
      <c r="AG38" s="648">
        <f>'16.PM Annex'!AI4</f>
        <v>0</v>
      </c>
      <c r="AH38" s="648">
        <f>'16.PM Annex'!AI3</f>
        <v>0</v>
      </c>
      <c r="AI38" s="648">
        <f>'10.Review Research &amp; Surveillen'!AI4</f>
        <v>0</v>
      </c>
      <c r="AJ38" s="648">
        <f>'10.Review Research &amp; Surveillen'!AI3</f>
        <v>0</v>
      </c>
      <c r="AK38" s="648">
        <f>'17.IT Initiatives_SD'!AI4</f>
        <v>0</v>
      </c>
      <c r="AL38" s="648">
        <f>'17.IT Initiatives_SD'!AI3</f>
        <v>0</v>
      </c>
      <c r="AM38" s="648">
        <f>'18.Innovation'!AI4</f>
        <v>0</v>
      </c>
      <c r="AN38" s="648">
        <f>'18.Innovation'!AI3</f>
        <v>0</v>
      </c>
    </row>
    <row r="39" spans="1:40" s="157" customFormat="1" ht="30" x14ac:dyDescent="0.25">
      <c r="A39" s="3783"/>
      <c r="B39" s="673" t="s">
        <v>3880</v>
      </c>
      <c r="C39" s="748">
        <f t="shared" si="2"/>
        <v>20</v>
      </c>
      <c r="D39" s="748">
        <f t="shared" si="3"/>
        <v>0</v>
      </c>
      <c r="E39" s="269">
        <f>'1.SD Facility Based Annex'!AJ4</f>
        <v>0</v>
      </c>
      <c r="F39" s="267">
        <f>'1.SD Facility Based Annex'!AJ3</f>
        <v>0</v>
      </c>
      <c r="G39" s="268">
        <f>'2.SD Community Based Annex'!AJ4</f>
        <v>0</v>
      </c>
      <c r="H39" s="268">
        <f>'2.SD Community Based Annex'!AJ3</f>
        <v>0</v>
      </c>
      <c r="I39" s="267">
        <f>'3.Community Intervention Annexn'!AJ4</f>
        <v>0</v>
      </c>
      <c r="J39" s="267">
        <f>'3.Community Intervention Annexn'!AJ3</f>
        <v>0</v>
      </c>
      <c r="K39" s="648">
        <f>'5.Infrastructure Annex'!AJ4</f>
        <v>20</v>
      </c>
      <c r="L39" s="648">
        <f>'5.Infrastructure Annex'!AJ3</f>
        <v>0</v>
      </c>
      <c r="M39" s="648">
        <f>'7.Referral Transport Annex'!AJ4</f>
        <v>0</v>
      </c>
      <c r="N39" s="648">
        <f>'7.Referral Transport Annex'!AJ3</f>
        <v>0</v>
      </c>
      <c r="O39" s="648">
        <f>'11.IEC-BCC Annex'!AJ4</f>
        <v>0</v>
      </c>
      <c r="P39" s="648">
        <f>'11.IEC-BCC Annex'!AJ3</f>
        <v>0</v>
      </c>
      <c r="Q39" s="648">
        <f>'12.Printing Annex'!AJ4</f>
        <v>0</v>
      </c>
      <c r="R39" s="648">
        <f>'12.Printing Annex'!AJ3</f>
        <v>0</v>
      </c>
      <c r="S39" s="648">
        <f>'13.Quality Assurance Annex'!AJ4</f>
        <v>0</v>
      </c>
      <c r="T39" s="650">
        <f>'13.Quality Assurance Annex'!AJ3</f>
        <v>0</v>
      </c>
      <c r="U39" s="648">
        <f>'4.Untied grants Annex'!AJ4</f>
        <v>0</v>
      </c>
      <c r="V39" s="648">
        <f>'4.Untied grants Annex'!AJ3</f>
        <v>0</v>
      </c>
      <c r="W39" s="648">
        <f>'15.PPP Annex'!AJ4</f>
        <v>0</v>
      </c>
      <c r="X39" s="648">
        <f>'15.PPP Annex'!AJ3</f>
        <v>0</v>
      </c>
      <c r="Y39" s="648">
        <f>'6.Procurement Annex'!AJ4</f>
        <v>0</v>
      </c>
      <c r="Z39" s="648">
        <f>'6.Procurement Annex'!AJ3</f>
        <v>0</v>
      </c>
      <c r="AA39" s="648">
        <f>'14.Drug warehouse &amp;Logistic Anx'!AJ4</f>
        <v>0</v>
      </c>
      <c r="AB39" s="648">
        <f>'14.Drug warehouse &amp;Logistic Anx'!AJ3</f>
        <v>0</v>
      </c>
      <c r="AC39" s="648">
        <f>'8.Human Resources (SD) Annex'!AJ4</f>
        <v>0</v>
      </c>
      <c r="AD39" s="648">
        <f>'8.Human Resources (SD) Annex'!AJ3</f>
        <v>0</v>
      </c>
      <c r="AE39" s="650">
        <f>'9.Training Annex'!AJ4</f>
        <v>0</v>
      </c>
      <c r="AF39" s="650">
        <f>'9.Training Annex'!AJ3</f>
        <v>0</v>
      </c>
      <c r="AG39" s="648">
        <f>'16.PM Annex'!AJ4</f>
        <v>0</v>
      </c>
      <c r="AH39" s="648">
        <f>'16.PM Annex'!AJ3</f>
        <v>0</v>
      </c>
      <c r="AI39" s="648">
        <f>'10.Review Research &amp; Surveillen'!AJ4</f>
        <v>0</v>
      </c>
      <c r="AJ39" s="648">
        <f>'10.Review Research &amp; Surveillen'!AJ3</f>
        <v>0</v>
      </c>
      <c r="AK39" s="648">
        <f>'17.IT Initiatives_SD'!AJ4</f>
        <v>0</v>
      </c>
      <c r="AL39" s="648">
        <f>'17.IT Initiatives_SD'!AJ3</f>
        <v>0</v>
      </c>
      <c r="AM39" s="648">
        <f>'18.Innovation'!AJ4</f>
        <v>0</v>
      </c>
      <c r="AN39" s="648">
        <f>'18.Innovation'!AJ3</f>
        <v>0</v>
      </c>
    </row>
    <row r="40" spans="1:40" s="157" customFormat="1" x14ac:dyDescent="0.25">
      <c r="A40" s="3783"/>
      <c r="B40" s="673" t="s">
        <v>3881</v>
      </c>
      <c r="C40" s="748">
        <f t="shared" si="2"/>
        <v>0</v>
      </c>
      <c r="D40" s="748">
        <f t="shared" si="3"/>
        <v>0</v>
      </c>
      <c r="E40" s="269">
        <f>'1.SD Facility Based Annex'!AK4</f>
        <v>0</v>
      </c>
      <c r="F40" s="267">
        <f>'1.SD Facility Based Annex'!AK3</f>
        <v>0</v>
      </c>
      <c r="G40" s="268">
        <f>'2.SD Community Based Annex'!AK4</f>
        <v>0</v>
      </c>
      <c r="H40" s="268">
        <f>'2.SD Community Based Annex'!AK3</f>
        <v>0</v>
      </c>
      <c r="I40" s="267">
        <f>'3.Community Intervention Annexn'!AK4</f>
        <v>0</v>
      </c>
      <c r="J40" s="267">
        <f>'3.Community Intervention Annexn'!AK3</f>
        <v>0</v>
      </c>
      <c r="K40" s="648">
        <f>'5.Infrastructure Annex'!AK4</f>
        <v>0</v>
      </c>
      <c r="L40" s="648">
        <f>'5.Infrastructure Annex'!AK3</f>
        <v>0</v>
      </c>
      <c r="M40" s="648">
        <f>'7.Referral Transport Annex'!AK4</f>
        <v>0</v>
      </c>
      <c r="N40" s="648">
        <f>'7.Referral Transport Annex'!AK3</f>
        <v>0</v>
      </c>
      <c r="O40" s="648">
        <f>'11.IEC-BCC Annex'!AK4</f>
        <v>0</v>
      </c>
      <c r="P40" s="648">
        <f>'11.IEC-BCC Annex'!AK3</f>
        <v>0</v>
      </c>
      <c r="Q40" s="648">
        <f>'12.Printing Annex'!AK4</f>
        <v>0</v>
      </c>
      <c r="R40" s="648">
        <f>'12.Printing Annex'!AK3</f>
        <v>0</v>
      </c>
      <c r="S40" s="648">
        <f>'13.Quality Assurance Annex'!AK4</f>
        <v>0</v>
      </c>
      <c r="T40" s="650">
        <f>'13.Quality Assurance Annex'!AK3</f>
        <v>0</v>
      </c>
      <c r="U40" s="648">
        <f>'4.Untied grants Annex'!AK4</f>
        <v>0</v>
      </c>
      <c r="V40" s="648">
        <f>'4.Untied grants Annex'!AK3</f>
        <v>0</v>
      </c>
      <c r="W40" s="648">
        <f>'15.PPP Annex'!AK4</f>
        <v>0</v>
      </c>
      <c r="X40" s="648">
        <f>'15.PPP Annex'!AK3</f>
        <v>0</v>
      </c>
      <c r="Y40" s="648">
        <f>'6.Procurement Annex'!AK4</f>
        <v>0</v>
      </c>
      <c r="Z40" s="648">
        <f>'6.Procurement Annex'!AK3</f>
        <v>0</v>
      </c>
      <c r="AA40" s="648">
        <f>'14.Drug warehouse &amp;Logistic Anx'!AK4</f>
        <v>0</v>
      </c>
      <c r="AB40" s="648">
        <f>'14.Drug warehouse &amp;Logistic Anx'!AK3</f>
        <v>0</v>
      </c>
      <c r="AC40" s="648">
        <f>'8.Human Resources (SD) Annex'!AK4</f>
        <v>0</v>
      </c>
      <c r="AD40" s="648">
        <f>'8.Human Resources (SD) Annex'!AK3</f>
        <v>0</v>
      </c>
      <c r="AE40" s="650">
        <f>'9.Training Annex'!AK4</f>
        <v>0</v>
      </c>
      <c r="AF40" s="650">
        <f>'9.Training Annex'!AK3</f>
        <v>0</v>
      </c>
      <c r="AG40" s="648">
        <f>'16.PM Annex'!AK4</f>
        <v>0</v>
      </c>
      <c r="AH40" s="648">
        <f>'16.PM Annex'!AK3</f>
        <v>0</v>
      </c>
      <c r="AI40" s="648">
        <f>'10.Review Research &amp; Surveillen'!AK4</f>
        <v>0</v>
      </c>
      <c r="AJ40" s="648">
        <f>'10.Review Research &amp; Surveillen'!AK3</f>
        <v>0</v>
      </c>
      <c r="AK40" s="648">
        <f>'17.IT Initiatives_SD'!AK4</f>
        <v>0</v>
      </c>
      <c r="AL40" s="648">
        <f>'17.IT Initiatives_SD'!AK3</f>
        <v>0</v>
      </c>
      <c r="AM40" s="648">
        <f>'18.Innovation'!AK4</f>
        <v>0</v>
      </c>
      <c r="AN40" s="648">
        <f>'18.Innovation'!AK3</f>
        <v>0</v>
      </c>
    </row>
    <row r="41" spans="1:40" s="157" customFormat="1" ht="30" x14ac:dyDescent="0.25">
      <c r="A41" s="3783"/>
      <c r="B41" s="673" t="s">
        <v>4628</v>
      </c>
      <c r="C41" s="748">
        <f t="shared" si="2"/>
        <v>3301.2784799999999</v>
      </c>
      <c r="D41" s="748">
        <f t="shared" si="3"/>
        <v>0</v>
      </c>
      <c r="E41" s="269">
        <f>'1.SD Facility Based Annex'!AL4</f>
        <v>0</v>
      </c>
      <c r="F41" s="267">
        <f>'1.SD Facility Based Annex'!AL3</f>
        <v>0</v>
      </c>
      <c r="G41" s="268">
        <f>'2.SD Community Based Annex'!AL4</f>
        <v>0</v>
      </c>
      <c r="H41" s="268">
        <f>'2.SD Community Based Annex'!AL3</f>
        <v>0</v>
      </c>
      <c r="I41" s="267">
        <f>'3.Community Intervention Annexn'!AL4</f>
        <v>0</v>
      </c>
      <c r="J41" s="267">
        <f>'3.Community Intervention Annexn'!AL3</f>
        <v>0</v>
      </c>
      <c r="K41" s="648">
        <f>'5.Infrastructure Annex'!AL4</f>
        <v>0</v>
      </c>
      <c r="L41" s="648">
        <f>'5.Infrastructure Annex'!AL3</f>
        <v>0</v>
      </c>
      <c r="M41" s="648">
        <f>'7.Referral Transport Annex'!AL4</f>
        <v>0</v>
      </c>
      <c r="N41" s="648">
        <f>'7.Referral Transport Annex'!AL3</f>
        <v>0</v>
      </c>
      <c r="O41" s="648">
        <f>'11.IEC-BCC Annex'!AL4</f>
        <v>0</v>
      </c>
      <c r="P41" s="648">
        <f>'11.IEC-BCC Annex'!AL3</f>
        <v>0</v>
      </c>
      <c r="Q41" s="648">
        <f>'12.Printing Annex'!AL4</f>
        <v>0</v>
      </c>
      <c r="R41" s="648">
        <f>'12.Printing Annex'!AL3</f>
        <v>0</v>
      </c>
      <c r="S41" s="648">
        <f>'13.Quality Assurance Annex'!AL4</f>
        <v>0</v>
      </c>
      <c r="T41" s="650">
        <f>'13.Quality Assurance Annex'!AL3</f>
        <v>0</v>
      </c>
      <c r="U41" s="648">
        <f>'4.Untied grants Annex'!AL4</f>
        <v>0</v>
      </c>
      <c r="V41" s="648">
        <f>'4.Untied grants Annex'!AL3</f>
        <v>0</v>
      </c>
      <c r="W41" s="648">
        <f>'15.PPP Annex'!AL4</f>
        <v>0</v>
      </c>
      <c r="X41" s="648">
        <f>'15.PPP Annex'!AL3</f>
        <v>0</v>
      </c>
      <c r="Y41" s="648">
        <f>'6.Procurement Annex'!AL4</f>
        <v>3301.2784799999999</v>
      </c>
      <c r="Z41" s="648">
        <f>'6.Procurement Annex'!AL3</f>
        <v>0</v>
      </c>
      <c r="AA41" s="648">
        <f>'14.Drug warehouse &amp;Logistic Anx'!AL4</f>
        <v>0</v>
      </c>
      <c r="AB41" s="648">
        <f>'14.Drug warehouse &amp;Logistic Anx'!AL3</f>
        <v>0</v>
      </c>
      <c r="AC41" s="648">
        <f>'8.Human Resources (SD) Annex'!AL4</f>
        <v>0</v>
      </c>
      <c r="AD41" s="648">
        <f>'8.Human Resources (SD) Annex'!AL3</f>
        <v>0</v>
      </c>
      <c r="AE41" s="650">
        <f>'9.Training Annex'!AL4</f>
        <v>0</v>
      </c>
      <c r="AF41" s="650">
        <f>'9.Training Annex'!AL3</f>
        <v>0</v>
      </c>
      <c r="AG41" s="648">
        <f>'16.PM Annex'!AL4</f>
        <v>0</v>
      </c>
      <c r="AH41" s="648">
        <f>'16.PM Annex'!AL3</f>
        <v>0</v>
      </c>
      <c r="AI41" s="648">
        <f>'10.Review Research &amp; Surveillen'!AL4</f>
        <v>0</v>
      </c>
      <c r="AJ41" s="648">
        <f>'10.Review Research &amp; Surveillen'!AL3</f>
        <v>0</v>
      </c>
      <c r="AK41" s="648">
        <f>'17.IT Initiatives_SD'!AL4</f>
        <v>0</v>
      </c>
      <c r="AL41" s="648">
        <f>'17.IT Initiatives_SD'!AL3</f>
        <v>0</v>
      </c>
      <c r="AM41" s="648">
        <f>'18.Innovation'!AL4</f>
        <v>0</v>
      </c>
      <c r="AN41" s="648">
        <f>'18.Innovation'!AL3</f>
        <v>0</v>
      </c>
    </row>
    <row r="42" spans="1:40" s="157" customFormat="1" ht="30" x14ac:dyDescent="0.25">
      <c r="A42" s="3783"/>
      <c r="B42" s="673" t="s">
        <v>3882</v>
      </c>
      <c r="C42" s="748">
        <f t="shared" si="2"/>
        <v>0</v>
      </c>
      <c r="D42" s="748">
        <f t="shared" si="3"/>
        <v>0</v>
      </c>
      <c r="E42" s="269">
        <f>'1.SD Facility Based Annex'!AM4</f>
        <v>0</v>
      </c>
      <c r="F42" s="267">
        <f>'1.SD Facility Based Annex'!AM3</f>
        <v>0</v>
      </c>
      <c r="G42" s="268">
        <f>'2.SD Community Based Annex'!AM4</f>
        <v>0</v>
      </c>
      <c r="H42" s="268">
        <f>'2.SD Community Based Annex'!AM3</f>
        <v>0</v>
      </c>
      <c r="I42" s="267">
        <f>'3.Community Intervention Annexn'!AM4</f>
        <v>0</v>
      </c>
      <c r="J42" s="267">
        <f>'3.Community Intervention Annexn'!AM3</f>
        <v>0</v>
      </c>
      <c r="K42" s="648">
        <f>'5.Infrastructure Annex'!AM4</f>
        <v>0</v>
      </c>
      <c r="L42" s="648">
        <f>'5.Infrastructure Annex'!AM3</f>
        <v>0</v>
      </c>
      <c r="M42" s="648">
        <f>'7.Referral Transport Annex'!AM4</f>
        <v>0</v>
      </c>
      <c r="N42" s="648">
        <f>'7.Referral Transport Annex'!AM3</f>
        <v>0</v>
      </c>
      <c r="O42" s="648">
        <f>'11.IEC-BCC Annex'!AM4</f>
        <v>0</v>
      </c>
      <c r="P42" s="648">
        <f>'11.IEC-BCC Annex'!AM3</f>
        <v>0</v>
      </c>
      <c r="Q42" s="648">
        <f>'12.Printing Annex'!AM4</f>
        <v>0</v>
      </c>
      <c r="R42" s="648">
        <f>'12.Printing Annex'!AM3</f>
        <v>0</v>
      </c>
      <c r="S42" s="648">
        <f>'13.Quality Assurance Annex'!AM4</f>
        <v>0</v>
      </c>
      <c r="T42" s="650">
        <f>'13.Quality Assurance Annex'!AM3</f>
        <v>0</v>
      </c>
      <c r="U42" s="648">
        <f>'4.Untied grants Annex'!AM4</f>
        <v>0</v>
      </c>
      <c r="V42" s="648">
        <f>'4.Untied grants Annex'!AM3</f>
        <v>0</v>
      </c>
      <c r="W42" s="648">
        <f>'15.PPP Annex'!AM4</f>
        <v>0</v>
      </c>
      <c r="X42" s="648">
        <f>'15.PPP Annex'!AM3</f>
        <v>0</v>
      </c>
      <c r="Y42" s="648">
        <f>'6.Procurement Annex'!AM4</f>
        <v>0</v>
      </c>
      <c r="Z42" s="648">
        <f>'6.Procurement Annex'!AM3</f>
        <v>0</v>
      </c>
      <c r="AA42" s="648">
        <f>'14.Drug warehouse &amp;Logistic Anx'!AM4</f>
        <v>0</v>
      </c>
      <c r="AB42" s="648">
        <f>'14.Drug warehouse &amp;Logistic Anx'!AM3</f>
        <v>0</v>
      </c>
      <c r="AC42" s="648">
        <f>'8.Human Resources (SD) Annex'!AM4</f>
        <v>0</v>
      </c>
      <c r="AD42" s="648">
        <f>'8.Human Resources (SD) Annex'!AM3</f>
        <v>0</v>
      </c>
      <c r="AE42" s="650">
        <f>'9.Training Annex'!AM4</f>
        <v>0</v>
      </c>
      <c r="AF42" s="650">
        <f>'9.Training Annex'!AM3</f>
        <v>0</v>
      </c>
      <c r="AG42" s="648">
        <f>'16.PM Annex'!AM4</f>
        <v>0</v>
      </c>
      <c r="AH42" s="648">
        <f>'16.PM Annex'!AM3</f>
        <v>0</v>
      </c>
      <c r="AI42" s="648">
        <f>'10.Review Research &amp; Surveillen'!AM4</f>
        <v>0</v>
      </c>
      <c r="AJ42" s="648">
        <f>'10.Review Research &amp; Surveillen'!AM3</f>
        <v>0</v>
      </c>
      <c r="AK42" s="648">
        <f>'17.IT Initiatives_SD'!AM4</f>
        <v>0</v>
      </c>
      <c r="AL42" s="648">
        <f>'17.IT Initiatives_SD'!AM3</f>
        <v>0</v>
      </c>
      <c r="AM42" s="648">
        <f>'18.Innovation'!AM4</f>
        <v>0</v>
      </c>
      <c r="AN42" s="648">
        <f>'18.Innovation'!AM3</f>
        <v>0</v>
      </c>
    </row>
    <row r="43" spans="1:40" s="157" customFormat="1" x14ac:dyDescent="0.25">
      <c r="A43" s="3783"/>
      <c r="B43" s="673" t="s">
        <v>3900</v>
      </c>
      <c r="C43" s="748">
        <f t="shared" si="2"/>
        <v>0</v>
      </c>
      <c r="D43" s="748">
        <f t="shared" si="3"/>
        <v>0</v>
      </c>
      <c r="E43" s="269">
        <f>'1.SD Facility Based Annex'!AN4</f>
        <v>0</v>
      </c>
      <c r="F43" s="267">
        <f>'1.SD Facility Based Annex'!AN3</f>
        <v>0</v>
      </c>
      <c r="G43" s="268">
        <f>'2.SD Community Based Annex'!AN4</f>
        <v>0</v>
      </c>
      <c r="H43" s="268">
        <f>'2.SD Community Based Annex'!AN3</f>
        <v>0</v>
      </c>
      <c r="I43" s="267">
        <f>'3.Community Intervention Annexn'!AN4</f>
        <v>0</v>
      </c>
      <c r="J43" s="267">
        <f>'3.Community Intervention Annexn'!AN3</f>
        <v>0</v>
      </c>
      <c r="K43" s="648">
        <f>'5.Infrastructure Annex'!AN4</f>
        <v>0</v>
      </c>
      <c r="L43" s="648">
        <f>'5.Infrastructure Annex'!AN3</f>
        <v>0</v>
      </c>
      <c r="M43" s="648">
        <f>'7.Referral Transport Annex'!AN4</f>
        <v>0</v>
      </c>
      <c r="N43" s="648">
        <f>'7.Referral Transport Annex'!AN3</f>
        <v>0</v>
      </c>
      <c r="O43" s="648">
        <f>'11.IEC-BCC Annex'!AN4</f>
        <v>0</v>
      </c>
      <c r="P43" s="648">
        <f>'11.IEC-BCC Annex'!AN3</f>
        <v>0</v>
      </c>
      <c r="Q43" s="648">
        <f>'12.Printing Annex'!AN4</f>
        <v>0</v>
      </c>
      <c r="R43" s="648">
        <f>'12.Printing Annex'!AN3</f>
        <v>0</v>
      </c>
      <c r="S43" s="648">
        <f>'13.Quality Assurance Annex'!AN4</f>
        <v>0</v>
      </c>
      <c r="T43" s="650">
        <f>'13.Quality Assurance Annex'!AN3</f>
        <v>0</v>
      </c>
      <c r="U43" s="648">
        <f>'4.Untied grants Annex'!AN4</f>
        <v>0</v>
      </c>
      <c r="V43" s="648">
        <f>'4.Untied grants Annex'!AN3</f>
        <v>0</v>
      </c>
      <c r="W43" s="648">
        <f>'15.PPP Annex'!AN4</f>
        <v>0</v>
      </c>
      <c r="X43" s="648">
        <f>'15.PPP Annex'!AN3</f>
        <v>0</v>
      </c>
      <c r="Y43" s="648">
        <f>'6.Procurement Annex'!AN4</f>
        <v>0</v>
      </c>
      <c r="Z43" s="648">
        <f>'6.Procurement Annex'!AN3</f>
        <v>0</v>
      </c>
      <c r="AA43" s="648">
        <f>'14.Drug warehouse &amp;Logistic Anx'!AN4</f>
        <v>0</v>
      </c>
      <c r="AB43" s="648">
        <f>'14.Drug warehouse &amp;Logistic Anx'!AN3</f>
        <v>0</v>
      </c>
      <c r="AC43" s="648">
        <f>'8.Human Resources (SD) Annex'!AN4</f>
        <v>0</v>
      </c>
      <c r="AD43" s="648">
        <f>'8.Human Resources (SD) Annex'!AN3</f>
        <v>0</v>
      </c>
      <c r="AE43" s="650">
        <f>'9.Training Annex'!AN4</f>
        <v>0</v>
      </c>
      <c r="AF43" s="650">
        <f>'9.Training Annex'!AN3</f>
        <v>0</v>
      </c>
      <c r="AG43" s="648">
        <f>'16.PM Annex'!AN4</f>
        <v>0</v>
      </c>
      <c r="AH43" s="648">
        <f>'16.PM Annex'!AN3</f>
        <v>0</v>
      </c>
      <c r="AI43" s="648">
        <f>'10.Review Research &amp; Surveillen'!AN4</f>
        <v>0</v>
      </c>
      <c r="AJ43" s="648">
        <f>'10.Review Research &amp; Surveillen'!AN3</f>
        <v>0</v>
      </c>
      <c r="AK43" s="648">
        <f>'17.IT Initiatives_SD'!AN4</f>
        <v>0</v>
      </c>
      <c r="AL43" s="648">
        <f>'17.IT Initiatives_SD'!AN3</f>
        <v>0</v>
      </c>
      <c r="AM43" s="648">
        <f>'18.Innovation'!AN4</f>
        <v>0</v>
      </c>
      <c r="AN43" s="648">
        <f>'18.Innovation'!AN3</f>
        <v>0</v>
      </c>
    </row>
    <row r="44" spans="1:40" s="157" customFormat="1" ht="30" x14ac:dyDescent="0.25">
      <c r="A44" s="3783"/>
      <c r="B44" s="673" t="s">
        <v>4696</v>
      </c>
      <c r="C44" s="748">
        <f t="shared" si="2"/>
        <v>27.65</v>
      </c>
      <c r="D44" s="748">
        <f t="shared" si="3"/>
        <v>0</v>
      </c>
      <c r="E44" s="267">
        <f>'1.SD Facility Based Annex'!AO4</f>
        <v>0</v>
      </c>
      <c r="F44" s="267">
        <f>'1.SD Facility Based Annex'!AO3</f>
        <v>0</v>
      </c>
      <c r="G44" s="268">
        <f>'2.SD Community Based Annex'!AO4</f>
        <v>0</v>
      </c>
      <c r="H44" s="268">
        <f>'2.SD Community Based Annex'!AO3</f>
        <v>0</v>
      </c>
      <c r="I44" s="267">
        <f>'3.Community Intervention Annexn'!AO4</f>
        <v>0</v>
      </c>
      <c r="J44" s="267">
        <f>'3.Community Intervention Annexn'!AO3</f>
        <v>0</v>
      </c>
      <c r="K44" s="648">
        <f>'5.Infrastructure Annex'!AO4</f>
        <v>0</v>
      </c>
      <c r="L44" s="648">
        <f>'5.Infrastructure Annex'!AO3</f>
        <v>0</v>
      </c>
      <c r="M44" s="648">
        <f>'7.Referral Transport Annex'!AO4</f>
        <v>0</v>
      </c>
      <c r="N44" s="648">
        <f>'7.Referral Transport Annex'!AO3</f>
        <v>0</v>
      </c>
      <c r="O44" s="648">
        <f>'11.IEC-BCC Annex'!AO4</f>
        <v>0</v>
      </c>
      <c r="P44" s="648">
        <f>'11.IEC-BCC Annex'!AO3</f>
        <v>0</v>
      </c>
      <c r="Q44" s="648">
        <f>'12.Printing Annex'!AO4</f>
        <v>0</v>
      </c>
      <c r="R44" s="648">
        <f>'12.Printing Annex'!AO3</f>
        <v>0</v>
      </c>
      <c r="S44" s="648">
        <f>'13.Quality Assurance Annex'!AO4</f>
        <v>0</v>
      </c>
      <c r="T44" s="650">
        <f>'13.Quality Assurance Annex'!AO3</f>
        <v>0</v>
      </c>
      <c r="U44" s="648">
        <f>'4.Untied grants Annex'!AO4</f>
        <v>0</v>
      </c>
      <c r="V44" s="648">
        <f>'4.Untied grants Annex'!AO3</f>
        <v>0</v>
      </c>
      <c r="W44" s="648">
        <f>'15.PPP Annex'!AO4</f>
        <v>0</v>
      </c>
      <c r="X44" s="648">
        <f>'15.PPP Annex'!AO3</f>
        <v>0</v>
      </c>
      <c r="Y44" s="648">
        <f>'6.Procurement Annex'!AO4</f>
        <v>27.65</v>
      </c>
      <c r="Z44" s="648">
        <f>'6.Procurement Annex'!AO3</f>
        <v>0</v>
      </c>
      <c r="AA44" s="648">
        <f>'14.Drug warehouse &amp;Logistic Anx'!AO4</f>
        <v>0</v>
      </c>
      <c r="AB44" s="648">
        <f>'14.Drug warehouse &amp;Logistic Anx'!AO3</f>
        <v>0</v>
      </c>
      <c r="AC44" s="648">
        <f>'8.Human Resources (SD) Annex'!AO4</f>
        <v>0</v>
      </c>
      <c r="AD44" s="648">
        <f>'8.Human Resources (SD) Annex'!AO3</f>
        <v>0</v>
      </c>
      <c r="AE44" s="650">
        <f>'9.Training Annex'!AO4</f>
        <v>0</v>
      </c>
      <c r="AF44" s="650">
        <f>'9.Training Annex'!AO3</f>
        <v>0</v>
      </c>
      <c r="AG44" s="648">
        <f>'16.PM Annex'!AO4</f>
        <v>0</v>
      </c>
      <c r="AH44" s="648">
        <f>'16.PM Annex'!AO3</f>
        <v>0</v>
      </c>
      <c r="AI44" s="648">
        <f>'10.Review Research &amp; Surveillen'!AO4</f>
        <v>0</v>
      </c>
      <c r="AJ44" s="648">
        <f>'10.Review Research &amp; Surveillen'!AO3</f>
        <v>0</v>
      </c>
      <c r="AK44" s="648">
        <f>'17.IT Initiatives_SD'!AO4</f>
        <v>0</v>
      </c>
      <c r="AL44" s="648">
        <f>'17.IT Initiatives_SD'!AO3</f>
        <v>0</v>
      </c>
      <c r="AM44" s="648">
        <f>'18.Innovation'!AO4</f>
        <v>0</v>
      </c>
      <c r="AN44" s="648">
        <f>'18.Innovation'!AO3</f>
        <v>0</v>
      </c>
    </row>
    <row r="45" spans="1:40" s="157" customFormat="1" x14ac:dyDescent="0.25">
      <c r="A45" s="3783"/>
      <c r="B45" s="673" t="s">
        <v>5277</v>
      </c>
      <c r="C45" s="748">
        <f>E45+G45+I45+K45+M45+O45+Q45+S45+U45+W45+Y45+AA45+AC45+AE45+AG45+AI45+AK45+AM45</f>
        <v>0</v>
      </c>
      <c r="D45" s="748">
        <f>F45+H45+J45+L45+N45+P45+R45+T45+V45+X45+Z45+AB45+AD45+AF45+AH45+AJ45+AL45+AN45</f>
        <v>0</v>
      </c>
      <c r="E45" s="267"/>
      <c r="F45" s="267"/>
      <c r="G45" s="268"/>
      <c r="H45" s="268"/>
      <c r="I45" s="267"/>
      <c r="J45" s="267"/>
      <c r="K45" s="648"/>
      <c r="L45" s="648"/>
      <c r="M45" s="648"/>
      <c r="N45" s="648"/>
      <c r="O45" s="648"/>
      <c r="P45" s="648"/>
      <c r="Q45" s="648"/>
      <c r="R45" s="648"/>
      <c r="S45" s="648"/>
      <c r="T45" s="650"/>
      <c r="U45" s="648"/>
      <c r="V45" s="648"/>
      <c r="W45" s="656">
        <f>'15.PPP Annex'!BC4</f>
        <v>0</v>
      </c>
      <c r="X45" s="649">
        <f>'15.PPP Annex'!BC3</f>
        <v>0</v>
      </c>
      <c r="Y45" s="648"/>
      <c r="Z45" s="648"/>
      <c r="AA45" s="648"/>
      <c r="AB45" s="648"/>
      <c r="AC45" s="648"/>
      <c r="AD45" s="648"/>
      <c r="AE45" s="269"/>
      <c r="AF45" s="269"/>
      <c r="AG45" s="656">
        <f>'16.PM Annex'!BC4</f>
        <v>0</v>
      </c>
      <c r="AH45" s="656">
        <f>'16.PM Annex'!BC3</f>
        <v>0</v>
      </c>
      <c r="AI45" s="648"/>
      <c r="AJ45" s="648"/>
      <c r="AK45" s="648"/>
      <c r="AL45" s="648"/>
      <c r="AM45" s="656">
        <f>'18.Innovation'!BC4</f>
        <v>0</v>
      </c>
      <c r="AN45" s="656">
        <f>'18.Innovation'!BC3</f>
        <v>0</v>
      </c>
    </row>
    <row r="46" spans="1:40" s="157" customFormat="1" ht="30" x14ac:dyDescent="0.25">
      <c r="A46" s="3783" t="s">
        <v>4697</v>
      </c>
      <c r="B46" s="673" t="s">
        <v>4691</v>
      </c>
      <c r="C46" s="748">
        <f t="shared" si="2"/>
        <v>0</v>
      </c>
      <c r="D46" s="748">
        <f t="shared" si="3"/>
        <v>0</v>
      </c>
      <c r="E46" s="267">
        <f>'1.SD Facility Based Annex'!AP4</f>
        <v>0</v>
      </c>
      <c r="F46" s="267">
        <f>'1.SD Facility Based Annex'!AP3</f>
        <v>0</v>
      </c>
      <c r="G46" s="268">
        <f>'2.SD Community Based Annex'!AP4</f>
        <v>0</v>
      </c>
      <c r="H46" s="268">
        <f>'2.SD Community Based Annex'!AP3</f>
        <v>0</v>
      </c>
      <c r="I46" s="267">
        <f>'3.Community Intervention Annexn'!AP4</f>
        <v>0</v>
      </c>
      <c r="J46" s="267">
        <f>'3.Community Intervention Annexn'!AP3</f>
        <v>0</v>
      </c>
      <c r="K46" s="648">
        <f>'5.Infrastructure Annex'!AP4</f>
        <v>0</v>
      </c>
      <c r="L46" s="648">
        <f>'5.Infrastructure Annex'!AP3</f>
        <v>0</v>
      </c>
      <c r="M46" s="648">
        <f>'7.Referral Transport Annex'!AP4</f>
        <v>0</v>
      </c>
      <c r="N46" s="648">
        <f>'7.Referral Transport Annex'!AP3</f>
        <v>0</v>
      </c>
      <c r="O46" s="648">
        <f>'11.IEC-BCC Annex'!AP4</f>
        <v>0</v>
      </c>
      <c r="P46" s="648">
        <f>'11.IEC-BCC Annex'!AP3</f>
        <v>0</v>
      </c>
      <c r="Q46" s="648">
        <f>'12.Printing Annex'!AP4</f>
        <v>0</v>
      </c>
      <c r="R46" s="648">
        <f>'12.Printing Annex'!AP3</f>
        <v>0</v>
      </c>
      <c r="S46" s="648">
        <f>'13.Quality Assurance Annex'!AP4</f>
        <v>0</v>
      </c>
      <c r="T46" s="650">
        <f>'13.Quality Assurance Annex'!AP3</f>
        <v>0</v>
      </c>
      <c r="U46" s="648">
        <f>'4.Untied grants Annex'!AP4</f>
        <v>0</v>
      </c>
      <c r="V46" s="648">
        <f>'4.Untied grants Annex'!AP3</f>
        <v>0</v>
      </c>
      <c r="W46" s="648">
        <f>'15.PPP Annex'!AP4</f>
        <v>0</v>
      </c>
      <c r="X46" s="648">
        <f>'15.PPP Annex'!AP3</f>
        <v>0</v>
      </c>
      <c r="Y46" s="648">
        <f>'6.Procurement Annex'!AP4</f>
        <v>0</v>
      </c>
      <c r="Z46" s="648">
        <f>'6.Procurement Annex'!AP3</f>
        <v>0</v>
      </c>
      <c r="AA46" s="648">
        <f>'14.Drug warehouse &amp;Logistic Anx'!AP4</f>
        <v>0</v>
      </c>
      <c r="AB46" s="648">
        <f>'14.Drug warehouse &amp;Logistic Anx'!AP3</f>
        <v>0</v>
      </c>
      <c r="AC46" s="648">
        <f>'8.Human Resources (SD) Annex'!AP4</f>
        <v>0</v>
      </c>
      <c r="AD46" s="648">
        <f>'8.Human Resources (SD) Annex'!AP3</f>
        <v>0</v>
      </c>
      <c r="AE46" s="650">
        <f>'9.Training Annex'!AP4</f>
        <v>0</v>
      </c>
      <c r="AF46" s="650">
        <f>'9.Training Annex'!AP3</f>
        <v>0</v>
      </c>
      <c r="AG46" s="648">
        <f>'16.PM Annex'!AP4</f>
        <v>0</v>
      </c>
      <c r="AH46" s="648">
        <f>'16.PM Annex'!AP3</f>
        <v>0</v>
      </c>
      <c r="AI46" s="648">
        <f>'10.Review Research &amp; Surveillen'!AP4</f>
        <v>0</v>
      </c>
      <c r="AJ46" s="648">
        <f>'10.Review Research &amp; Surveillen'!AP3</f>
        <v>0</v>
      </c>
      <c r="AK46" s="648">
        <f>'17.IT Initiatives_SD'!AP4</f>
        <v>0</v>
      </c>
      <c r="AL46" s="648">
        <f>'17.IT Initiatives_SD'!AP3</f>
        <v>0</v>
      </c>
      <c r="AM46" s="648">
        <f>'18.Innovation'!AP4</f>
        <v>0</v>
      </c>
      <c r="AN46" s="648">
        <f>'18.Innovation'!AP3</f>
        <v>0</v>
      </c>
    </row>
    <row r="47" spans="1:40" s="157" customFormat="1" x14ac:dyDescent="0.25">
      <c r="A47" s="3783"/>
      <c r="B47" s="673" t="s">
        <v>3887</v>
      </c>
      <c r="C47" s="748">
        <f t="shared" si="2"/>
        <v>0</v>
      </c>
      <c r="D47" s="748">
        <f t="shared" si="3"/>
        <v>0</v>
      </c>
      <c r="E47" s="267">
        <f>'1.SD Facility Based Annex'!AQ4</f>
        <v>0</v>
      </c>
      <c r="F47" s="267">
        <f>'1.SD Facility Based Annex'!AQ3</f>
        <v>0</v>
      </c>
      <c r="G47" s="268">
        <f>'2.SD Community Based Annex'!AQ4</f>
        <v>0</v>
      </c>
      <c r="H47" s="268">
        <f>'2.SD Community Based Annex'!AQ3</f>
        <v>0</v>
      </c>
      <c r="I47" s="267">
        <f>'3.Community Intervention Annexn'!AQ4</f>
        <v>0</v>
      </c>
      <c r="J47" s="267">
        <f>'3.Community Intervention Annexn'!AQ3</f>
        <v>0</v>
      </c>
      <c r="K47" s="648">
        <f>'5.Infrastructure Annex'!AQ4</f>
        <v>0</v>
      </c>
      <c r="L47" s="648">
        <f>'5.Infrastructure Annex'!AQ3</f>
        <v>0</v>
      </c>
      <c r="M47" s="648">
        <f>'7.Referral Transport Annex'!AQ4</f>
        <v>0</v>
      </c>
      <c r="N47" s="648">
        <f>'7.Referral Transport Annex'!AQ3</f>
        <v>0</v>
      </c>
      <c r="O47" s="648">
        <f>'11.IEC-BCC Annex'!AQ4</f>
        <v>0</v>
      </c>
      <c r="P47" s="648">
        <f>'11.IEC-BCC Annex'!AQ3</f>
        <v>0</v>
      </c>
      <c r="Q47" s="648">
        <f>'12.Printing Annex'!AQ4</f>
        <v>0</v>
      </c>
      <c r="R47" s="648">
        <f>'12.Printing Annex'!AQ3</f>
        <v>0</v>
      </c>
      <c r="S47" s="648">
        <f>'13.Quality Assurance Annex'!AQ4</f>
        <v>0</v>
      </c>
      <c r="T47" s="650">
        <f>'13.Quality Assurance Annex'!AQ3</f>
        <v>0</v>
      </c>
      <c r="U47" s="648">
        <f>'4.Untied grants Annex'!AQ4</f>
        <v>0</v>
      </c>
      <c r="V47" s="648">
        <f>'4.Untied grants Annex'!AQ3</f>
        <v>0</v>
      </c>
      <c r="W47" s="648">
        <f>'15.PPP Annex'!AQ4</f>
        <v>0</v>
      </c>
      <c r="X47" s="648">
        <f>'15.PPP Annex'!AQ3</f>
        <v>0</v>
      </c>
      <c r="Y47" s="648">
        <f>'6.Procurement Annex'!AQ4</f>
        <v>0</v>
      </c>
      <c r="Z47" s="648">
        <f>'6.Procurement Annex'!AQ3</f>
        <v>0</v>
      </c>
      <c r="AA47" s="648">
        <f>'14.Drug warehouse &amp;Logistic Anx'!AQ4</f>
        <v>0</v>
      </c>
      <c r="AB47" s="648">
        <f>'14.Drug warehouse &amp;Logistic Anx'!AQ3</f>
        <v>0</v>
      </c>
      <c r="AC47" s="648">
        <f>'8.Human Resources (SD) Annex'!AQ4</f>
        <v>0</v>
      </c>
      <c r="AD47" s="648">
        <f>'8.Human Resources (SD) Annex'!AQ3</f>
        <v>0</v>
      </c>
      <c r="AE47" s="650">
        <f>'9.Training Annex'!AQ4</f>
        <v>0</v>
      </c>
      <c r="AF47" s="650">
        <f>'9.Training Annex'!AQ3</f>
        <v>0</v>
      </c>
      <c r="AG47" s="648">
        <f>'16.PM Annex'!AQ4</f>
        <v>0</v>
      </c>
      <c r="AH47" s="648">
        <f>'16.PM Annex'!AQ3</f>
        <v>0</v>
      </c>
      <c r="AI47" s="648">
        <f>'10.Review Research &amp; Surveillen'!AQ4</f>
        <v>0</v>
      </c>
      <c r="AJ47" s="648">
        <f>'10.Review Research &amp; Surveillen'!AQ3</f>
        <v>0</v>
      </c>
      <c r="AK47" s="648">
        <f>'17.IT Initiatives_SD'!AQ4</f>
        <v>0</v>
      </c>
      <c r="AL47" s="648">
        <f>'17.IT Initiatives_SD'!AQ3</f>
        <v>0</v>
      </c>
      <c r="AM47" s="648">
        <f>'18.Innovation'!AQ4</f>
        <v>0</v>
      </c>
      <c r="AN47" s="648">
        <f>'18.Innovation'!AQ3</f>
        <v>0</v>
      </c>
    </row>
    <row r="48" spans="1:40" s="157" customFormat="1" ht="30" x14ac:dyDescent="0.25">
      <c r="A48" s="3783"/>
      <c r="B48" s="673" t="s">
        <v>3885</v>
      </c>
      <c r="C48" s="748">
        <f t="shared" si="2"/>
        <v>0</v>
      </c>
      <c r="D48" s="748">
        <f t="shared" si="3"/>
        <v>0</v>
      </c>
      <c r="E48" s="267">
        <f>'1.SD Facility Based Annex'!AR4</f>
        <v>0</v>
      </c>
      <c r="F48" s="267">
        <f>'1.SD Facility Based Annex'!AR3</f>
        <v>0</v>
      </c>
      <c r="G48" s="268">
        <f>'2.SD Community Based Annex'!AR4</f>
        <v>0</v>
      </c>
      <c r="H48" s="268">
        <f>'2.SD Community Based Annex'!AR3</f>
        <v>0</v>
      </c>
      <c r="I48" s="267">
        <f>'3.Community Intervention Annexn'!AR4</f>
        <v>0</v>
      </c>
      <c r="J48" s="267">
        <f>'3.Community Intervention Annexn'!AR3</f>
        <v>0</v>
      </c>
      <c r="K48" s="648">
        <f>'5.Infrastructure Annex'!AR4</f>
        <v>0</v>
      </c>
      <c r="L48" s="648">
        <f>'5.Infrastructure Annex'!AR3</f>
        <v>0</v>
      </c>
      <c r="M48" s="648">
        <f>'7.Referral Transport Annex'!AR4</f>
        <v>0</v>
      </c>
      <c r="N48" s="648">
        <f>'7.Referral Transport Annex'!AR3</f>
        <v>0</v>
      </c>
      <c r="O48" s="648">
        <f>'11.IEC-BCC Annex'!AR4</f>
        <v>0</v>
      </c>
      <c r="P48" s="648">
        <f>'11.IEC-BCC Annex'!AR3</f>
        <v>0</v>
      </c>
      <c r="Q48" s="648">
        <f>'12.Printing Annex'!AR4</f>
        <v>0</v>
      </c>
      <c r="R48" s="648">
        <f>'12.Printing Annex'!AR3</f>
        <v>0</v>
      </c>
      <c r="S48" s="648">
        <f>'13.Quality Assurance Annex'!AR4</f>
        <v>0</v>
      </c>
      <c r="T48" s="650">
        <f>'13.Quality Assurance Annex'!AR3</f>
        <v>0</v>
      </c>
      <c r="U48" s="648">
        <f>'4.Untied grants Annex'!AR4</f>
        <v>0</v>
      </c>
      <c r="V48" s="648">
        <f>'4.Untied grants Annex'!AR3</f>
        <v>0</v>
      </c>
      <c r="W48" s="648">
        <f>'15.PPP Annex'!AR4</f>
        <v>0</v>
      </c>
      <c r="X48" s="648">
        <f>'15.PPP Annex'!AR3</f>
        <v>0</v>
      </c>
      <c r="Y48" s="648">
        <f>'6.Procurement Annex'!AR4</f>
        <v>0</v>
      </c>
      <c r="Z48" s="648">
        <f>'6.Procurement Annex'!AR3</f>
        <v>0</v>
      </c>
      <c r="AA48" s="648">
        <f>'14.Drug warehouse &amp;Logistic Anx'!AR4</f>
        <v>0</v>
      </c>
      <c r="AB48" s="648">
        <f>'14.Drug warehouse &amp;Logistic Anx'!AR3</f>
        <v>0</v>
      </c>
      <c r="AC48" s="648">
        <f>'8.Human Resources (SD) Annex'!AR4</f>
        <v>0</v>
      </c>
      <c r="AD48" s="648">
        <f>'8.Human Resources (SD) Annex'!AR3</f>
        <v>0</v>
      </c>
      <c r="AE48" s="650">
        <f>'9.Training Annex'!AR4</f>
        <v>0</v>
      </c>
      <c r="AF48" s="650">
        <f>'9.Training Annex'!AR3</f>
        <v>0</v>
      </c>
      <c r="AG48" s="648">
        <f>'16.PM Annex'!AR4</f>
        <v>0</v>
      </c>
      <c r="AH48" s="648">
        <f>'16.PM Annex'!AR3</f>
        <v>0</v>
      </c>
      <c r="AI48" s="648">
        <f>'10.Review Research &amp; Surveillen'!AR4</f>
        <v>0</v>
      </c>
      <c r="AJ48" s="648">
        <f>'10.Review Research &amp; Surveillen'!AR3</f>
        <v>0</v>
      </c>
      <c r="AK48" s="648">
        <f>'17.IT Initiatives_SD'!AR4</f>
        <v>0</v>
      </c>
      <c r="AL48" s="648">
        <f>'17.IT Initiatives_SD'!AR3</f>
        <v>0</v>
      </c>
      <c r="AM48" s="648">
        <f>'18.Innovation'!AR4</f>
        <v>0</v>
      </c>
      <c r="AN48" s="648">
        <f>'18.Innovation'!AR3</f>
        <v>0</v>
      </c>
    </row>
    <row r="49" spans="1:41" s="157" customFormat="1" x14ac:dyDescent="0.25">
      <c r="A49" s="3783"/>
      <c r="B49" s="673" t="s">
        <v>3883</v>
      </c>
      <c r="C49" s="748">
        <f t="shared" si="2"/>
        <v>0</v>
      </c>
      <c r="D49" s="748">
        <f t="shared" si="3"/>
        <v>0</v>
      </c>
      <c r="E49" s="267">
        <f>'1.SD Facility Based Annex'!AS4</f>
        <v>0</v>
      </c>
      <c r="F49" s="267">
        <f>'1.SD Facility Based Annex'!AS3</f>
        <v>0</v>
      </c>
      <c r="G49" s="268">
        <f>'2.SD Community Based Annex'!AS4</f>
        <v>0</v>
      </c>
      <c r="H49" s="268">
        <f>'2.SD Community Based Annex'!AS3</f>
        <v>0</v>
      </c>
      <c r="I49" s="267">
        <f>'3.Community Intervention Annexn'!AS4</f>
        <v>0</v>
      </c>
      <c r="J49" s="267">
        <f>'3.Community Intervention Annexn'!AS3</f>
        <v>0</v>
      </c>
      <c r="K49" s="648">
        <f>'5.Infrastructure Annex'!AS4</f>
        <v>0</v>
      </c>
      <c r="L49" s="648">
        <f>'5.Infrastructure Annex'!AS3</f>
        <v>0</v>
      </c>
      <c r="M49" s="648">
        <f>'7.Referral Transport Annex'!AS4</f>
        <v>0</v>
      </c>
      <c r="N49" s="648">
        <f>'7.Referral Transport Annex'!AS3</f>
        <v>0</v>
      </c>
      <c r="O49" s="648">
        <f>'11.IEC-BCC Annex'!AS4</f>
        <v>0</v>
      </c>
      <c r="P49" s="648">
        <f>'11.IEC-BCC Annex'!AS3</f>
        <v>0</v>
      </c>
      <c r="Q49" s="648">
        <f>'12.Printing Annex'!AS4</f>
        <v>0</v>
      </c>
      <c r="R49" s="648">
        <f>'12.Printing Annex'!AS3</f>
        <v>0</v>
      </c>
      <c r="S49" s="648">
        <f>'13.Quality Assurance Annex'!AS4</f>
        <v>0</v>
      </c>
      <c r="T49" s="650">
        <f>'13.Quality Assurance Annex'!AS3</f>
        <v>0</v>
      </c>
      <c r="U49" s="648">
        <f>'4.Untied grants Annex'!AS4</f>
        <v>0</v>
      </c>
      <c r="V49" s="648">
        <f>'4.Untied grants Annex'!AS3</f>
        <v>0</v>
      </c>
      <c r="W49" s="648">
        <f>'15.PPP Annex'!AS4</f>
        <v>0</v>
      </c>
      <c r="X49" s="648">
        <f>'15.PPP Annex'!AS3</f>
        <v>0</v>
      </c>
      <c r="Y49" s="648">
        <f>'6.Procurement Annex'!AS4</f>
        <v>0</v>
      </c>
      <c r="Z49" s="648">
        <f>'6.Procurement Annex'!AS3</f>
        <v>0</v>
      </c>
      <c r="AA49" s="648">
        <f>'14.Drug warehouse &amp;Logistic Anx'!AS4</f>
        <v>0</v>
      </c>
      <c r="AB49" s="648">
        <f>'14.Drug warehouse &amp;Logistic Anx'!AS3</f>
        <v>0</v>
      </c>
      <c r="AC49" s="648">
        <f>'8.Human Resources (SD) Annex'!AS4</f>
        <v>0</v>
      </c>
      <c r="AD49" s="648">
        <f>'8.Human Resources (SD) Annex'!AS3</f>
        <v>0</v>
      </c>
      <c r="AE49" s="650">
        <f>'9.Training Annex'!AS4</f>
        <v>0</v>
      </c>
      <c r="AF49" s="650">
        <f>'9.Training Annex'!AS3</f>
        <v>0</v>
      </c>
      <c r="AG49" s="648">
        <f>'16.PM Annex'!AS4</f>
        <v>0</v>
      </c>
      <c r="AH49" s="648">
        <f>'16.PM Annex'!AS3</f>
        <v>0</v>
      </c>
      <c r="AI49" s="648">
        <f>'10.Review Research &amp; Surveillen'!AS4</f>
        <v>0</v>
      </c>
      <c r="AJ49" s="648">
        <f>'10.Review Research &amp; Surveillen'!AS3</f>
        <v>0</v>
      </c>
      <c r="AK49" s="648">
        <f>'17.IT Initiatives_SD'!AS4</f>
        <v>0</v>
      </c>
      <c r="AL49" s="648">
        <f>'17.IT Initiatives_SD'!AS3</f>
        <v>0</v>
      </c>
      <c r="AM49" s="648">
        <f>'18.Innovation'!AS4</f>
        <v>0</v>
      </c>
      <c r="AN49" s="648">
        <f>'18.Innovation'!AS3</f>
        <v>0</v>
      </c>
    </row>
    <row r="50" spans="1:41" s="157" customFormat="1" ht="45" x14ac:dyDescent="0.25">
      <c r="A50" s="3783"/>
      <c r="B50" s="673" t="s">
        <v>3888</v>
      </c>
      <c r="C50" s="748">
        <f t="shared" si="2"/>
        <v>0</v>
      </c>
      <c r="D50" s="748">
        <f t="shared" si="3"/>
        <v>0</v>
      </c>
      <c r="E50" s="267">
        <f>'1.SD Facility Based Annex'!AT4</f>
        <v>0</v>
      </c>
      <c r="F50" s="267">
        <f>'1.SD Facility Based Annex'!AT3</f>
        <v>0</v>
      </c>
      <c r="G50" s="268">
        <f>'2.SD Community Based Annex'!AT4</f>
        <v>0</v>
      </c>
      <c r="H50" s="268">
        <f>'2.SD Community Based Annex'!AT3</f>
        <v>0</v>
      </c>
      <c r="I50" s="267">
        <f>'3.Community Intervention Annexn'!AT4</f>
        <v>0</v>
      </c>
      <c r="J50" s="267">
        <f>'3.Community Intervention Annexn'!AT3</f>
        <v>0</v>
      </c>
      <c r="K50" s="648">
        <f>'5.Infrastructure Annex'!AT4</f>
        <v>0</v>
      </c>
      <c r="L50" s="648">
        <f>'5.Infrastructure Annex'!AT3</f>
        <v>0</v>
      </c>
      <c r="M50" s="648">
        <f>'7.Referral Transport Annex'!AT4</f>
        <v>0</v>
      </c>
      <c r="N50" s="648">
        <f>'7.Referral Transport Annex'!AT3</f>
        <v>0</v>
      </c>
      <c r="O50" s="648">
        <f>'11.IEC-BCC Annex'!AT4</f>
        <v>0</v>
      </c>
      <c r="P50" s="648">
        <f>'11.IEC-BCC Annex'!AT3</f>
        <v>0</v>
      </c>
      <c r="Q50" s="648">
        <f>'12.Printing Annex'!AT4</f>
        <v>0</v>
      </c>
      <c r="R50" s="648">
        <f>'12.Printing Annex'!AT3</f>
        <v>0</v>
      </c>
      <c r="S50" s="648">
        <f>'13.Quality Assurance Annex'!AT4</f>
        <v>0</v>
      </c>
      <c r="T50" s="650">
        <f>'13.Quality Assurance Annex'!AT3</f>
        <v>0</v>
      </c>
      <c r="U50" s="648">
        <f>'4.Untied grants Annex'!AT4</f>
        <v>0</v>
      </c>
      <c r="V50" s="648">
        <f>'4.Untied grants Annex'!AT3</f>
        <v>0</v>
      </c>
      <c r="W50" s="648">
        <f>'15.PPP Annex'!AT4</f>
        <v>0</v>
      </c>
      <c r="X50" s="648">
        <f>'15.PPP Annex'!AT3</f>
        <v>0</v>
      </c>
      <c r="Y50" s="648">
        <f>'6.Procurement Annex'!AT4</f>
        <v>0</v>
      </c>
      <c r="Z50" s="648">
        <f>'6.Procurement Annex'!AT3</f>
        <v>0</v>
      </c>
      <c r="AA50" s="648">
        <f>'14.Drug warehouse &amp;Logistic Anx'!AT4</f>
        <v>0</v>
      </c>
      <c r="AB50" s="648">
        <f>'14.Drug warehouse &amp;Logistic Anx'!AT3</f>
        <v>0</v>
      </c>
      <c r="AC50" s="648">
        <f>'8.Human Resources (SD) Annex'!AT4</f>
        <v>0</v>
      </c>
      <c r="AD50" s="648">
        <f>'8.Human Resources (SD) Annex'!AT3</f>
        <v>0</v>
      </c>
      <c r="AE50" s="650">
        <f>'9.Training Annex'!AT4</f>
        <v>0</v>
      </c>
      <c r="AF50" s="650">
        <f>'9.Training Annex'!AT3</f>
        <v>0</v>
      </c>
      <c r="AG50" s="648">
        <f>'16.PM Annex'!AT4</f>
        <v>0</v>
      </c>
      <c r="AH50" s="648">
        <f>'16.PM Annex'!AT3</f>
        <v>0</v>
      </c>
      <c r="AI50" s="648">
        <f>'10.Review Research &amp; Surveillen'!AT4</f>
        <v>0</v>
      </c>
      <c r="AJ50" s="648">
        <f>'10.Review Research &amp; Surveillen'!AT3</f>
        <v>0</v>
      </c>
      <c r="AK50" s="648">
        <f>'17.IT Initiatives_SD'!AT4</f>
        <v>0</v>
      </c>
      <c r="AL50" s="648">
        <f>'17.IT Initiatives_SD'!AT3</f>
        <v>0</v>
      </c>
      <c r="AM50" s="648">
        <f>'18.Innovation'!AT4</f>
        <v>0</v>
      </c>
      <c r="AN50" s="648">
        <f>'18.Innovation'!AT3</f>
        <v>0</v>
      </c>
    </row>
    <row r="51" spans="1:41" s="157" customFormat="1" ht="30" x14ac:dyDescent="0.25">
      <c r="A51" s="3783"/>
      <c r="B51" s="673" t="s">
        <v>4692</v>
      </c>
      <c r="C51" s="748">
        <f t="shared" si="2"/>
        <v>510</v>
      </c>
      <c r="D51" s="748">
        <f t="shared" si="3"/>
        <v>0</v>
      </c>
      <c r="E51" s="267">
        <f>'1.SD Facility Based Annex'!AU4</f>
        <v>0</v>
      </c>
      <c r="F51" s="267">
        <f>'1.SD Facility Based Annex'!AU3</f>
        <v>0</v>
      </c>
      <c r="G51" s="268">
        <f>'2.SD Community Based Annex'!AU4</f>
        <v>0</v>
      </c>
      <c r="H51" s="268">
        <f>'2.SD Community Based Annex'!AU3</f>
        <v>0</v>
      </c>
      <c r="I51" s="267">
        <f>'3.Community Intervention Annexn'!AU4</f>
        <v>0</v>
      </c>
      <c r="J51" s="267">
        <f>'3.Community Intervention Annexn'!AU3</f>
        <v>0</v>
      </c>
      <c r="K51" s="648">
        <f>'5.Infrastructure Annex'!AU4</f>
        <v>0</v>
      </c>
      <c r="L51" s="648">
        <f>'5.Infrastructure Annex'!AU3</f>
        <v>0</v>
      </c>
      <c r="M51" s="648">
        <f>'7.Referral Transport Annex'!AU4</f>
        <v>0</v>
      </c>
      <c r="N51" s="648">
        <f>'7.Referral Transport Annex'!AU3</f>
        <v>0</v>
      </c>
      <c r="O51" s="648">
        <f>'11.IEC-BCC Annex'!AU4</f>
        <v>0</v>
      </c>
      <c r="P51" s="648">
        <f>'11.IEC-BCC Annex'!AU3</f>
        <v>0</v>
      </c>
      <c r="Q51" s="648">
        <f>'12.Printing Annex'!AU4</f>
        <v>0</v>
      </c>
      <c r="R51" s="648">
        <f>'12.Printing Annex'!AU3</f>
        <v>0</v>
      </c>
      <c r="S51" s="648">
        <f>'13.Quality Assurance Annex'!AU4</f>
        <v>0</v>
      </c>
      <c r="T51" s="650">
        <f>'13.Quality Assurance Annex'!AU3</f>
        <v>0</v>
      </c>
      <c r="U51" s="648">
        <f>'4.Untied grants Annex'!AU4</f>
        <v>0</v>
      </c>
      <c r="V51" s="648">
        <f>'4.Untied grants Annex'!AU3</f>
        <v>0</v>
      </c>
      <c r="W51" s="648">
        <f>'15.PPP Annex'!AU4</f>
        <v>0</v>
      </c>
      <c r="X51" s="648">
        <f>'15.PPP Annex'!AU3</f>
        <v>0</v>
      </c>
      <c r="Y51" s="648">
        <f>'6.Procurement Annex'!AU4</f>
        <v>510</v>
      </c>
      <c r="Z51" s="648">
        <f>'6.Procurement Annex'!AU3</f>
        <v>0</v>
      </c>
      <c r="AA51" s="648">
        <f>'14.Drug warehouse &amp;Logistic Anx'!AU4</f>
        <v>0</v>
      </c>
      <c r="AB51" s="648">
        <f>'14.Drug warehouse &amp;Logistic Anx'!AU3</f>
        <v>0</v>
      </c>
      <c r="AC51" s="648">
        <f>'8.Human Resources (SD) Annex'!AU4</f>
        <v>0</v>
      </c>
      <c r="AD51" s="648">
        <f>'8.Human Resources (SD) Annex'!AU3</f>
        <v>0</v>
      </c>
      <c r="AE51" s="650">
        <f>'9.Training Annex'!AU4</f>
        <v>0</v>
      </c>
      <c r="AF51" s="650">
        <f>'9.Training Annex'!AU3</f>
        <v>0</v>
      </c>
      <c r="AG51" s="648">
        <f>'16.PM Annex'!AU4</f>
        <v>0</v>
      </c>
      <c r="AH51" s="648">
        <f>'16.PM Annex'!AU3</f>
        <v>0</v>
      </c>
      <c r="AI51" s="648">
        <f>'10.Review Research &amp; Surveillen'!AU4</f>
        <v>0</v>
      </c>
      <c r="AJ51" s="648">
        <f>'10.Review Research &amp; Surveillen'!AU3</f>
        <v>0</v>
      </c>
      <c r="AK51" s="648">
        <f>'17.IT Initiatives_SD'!AU4</f>
        <v>0</v>
      </c>
      <c r="AL51" s="648">
        <f>'17.IT Initiatives_SD'!AU3</f>
        <v>0</v>
      </c>
      <c r="AM51" s="648">
        <f>'18.Innovation'!AU4</f>
        <v>0</v>
      </c>
      <c r="AN51" s="648">
        <f>'18.Innovation'!AU3</f>
        <v>0</v>
      </c>
    </row>
    <row r="52" spans="1:41" s="157" customFormat="1" ht="30" x14ac:dyDescent="0.25">
      <c r="A52" s="3783"/>
      <c r="B52" s="673" t="s">
        <v>4143</v>
      </c>
      <c r="C52" s="748">
        <f t="shared" si="2"/>
        <v>0</v>
      </c>
      <c r="D52" s="748">
        <f t="shared" si="3"/>
        <v>0</v>
      </c>
      <c r="E52" s="267">
        <f>'1.SD Facility Based Annex'!AV4</f>
        <v>0</v>
      </c>
      <c r="F52" s="267">
        <f>'1.SD Facility Based Annex'!AV3</f>
        <v>0</v>
      </c>
      <c r="G52" s="268">
        <f>'2.SD Community Based Annex'!AV4</f>
        <v>0</v>
      </c>
      <c r="H52" s="268">
        <f>'2.SD Community Based Annex'!AV3</f>
        <v>0</v>
      </c>
      <c r="I52" s="267">
        <f>'3.Community Intervention Annexn'!AV4</f>
        <v>0</v>
      </c>
      <c r="J52" s="267">
        <f>'3.Community Intervention Annexn'!AV3</f>
        <v>0</v>
      </c>
      <c r="K52" s="648">
        <f>'5.Infrastructure Annex'!AV4</f>
        <v>0</v>
      </c>
      <c r="L52" s="648">
        <f>'5.Infrastructure Annex'!AV3</f>
        <v>0</v>
      </c>
      <c r="M52" s="648">
        <f>'7.Referral Transport Annex'!AV4</f>
        <v>0</v>
      </c>
      <c r="N52" s="648">
        <f>'7.Referral Transport Annex'!AV3</f>
        <v>0</v>
      </c>
      <c r="O52" s="648">
        <f>'11.IEC-BCC Annex'!AV4</f>
        <v>0</v>
      </c>
      <c r="P52" s="648">
        <f>'11.IEC-BCC Annex'!AV3</f>
        <v>0</v>
      </c>
      <c r="Q52" s="648">
        <f>'12.Printing Annex'!AV4</f>
        <v>0</v>
      </c>
      <c r="R52" s="648">
        <f>'12.Printing Annex'!AV3</f>
        <v>0</v>
      </c>
      <c r="S52" s="648">
        <f>'13.Quality Assurance Annex'!AV4</f>
        <v>0</v>
      </c>
      <c r="T52" s="650">
        <f>'13.Quality Assurance Annex'!AV3</f>
        <v>0</v>
      </c>
      <c r="U52" s="648">
        <f>'4.Untied grants Annex'!AV4</f>
        <v>0</v>
      </c>
      <c r="V52" s="648">
        <f>'4.Untied grants Annex'!AV3</f>
        <v>0</v>
      </c>
      <c r="W52" s="648">
        <f>'15.PPP Annex'!AV4</f>
        <v>0</v>
      </c>
      <c r="X52" s="648">
        <f>'15.PPP Annex'!AV3</f>
        <v>0</v>
      </c>
      <c r="Y52" s="648">
        <f>'6.Procurement Annex'!AV4</f>
        <v>0</v>
      </c>
      <c r="Z52" s="648">
        <f>'6.Procurement Annex'!AV3</f>
        <v>0</v>
      </c>
      <c r="AA52" s="648">
        <f>'14.Drug warehouse &amp;Logistic Anx'!AV4</f>
        <v>0</v>
      </c>
      <c r="AB52" s="648">
        <f>'14.Drug warehouse &amp;Logistic Anx'!AV3</f>
        <v>0</v>
      </c>
      <c r="AC52" s="648">
        <f>'8.Human Resources (SD) Annex'!AV4</f>
        <v>0</v>
      </c>
      <c r="AD52" s="648">
        <f>'8.Human Resources (SD) Annex'!AV3</f>
        <v>0</v>
      </c>
      <c r="AE52" s="650">
        <f>'9.Training Annex'!AV4</f>
        <v>0</v>
      </c>
      <c r="AF52" s="650">
        <f>'9.Training Annex'!AV3</f>
        <v>0</v>
      </c>
      <c r="AG52" s="648">
        <f>'16.PM Annex'!AV4</f>
        <v>0</v>
      </c>
      <c r="AH52" s="648">
        <f>'16.PM Annex'!AV3</f>
        <v>0</v>
      </c>
      <c r="AI52" s="648">
        <f>'10.Review Research &amp; Surveillen'!AV4</f>
        <v>0</v>
      </c>
      <c r="AJ52" s="648">
        <f>'10.Review Research &amp; Surveillen'!AV3</f>
        <v>0</v>
      </c>
      <c r="AK52" s="648">
        <f>'17.IT Initiatives_SD'!AV4</f>
        <v>0</v>
      </c>
      <c r="AL52" s="648">
        <f>'17.IT Initiatives_SD'!AV3</f>
        <v>0</v>
      </c>
      <c r="AM52" s="648">
        <f>'18.Innovation'!AV4</f>
        <v>0</v>
      </c>
      <c r="AN52" s="648">
        <f>'18.Innovation'!AV3</f>
        <v>0</v>
      </c>
      <c r="AO52" s="73"/>
    </row>
    <row r="53" spans="1:41" x14ac:dyDescent="0.25">
      <c r="A53" s="3783"/>
      <c r="B53" s="673" t="s">
        <v>3878</v>
      </c>
      <c r="C53" s="748">
        <f t="shared" si="2"/>
        <v>0</v>
      </c>
      <c r="D53" s="748">
        <f t="shared" si="3"/>
        <v>0</v>
      </c>
      <c r="E53" s="267">
        <f>'1.SD Facility Based Annex'!AW4</f>
        <v>0</v>
      </c>
      <c r="F53" s="267">
        <f>'1.SD Facility Based Annex'!AW3</f>
        <v>0</v>
      </c>
      <c r="G53" s="268">
        <f>'2.SD Community Based Annex'!AW4</f>
        <v>0</v>
      </c>
      <c r="H53" s="268">
        <f>'2.SD Community Based Annex'!AW3</f>
        <v>0</v>
      </c>
      <c r="I53" s="267">
        <f>'3.Community Intervention Annexn'!AW4</f>
        <v>0</v>
      </c>
      <c r="J53" s="267">
        <f>'3.Community Intervention Annexn'!AW3</f>
        <v>0</v>
      </c>
      <c r="K53" s="648">
        <f>'5.Infrastructure Annex'!AW4</f>
        <v>0</v>
      </c>
      <c r="L53" s="648">
        <f>'5.Infrastructure Annex'!AW3</f>
        <v>0</v>
      </c>
      <c r="M53" s="648">
        <f>'7.Referral Transport Annex'!AW4</f>
        <v>0</v>
      </c>
      <c r="N53" s="648">
        <f>'7.Referral Transport Annex'!AW3</f>
        <v>0</v>
      </c>
      <c r="O53" s="648">
        <f>'11.IEC-BCC Annex'!AW4</f>
        <v>0</v>
      </c>
      <c r="P53" s="648">
        <f>'11.IEC-BCC Annex'!AW3</f>
        <v>0</v>
      </c>
      <c r="Q53" s="648">
        <f>'12.Printing Annex'!AW4</f>
        <v>0</v>
      </c>
      <c r="R53" s="648">
        <f>'12.Printing Annex'!AW3</f>
        <v>0</v>
      </c>
      <c r="S53" s="648">
        <f>'13.Quality Assurance Annex'!AW4</f>
        <v>0</v>
      </c>
      <c r="T53" s="650">
        <f>'13.Quality Assurance Annex'!AW3</f>
        <v>0</v>
      </c>
      <c r="U53" s="648">
        <f>'4.Untied grants Annex'!AW4</f>
        <v>0</v>
      </c>
      <c r="V53" s="648">
        <f>'4.Untied grants Annex'!AW3</f>
        <v>0</v>
      </c>
      <c r="W53" s="648">
        <f>'15.PPP Annex'!AW4</f>
        <v>0</v>
      </c>
      <c r="X53" s="648">
        <f>'15.PPP Annex'!AW3</f>
        <v>0</v>
      </c>
      <c r="Y53" s="648">
        <f>'6.Procurement Annex'!AW4</f>
        <v>0</v>
      </c>
      <c r="Z53" s="648">
        <f>'6.Procurement Annex'!AW3</f>
        <v>0</v>
      </c>
      <c r="AA53" s="648">
        <f>'14.Drug warehouse &amp;Logistic Anx'!AW4</f>
        <v>0</v>
      </c>
      <c r="AB53" s="648">
        <f>'14.Drug warehouse &amp;Logistic Anx'!AW3</f>
        <v>0</v>
      </c>
      <c r="AC53" s="648">
        <f>'8.Human Resources (SD) Annex'!AW4</f>
        <v>0</v>
      </c>
      <c r="AD53" s="648">
        <f>'8.Human Resources (SD) Annex'!AW3</f>
        <v>0</v>
      </c>
      <c r="AE53" s="650">
        <f>'9.Training Annex'!AW4</f>
        <v>0</v>
      </c>
      <c r="AF53" s="650">
        <f>'9.Training Annex'!AW3</f>
        <v>0</v>
      </c>
      <c r="AG53" s="648">
        <f>'16.PM Annex'!AW4</f>
        <v>0</v>
      </c>
      <c r="AH53" s="648">
        <f>'16.PM Annex'!AW3</f>
        <v>0</v>
      </c>
      <c r="AI53" s="648">
        <f>'10.Review Research &amp; Surveillen'!AW4</f>
        <v>0</v>
      </c>
      <c r="AJ53" s="648">
        <f>'10.Review Research &amp; Surveillen'!AW3</f>
        <v>0</v>
      </c>
      <c r="AK53" s="648">
        <f>'17.IT Initiatives_SD'!AW4</f>
        <v>0</v>
      </c>
      <c r="AL53" s="648">
        <f>'17.IT Initiatives_SD'!AW3</f>
        <v>0</v>
      </c>
      <c r="AM53" s="648">
        <f>'18.Innovation'!AW4</f>
        <v>0</v>
      </c>
      <c r="AN53" s="648">
        <f>'18.Innovation'!AW3</f>
        <v>0</v>
      </c>
    </row>
    <row r="54" spans="1:41" x14ac:dyDescent="0.25">
      <c r="A54" s="3783"/>
      <c r="B54" s="673" t="s">
        <v>4080</v>
      </c>
      <c r="C54" s="748">
        <f t="shared" si="2"/>
        <v>0</v>
      </c>
      <c r="D54" s="748">
        <f t="shared" si="3"/>
        <v>0</v>
      </c>
      <c r="E54" s="267">
        <f>'1.SD Facility Based Annex'!AX4</f>
        <v>0</v>
      </c>
      <c r="F54" s="267">
        <f>'1.SD Facility Based Annex'!AX3</f>
        <v>0</v>
      </c>
      <c r="G54" s="268">
        <f>'2.SD Community Based Annex'!AX4</f>
        <v>0</v>
      </c>
      <c r="H54" s="268">
        <f>'2.SD Community Based Annex'!AX3</f>
        <v>0</v>
      </c>
      <c r="I54" s="267">
        <f>'3.Community Intervention Annexn'!AX4</f>
        <v>0</v>
      </c>
      <c r="J54" s="267">
        <f>'3.Community Intervention Annexn'!AX3</f>
        <v>0</v>
      </c>
      <c r="K54" s="648">
        <f>'5.Infrastructure Annex'!AX4</f>
        <v>0</v>
      </c>
      <c r="L54" s="648">
        <f>'5.Infrastructure Annex'!AX3</f>
        <v>0</v>
      </c>
      <c r="M54" s="648">
        <f>'7.Referral Transport Annex'!AX4</f>
        <v>0</v>
      </c>
      <c r="N54" s="648">
        <f>'7.Referral Transport Annex'!AX3</f>
        <v>0</v>
      </c>
      <c r="O54" s="648">
        <f>'11.IEC-BCC Annex'!AX4</f>
        <v>0</v>
      </c>
      <c r="P54" s="648">
        <f>'11.IEC-BCC Annex'!AX3</f>
        <v>0</v>
      </c>
      <c r="Q54" s="648">
        <f>'12.Printing Annex'!AX4</f>
        <v>0</v>
      </c>
      <c r="R54" s="648">
        <f>'12.Printing Annex'!AX3</f>
        <v>0</v>
      </c>
      <c r="S54" s="648">
        <f>'13.Quality Assurance Annex'!AX4</f>
        <v>0</v>
      </c>
      <c r="T54" s="650">
        <f>'13.Quality Assurance Annex'!AX3</f>
        <v>0</v>
      </c>
      <c r="U54" s="648">
        <f>'4.Untied grants Annex'!AX4</f>
        <v>0</v>
      </c>
      <c r="V54" s="648">
        <f>'4.Untied grants Annex'!AX3</f>
        <v>0</v>
      </c>
      <c r="W54" s="648">
        <f>'15.PPP Annex'!AX4</f>
        <v>0</v>
      </c>
      <c r="X54" s="648">
        <f>'15.PPP Annex'!AX3</f>
        <v>0</v>
      </c>
      <c r="Y54" s="648">
        <f>'6.Procurement Annex'!AX4</f>
        <v>0</v>
      </c>
      <c r="Z54" s="648">
        <f>'6.Procurement Annex'!AX3</f>
        <v>0</v>
      </c>
      <c r="AA54" s="648">
        <f>'14.Drug warehouse &amp;Logistic Anx'!AX4</f>
        <v>0</v>
      </c>
      <c r="AB54" s="648">
        <f>'14.Drug warehouse &amp;Logistic Anx'!AX3</f>
        <v>0</v>
      </c>
      <c r="AC54" s="648">
        <f>'8.Human Resources (SD) Annex'!AX4</f>
        <v>0</v>
      </c>
      <c r="AD54" s="648">
        <f>'8.Human Resources (SD) Annex'!AX3</f>
        <v>0</v>
      </c>
      <c r="AE54" s="650">
        <f>'9.Training Annex'!AX4</f>
        <v>0</v>
      </c>
      <c r="AF54" s="650">
        <f>'9.Training Annex'!AX3</f>
        <v>0</v>
      </c>
      <c r="AG54" s="648">
        <f>'16.PM Annex'!AX4</f>
        <v>0</v>
      </c>
      <c r="AH54" s="648">
        <f>'16.PM Annex'!AX3</f>
        <v>0</v>
      </c>
      <c r="AI54" s="648">
        <f>'10.Review Research &amp; Surveillen'!AX4</f>
        <v>0</v>
      </c>
      <c r="AJ54" s="648">
        <f>'10.Review Research &amp; Surveillen'!AX3</f>
        <v>0</v>
      </c>
      <c r="AK54" s="648">
        <f>'17.IT Initiatives_SD'!AX4</f>
        <v>0</v>
      </c>
      <c r="AL54" s="648">
        <f>'17.IT Initiatives_SD'!AX3</f>
        <v>0</v>
      </c>
      <c r="AM54" s="648">
        <f>'18.Innovation'!AX4</f>
        <v>0</v>
      </c>
      <c r="AN54" s="648">
        <f>'18.Innovation'!AX3</f>
        <v>0</v>
      </c>
    </row>
    <row r="55" spans="1:41" ht="30" x14ac:dyDescent="0.25">
      <c r="A55" s="3783"/>
      <c r="B55" s="673" t="s">
        <v>4693</v>
      </c>
      <c r="C55" s="748">
        <f t="shared" si="2"/>
        <v>0</v>
      </c>
      <c r="D55" s="748">
        <f t="shared" si="3"/>
        <v>0</v>
      </c>
      <c r="E55" s="267">
        <f>'1.SD Facility Based Annex'!AY4</f>
        <v>0</v>
      </c>
      <c r="F55" s="267">
        <f>'1.SD Facility Based Annex'!AY3</f>
        <v>0</v>
      </c>
      <c r="G55" s="268">
        <f>'2.SD Community Based Annex'!AY4</f>
        <v>0</v>
      </c>
      <c r="H55" s="268">
        <f>'2.SD Community Based Annex'!AY3</f>
        <v>0</v>
      </c>
      <c r="I55" s="267">
        <f>'3.Community Intervention Annexn'!AY4</f>
        <v>0</v>
      </c>
      <c r="J55" s="267">
        <f>'3.Community Intervention Annexn'!AY3</f>
        <v>0</v>
      </c>
      <c r="K55" s="648">
        <f>'5.Infrastructure Annex'!AY4</f>
        <v>0</v>
      </c>
      <c r="L55" s="648">
        <f>'5.Infrastructure Annex'!AY3</f>
        <v>0</v>
      </c>
      <c r="M55" s="648">
        <f>'7.Referral Transport Annex'!AY4</f>
        <v>0</v>
      </c>
      <c r="N55" s="648">
        <f>'7.Referral Transport Annex'!AY3</f>
        <v>0</v>
      </c>
      <c r="O55" s="648">
        <f>'11.IEC-BCC Annex'!AY4</f>
        <v>0</v>
      </c>
      <c r="P55" s="648">
        <f>'11.IEC-BCC Annex'!AY3</f>
        <v>0</v>
      </c>
      <c r="Q55" s="648">
        <f>'12.Printing Annex'!AY4</f>
        <v>0</v>
      </c>
      <c r="R55" s="648">
        <f>'12.Printing Annex'!AY3</f>
        <v>0</v>
      </c>
      <c r="S55" s="648">
        <f>'13.Quality Assurance Annex'!AY4</f>
        <v>0</v>
      </c>
      <c r="T55" s="650">
        <f>'13.Quality Assurance Annex'!AY3</f>
        <v>0</v>
      </c>
      <c r="U55" s="648">
        <f>'4.Untied grants Annex'!AY4</f>
        <v>0</v>
      </c>
      <c r="V55" s="648">
        <f>'4.Untied grants Annex'!AY3</f>
        <v>0</v>
      </c>
      <c r="W55" s="648">
        <f>'15.PPP Annex'!AY4</f>
        <v>0</v>
      </c>
      <c r="X55" s="648">
        <f>'15.PPP Annex'!AY3</f>
        <v>0</v>
      </c>
      <c r="Y55" s="648">
        <f>'6.Procurement Annex'!AY4</f>
        <v>0</v>
      </c>
      <c r="Z55" s="648">
        <f>'6.Procurement Annex'!AY3</f>
        <v>0</v>
      </c>
      <c r="AA55" s="648">
        <f>'14.Drug warehouse &amp;Logistic Anx'!AY4</f>
        <v>0</v>
      </c>
      <c r="AB55" s="648">
        <f>'14.Drug warehouse &amp;Logistic Anx'!AY3</f>
        <v>0</v>
      </c>
      <c r="AC55" s="648">
        <f>'8.Human Resources (SD) Annex'!AY4</f>
        <v>0</v>
      </c>
      <c r="AD55" s="648">
        <f>'8.Human Resources (SD) Annex'!AY3</f>
        <v>0</v>
      </c>
      <c r="AE55" s="650">
        <f>'9.Training Annex'!AY4</f>
        <v>0</v>
      </c>
      <c r="AF55" s="650">
        <f>'9.Training Annex'!AY3</f>
        <v>0</v>
      </c>
      <c r="AG55" s="648">
        <f>'16.PM Annex'!AY4</f>
        <v>0</v>
      </c>
      <c r="AH55" s="648">
        <f>'16.PM Annex'!AY3</f>
        <v>0</v>
      </c>
      <c r="AI55" s="648">
        <f>'10.Review Research &amp; Surveillen'!AY4</f>
        <v>0</v>
      </c>
      <c r="AJ55" s="648">
        <f>'10.Review Research &amp; Surveillen'!AY3</f>
        <v>0</v>
      </c>
      <c r="AK55" s="648">
        <f>'17.IT Initiatives_SD'!AY4</f>
        <v>0</v>
      </c>
      <c r="AL55" s="648">
        <f>'17.IT Initiatives_SD'!AY3</f>
        <v>0</v>
      </c>
      <c r="AM55" s="648">
        <f>'18.Innovation'!AY4</f>
        <v>0</v>
      </c>
      <c r="AN55" s="648">
        <f>'18.Innovation'!AY3</f>
        <v>0</v>
      </c>
    </row>
    <row r="56" spans="1:41" ht="30" x14ac:dyDescent="0.25">
      <c r="A56" s="3783"/>
      <c r="B56" s="673" t="s">
        <v>4694</v>
      </c>
      <c r="C56" s="748">
        <f t="shared" si="2"/>
        <v>0</v>
      </c>
      <c r="D56" s="748">
        <f t="shared" si="3"/>
        <v>0</v>
      </c>
      <c r="E56" s="267">
        <f>'1.SD Facility Based Annex'!AZ4</f>
        <v>0</v>
      </c>
      <c r="F56" s="267">
        <f>'1.SD Facility Based Annex'!AZ3</f>
        <v>0</v>
      </c>
      <c r="G56" s="268">
        <f>'2.SD Community Based Annex'!AZ4</f>
        <v>0</v>
      </c>
      <c r="H56" s="268">
        <f>'2.SD Community Based Annex'!AZ3</f>
        <v>0</v>
      </c>
      <c r="I56" s="267">
        <f>'3.Community Intervention Annexn'!AZ4</f>
        <v>0</v>
      </c>
      <c r="J56" s="267">
        <f>'3.Community Intervention Annexn'!AZ3</f>
        <v>0</v>
      </c>
      <c r="K56" s="648">
        <f>'5.Infrastructure Annex'!AZ4</f>
        <v>0</v>
      </c>
      <c r="L56" s="648">
        <f>'5.Infrastructure Annex'!AZ3</f>
        <v>0</v>
      </c>
      <c r="M56" s="648">
        <f>'7.Referral Transport Annex'!AZ4</f>
        <v>0</v>
      </c>
      <c r="N56" s="648">
        <f>'7.Referral Transport Annex'!AZ3</f>
        <v>0</v>
      </c>
      <c r="O56" s="648">
        <f>'11.IEC-BCC Annex'!AZ4</f>
        <v>0</v>
      </c>
      <c r="P56" s="648">
        <f>'11.IEC-BCC Annex'!AZ3</f>
        <v>0</v>
      </c>
      <c r="Q56" s="648">
        <f>'12.Printing Annex'!AZ4</f>
        <v>0</v>
      </c>
      <c r="R56" s="648">
        <f>'12.Printing Annex'!AZ3</f>
        <v>0</v>
      </c>
      <c r="S56" s="648">
        <f>'13.Quality Assurance Annex'!AZ4</f>
        <v>0</v>
      </c>
      <c r="T56" s="650">
        <f>'13.Quality Assurance Annex'!AZ3</f>
        <v>0</v>
      </c>
      <c r="U56" s="648">
        <f>'4.Untied grants Annex'!AZ4</f>
        <v>0</v>
      </c>
      <c r="V56" s="648">
        <f>'4.Untied grants Annex'!AZ3</f>
        <v>0</v>
      </c>
      <c r="W56" s="648">
        <f>'15.PPP Annex'!AZ4</f>
        <v>0</v>
      </c>
      <c r="X56" s="648">
        <f>'15.PPP Annex'!AZ3</f>
        <v>0</v>
      </c>
      <c r="Y56" s="648">
        <f>'6.Procurement Annex'!AZ4</f>
        <v>0</v>
      </c>
      <c r="Z56" s="648">
        <f>'6.Procurement Annex'!AZ3</f>
        <v>0</v>
      </c>
      <c r="AA56" s="648">
        <f>'14.Drug warehouse &amp;Logistic Anx'!AZ4</f>
        <v>0</v>
      </c>
      <c r="AB56" s="648">
        <f>'14.Drug warehouse &amp;Logistic Anx'!AZ3</f>
        <v>0</v>
      </c>
      <c r="AC56" s="648">
        <f>'8.Human Resources (SD) Annex'!AZ4</f>
        <v>0</v>
      </c>
      <c r="AD56" s="648">
        <f>'8.Human Resources (SD) Annex'!AZ3</f>
        <v>0</v>
      </c>
      <c r="AE56" s="650">
        <f>'9.Training Annex'!AZ4</f>
        <v>0</v>
      </c>
      <c r="AF56" s="650">
        <f>'9.Training Annex'!AZ3</f>
        <v>0</v>
      </c>
      <c r="AG56" s="648">
        <f>'16.PM Annex'!AZ4</f>
        <v>0</v>
      </c>
      <c r="AH56" s="648">
        <f>'16.PM Annex'!AZ3</f>
        <v>0</v>
      </c>
      <c r="AI56" s="648">
        <f>'10.Review Research &amp; Surveillen'!AZ4</f>
        <v>0</v>
      </c>
      <c r="AJ56" s="648">
        <f>'10.Review Research &amp; Surveillen'!AZ3</f>
        <v>0</v>
      </c>
      <c r="AK56" s="648">
        <f>'17.IT Initiatives_SD'!AZ4</f>
        <v>0</v>
      </c>
      <c r="AL56" s="648">
        <f>'17.IT Initiatives_SD'!AZ3</f>
        <v>0</v>
      </c>
      <c r="AM56" s="648">
        <f>'18.Innovation'!AZ4</f>
        <v>0</v>
      </c>
      <c r="AN56" s="648">
        <f>'18.Innovation'!AZ3</f>
        <v>0</v>
      </c>
    </row>
    <row r="57" spans="1:41" ht="30" x14ac:dyDescent="0.25">
      <c r="A57" s="3783"/>
      <c r="B57" s="673" t="s">
        <v>4695</v>
      </c>
      <c r="C57" s="748">
        <f t="shared" si="2"/>
        <v>0</v>
      </c>
      <c r="D57" s="748">
        <f t="shared" si="3"/>
        <v>0</v>
      </c>
      <c r="E57" s="269">
        <f>'1.SD Facility Based Annex'!BA4</f>
        <v>0</v>
      </c>
      <c r="F57" s="267">
        <f>'1.SD Facility Based Annex'!BA3</f>
        <v>0</v>
      </c>
      <c r="G57" s="268">
        <f>'2.SD Community Based Annex'!BA4</f>
        <v>0</v>
      </c>
      <c r="H57" s="268">
        <f>'2.SD Community Based Annex'!BA3</f>
        <v>0</v>
      </c>
      <c r="I57" s="267">
        <f>'3.Community Intervention Annexn'!BA4</f>
        <v>0</v>
      </c>
      <c r="J57" s="267">
        <f>'3.Community Intervention Annexn'!BA3</f>
        <v>0</v>
      </c>
      <c r="K57" s="648">
        <f>'5.Infrastructure Annex'!BA4</f>
        <v>0</v>
      </c>
      <c r="L57" s="648">
        <f>'5.Infrastructure Annex'!BA3</f>
        <v>0</v>
      </c>
      <c r="M57" s="648">
        <f>'7.Referral Transport Annex'!BA4</f>
        <v>0</v>
      </c>
      <c r="N57" s="648">
        <f>'7.Referral Transport Annex'!BA3</f>
        <v>0</v>
      </c>
      <c r="O57" s="648">
        <f>'11.IEC-BCC Annex'!BA4</f>
        <v>0</v>
      </c>
      <c r="P57" s="648">
        <f>'11.IEC-BCC Annex'!BA3</f>
        <v>0</v>
      </c>
      <c r="Q57" s="648">
        <f>'12.Printing Annex'!BA4</f>
        <v>0</v>
      </c>
      <c r="R57" s="648">
        <f>'12.Printing Annex'!BA3</f>
        <v>0</v>
      </c>
      <c r="S57" s="648">
        <f>'13.Quality Assurance Annex'!BA4</f>
        <v>0</v>
      </c>
      <c r="T57" s="650">
        <f>'13.Quality Assurance Annex'!BA3</f>
        <v>0</v>
      </c>
      <c r="U57" s="648">
        <f>'4.Untied grants Annex'!BA4</f>
        <v>0</v>
      </c>
      <c r="V57" s="648">
        <f>'4.Untied grants Annex'!BA3</f>
        <v>0</v>
      </c>
      <c r="W57" s="648">
        <f>'15.PPP Annex'!BA4</f>
        <v>0</v>
      </c>
      <c r="X57" s="648">
        <f>'15.PPP Annex'!BA3</f>
        <v>0</v>
      </c>
      <c r="Y57" s="648">
        <f>'6.Procurement Annex'!BA4</f>
        <v>0</v>
      </c>
      <c r="Z57" s="648">
        <f>'6.Procurement Annex'!BA3</f>
        <v>0</v>
      </c>
      <c r="AA57" s="648">
        <f>'14.Drug warehouse &amp;Logistic Anx'!BA4</f>
        <v>0</v>
      </c>
      <c r="AB57" s="648">
        <f>'14.Drug warehouse &amp;Logistic Anx'!BA3</f>
        <v>0</v>
      </c>
      <c r="AC57" s="648">
        <f>'8.Human Resources (SD) Annex'!BA4</f>
        <v>0</v>
      </c>
      <c r="AD57" s="648">
        <f>'8.Human Resources (SD) Annex'!BA3</f>
        <v>0</v>
      </c>
      <c r="AE57" s="650">
        <f>'9.Training Annex'!BA4</f>
        <v>0</v>
      </c>
      <c r="AF57" s="650">
        <f>'9.Training Annex'!BA3</f>
        <v>0</v>
      </c>
      <c r="AG57" s="648">
        <f>'16.PM Annex'!BA4</f>
        <v>0</v>
      </c>
      <c r="AH57" s="648">
        <f>'16.PM Annex'!BA3</f>
        <v>0</v>
      </c>
      <c r="AI57" s="648">
        <f>'10.Review Research &amp; Surveillen'!BA4</f>
        <v>0</v>
      </c>
      <c r="AJ57" s="648">
        <f>'10.Review Research &amp; Surveillen'!BA3</f>
        <v>0</v>
      </c>
      <c r="AK57" s="648">
        <f>'17.IT Initiatives_SD'!BA4</f>
        <v>0</v>
      </c>
      <c r="AL57" s="648">
        <f>'17.IT Initiatives_SD'!BA3</f>
        <v>0</v>
      </c>
      <c r="AM57" s="648">
        <f>'18.Innovation'!BA4</f>
        <v>0</v>
      </c>
      <c r="AN57" s="648">
        <f>'18.Innovation'!BA3</f>
        <v>0</v>
      </c>
    </row>
    <row r="58" spans="1:41" x14ac:dyDescent="0.25">
      <c r="A58" s="3783"/>
      <c r="B58" s="673" t="s">
        <v>5278</v>
      </c>
      <c r="C58" s="748">
        <f t="shared" si="2"/>
        <v>57</v>
      </c>
      <c r="D58" s="748">
        <f t="shared" si="3"/>
        <v>0</v>
      </c>
      <c r="E58" s="269"/>
      <c r="F58" s="267"/>
      <c r="G58" s="268"/>
      <c r="H58" s="268"/>
      <c r="I58" s="267"/>
      <c r="J58" s="267"/>
      <c r="K58" s="648"/>
      <c r="L58" s="648"/>
      <c r="M58" s="648"/>
      <c r="N58" s="648"/>
      <c r="O58" s="648"/>
      <c r="P58" s="648"/>
      <c r="Q58" s="648"/>
      <c r="R58" s="648"/>
      <c r="S58" s="648"/>
      <c r="T58" s="650"/>
      <c r="U58" s="648"/>
      <c r="V58" s="648"/>
      <c r="W58" s="656">
        <f>'15.PPP Annex'!BD4</f>
        <v>0</v>
      </c>
      <c r="X58" s="656">
        <f>'15.PPP Annex'!BD3</f>
        <v>0</v>
      </c>
      <c r="Y58" s="648"/>
      <c r="Z58" s="648"/>
      <c r="AA58" s="648"/>
      <c r="AB58" s="648"/>
      <c r="AC58" s="648"/>
      <c r="AD58" s="648"/>
      <c r="AE58" s="650"/>
      <c r="AF58" s="650"/>
      <c r="AG58" s="656">
        <f>'16.PM Annex'!BD4</f>
        <v>57</v>
      </c>
      <c r="AH58" s="656">
        <f>'16.PM Annex'!BD3</f>
        <v>0</v>
      </c>
      <c r="AI58" s="648"/>
      <c r="AJ58" s="648"/>
      <c r="AK58" s="648"/>
      <c r="AL58" s="648"/>
      <c r="AM58" s="656">
        <f>'18.Innovation'!BD4</f>
        <v>0</v>
      </c>
      <c r="AN58" s="656">
        <f>'18.Innovation'!BD3</f>
        <v>0</v>
      </c>
    </row>
    <row r="59" spans="1:41" x14ac:dyDescent="0.25">
      <c r="A59" s="3780" t="s">
        <v>4709</v>
      </c>
      <c r="B59" s="674" t="s">
        <v>4710</v>
      </c>
      <c r="C59" s="748">
        <f t="shared" si="2"/>
        <v>2306.9120000000003</v>
      </c>
      <c r="D59" s="748">
        <f t="shared" si="3"/>
        <v>0</v>
      </c>
      <c r="E59" s="662">
        <f>'NUHM Summary'!E8</f>
        <v>42</v>
      </c>
      <c r="F59" s="662">
        <f>'NUHM Summary'!F8</f>
        <v>0</v>
      </c>
      <c r="G59" s="663">
        <f>'NUHM Summary'!E38-'NUHM-Non Metro Abst'!E4</f>
        <v>84</v>
      </c>
      <c r="H59" s="663">
        <f>'NUHM Summary'!F38-'NUHM-Non Metro Abst'!E3</f>
        <v>0</v>
      </c>
      <c r="I59" s="663">
        <f>'NUHM Summary'!E51</f>
        <v>0</v>
      </c>
      <c r="J59" s="663">
        <f>'NUHM Summary'!F51</f>
        <v>0</v>
      </c>
      <c r="K59" s="663">
        <f>'NUHM Summary'!E77-'NUHM-Non Metro Abst'!F4</f>
        <v>8</v>
      </c>
      <c r="L59" s="663">
        <f>'NUHM Summary'!F77-'NUHM-Non Metro Abst'!F3</f>
        <v>0</v>
      </c>
      <c r="M59" s="663">
        <f>'NUHM Summary'!E118</f>
        <v>0</v>
      </c>
      <c r="N59" s="663">
        <f>'NUHM Summary'!F118</f>
        <v>0</v>
      </c>
      <c r="O59" s="664">
        <f>'NUHM Summary'!E204-'NUHM-Non Metro Abst'!J4</f>
        <v>0</v>
      </c>
      <c r="P59" s="664">
        <f>'NUHM Summary'!F204-'NUHM-Non Metro Abst'!J3</f>
        <v>0</v>
      </c>
      <c r="Q59" s="664">
        <f>'NUHM Summary'!E207-'NUHM-Non Metro Abst'!K4</f>
        <v>0</v>
      </c>
      <c r="R59" s="664">
        <f>'NUHM Summary'!F207-'NUHM-Non Metro Abst'!K3</f>
        <v>0</v>
      </c>
      <c r="S59" s="664">
        <f>'NUHM Summary'!E210</f>
        <v>0</v>
      </c>
      <c r="T59" s="664">
        <f>'NUHM Summary'!F210</f>
        <v>0</v>
      </c>
      <c r="U59" s="663">
        <f>'NUHM Summary'!E70</f>
        <v>0</v>
      </c>
      <c r="V59" s="663">
        <f>'NUHM Summary'!F70</f>
        <v>0</v>
      </c>
      <c r="W59" s="664">
        <f>'NUHM Summary'!E227-'NUHM-Non Metro Abst'!L4</f>
        <v>0</v>
      </c>
      <c r="X59" s="664">
        <f>'NUHM Summary'!F227-'NUHM-Non Metro Abst'!L3</f>
        <v>0</v>
      </c>
      <c r="Y59" s="663">
        <f>'NUHM Summary'!E91-'NUHM-Non Metro Abst'!G4</f>
        <v>0</v>
      </c>
      <c r="Z59" s="663">
        <f>'NUHM Summary'!F91-'NUHM-Non Metro Abst'!G3</f>
        <v>0</v>
      </c>
      <c r="AA59" s="664">
        <f>'NUHM Summary'!E223</f>
        <v>0</v>
      </c>
      <c r="AB59" s="664">
        <f>'NUHM Summary'!F223</f>
        <v>0</v>
      </c>
      <c r="AC59" s="663">
        <f>'NUHM Summary'!E120-'NUHM-Non Metro Abst'!H4</f>
        <v>1760.4720000000002</v>
      </c>
      <c r="AD59" s="663">
        <f>'NUHM Summary'!F120-'NUHM-Non Metro Abst'!H3</f>
        <v>0</v>
      </c>
      <c r="AE59" s="663">
        <f>'NUHM Summary'!E174-'NUHM-Non Metro Abst'!I4</f>
        <v>0</v>
      </c>
      <c r="AF59" s="663">
        <f>'NUHM Summary'!F174-'NUHM-Non Metro Abst'!I3</f>
        <v>0</v>
      </c>
      <c r="AG59" s="664">
        <f>'NUHM Summary'!E230-'NUHM-Non Metro Abst'!M4</f>
        <v>180.6</v>
      </c>
      <c r="AH59" s="664">
        <f>'NUHM Summary'!F230-'NUHM-Non Metro Abst'!M3</f>
        <v>0</v>
      </c>
      <c r="AI59" s="664">
        <f>'NUHM Summary'!E195</f>
        <v>0</v>
      </c>
      <c r="AJ59" s="664">
        <f>'NUHM Summary'!F195</f>
        <v>0</v>
      </c>
      <c r="AK59" s="664">
        <f>'NUHM Summary'!E270-'NUHM-Non Metro Abst'!N4</f>
        <v>231.84</v>
      </c>
      <c r="AL59" s="664">
        <f>'NUHM Summary'!F270-'NUHM-Non Metro Abst'!N3</f>
        <v>0</v>
      </c>
      <c r="AM59" s="663">
        <f>'NUHM Summary'!E273</f>
        <v>0</v>
      </c>
      <c r="AN59" s="663">
        <f>'NUHM Summary'!F273</f>
        <v>0</v>
      </c>
    </row>
    <row r="60" spans="1:41" x14ac:dyDescent="0.25">
      <c r="A60" s="3780"/>
      <c r="B60" s="674" t="s">
        <v>4711</v>
      </c>
      <c r="C60" s="748">
        <f t="shared" si="2"/>
        <v>1232.1406200000001</v>
      </c>
      <c r="D60" s="661">
        <f t="shared" si="3"/>
        <v>0</v>
      </c>
      <c r="E60" s="667">
        <f>'NUHM Summary'!G8</f>
        <v>0</v>
      </c>
      <c r="F60" s="667">
        <f>'NUHM Summary'!H8</f>
        <v>0</v>
      </c>
      <c r="G60" s="668">
        <f>'NUHM Summary'!G38-'NUHM Metro Abst'!E4</f>
        <v>0</v>
      </c>
      <c r="H60" s="668">
        <f>'NUHM Summary'!H38-'NUHM Metro Abst'!E3</f>
        <v>0</v>
      </c>
      <c r="I60" s="668">
        <f>'NUHM Summary'!G51</f>
        <v>0</v>
      </c>
      <c r="J60" s="668">
        <f>'NUHM Summary'!H51</f>
        <v>0</v>
      </c>
      <c r="K60" s="668">
        <f>'NUHM Summary'!G77-'NUHM Metro Abst'!F4</f>
        <v>0</v>
      </c>
      <c r="L60" s="668">
        <f>'NUHM Summary'!H77-'NUHM Metro Abst'!F3</f>
        <v>0</v>
      </c>
      <c r="M60" s="668">
        <f>'NUHM Summary'!G118</f>
        <v>0</v>
      </c>
      <c r="N60" s="668">
        <f>'NUHM Summary'!H118</f>
        <v>0</v>
      </c>
      <c r="O60" s="667">
        <f>'NUHM Summary'!G204-'NUHM Metro Abst'!J4</f>
        <v>0</v>
      </c>
      <c r="P60" s="667">
        <f>'NUHM Summary'!H204-'NUHM Metro Abst'!J3</f>
        <v>0</v>
      </c>
      <c r="Q60" s="667">
        <f>'NUHM Summary'!G207-'NUHM Metro Abst'!K4</f>
        <v>0</v>
      </c>
      <c r="R60" s="667">
        <f>'NUHM Summary'!H207-'NUHM Metro Abst'!K3</f>
        <v>0</v>
      </c>
      <c r="S60" s="667">
        <f>'NUHM Summary'!G210</f>
        <v>0</v>
      </c>
      <c r="T60" s="667">
        <f>'NUHM Summary'!H210</f>
        <v>0</v>
      </c>
      <c r="U60" s="668">
        <f>'NUHM Summary'!G70</f>
        <v>0</v>
      </c>
      <c r="V60" s="668">
        <f>'NUHM Summary'!H70</f>
        <v>0</v>
      </c>
      <c r="W60" s="667">
        <f>'NUHM Summary'!G227-'NUHM Metro Abst'!L4</f>
        <v>0</v>
      </c>
      <c r="X60" s="667">
        <f>'NUHM Summary'!H227-'NUHM Metro Abst'!L3</f>
        <v>0</v>
      </c>
      <c r="Y60" s="668">
        <f>'NUHM Summary'!G91-'NUHM Metro Abst'!G4</f>
        <v>0</v>
      </c>
      <c r="Z60" s="668">
        <f>'NUHM Summary'!H91-'NUHM Metro Abst'!G3</f>
        <v>0</v>
      </c>
      <c r="AA60" s="667">
        <f>'NUHM Summary'!G223</f>
        <v>0</v>
      </c>
      <c r="AB60" s="667">
        <f>'NUHM Summary'!H223</f>
        <v>0</v>
      </c>
      <c r="AC60" s="668">
        <f>'NUHM Summary'!G120-'NUHM Metro Abst'!H4</f>
        <v>1033.63662</v>
      </c>
      <c r="AD60" s="668">
        <f>'NUHM Summary'!H120-'NUHM Metro Abst'!H3</f>
        <v>0</v>
      </c>
      <c r="AE60" s="668">
        <f>'NUHM Summary'!G174-'NUHM Metro Abst'!I4</f>
        <v>0</v>
      </c>
      <c r="AF60" s="668">
        <f>'NUHM Summary'!H174-'NUHM Metro Abst'!I3</f>
        <v>0</v>
      </c>
      <c r="AG60" s="667">
        <f>'NUHM Summary'!G230-'NUHM Metro Abst'!M4</f>
        <v>27</v>
      </c>
      <c r="AH60" s="667">
        <f>'NUHM Summary'!H230-'NUHM Metro Abst'!M3</f>
        <v>0</v>
      </c>
      <c r="AI60" s="667">
        <f>'NUHM Summary'!G195</f>
        <v>0</v>
      </c>
      <c r="AJ60" s="667">
        <f>'NUHM Summary'!H195</f>
        <v>0</v>
      </c>
      <c r="AK60" s="667">
        <f>'NUHM Summary'!G270-'NUHM Metro Abst'!N4</f>
        <v>171.50400000000002</v>
      </c>
      <c r="AL60" s="667">
        <f>'NUHM Summary'!H270-'NUHM Metro Abst'!N3</f>
        <v>0</v>
      </c>
      <c r="AM60" s="668">
        <f>'NUHM Summary'!G273</f>
        <v>0</v>
      </c>
      <c r="AN60" s="668">
        <f>'NUHM Summary'!H273</f>
        <v>0</v>
      </c>
    </row>
    <row r="61" spans="1:41" ht="30" x14ac:dyDescent="0.25">
      <c r="A61" s="3780"/>
      <c r="B61" s="673" t="s">
        <v>4712</v>
      </c>
      <c r="C61" s="748">
        <f t="shared" si="2"/>
        <v>0</v>
      </c>
      <c r="D61" s="748">
        <f t="shared" si="3"/>
        <v>0</v>
      </c>
      <c r="E61" s="665"/>
      <c r="F61" s="665"/>
      <c r="G61" s="665">
        <f>'NUHM Summary'!E4</f>
        <v>0</v>
      </c>
      <c r="H61" s="666">
        <f>'NUHM Summary'!E3</f>
        <v>0</v>
      </c>
      <c r="I61" s="665"/>
      <c r="J61" s="665"/>
      <c r="K61" s="665">
        <f>'NUHM Summary'!F4</f>
        <v>0</v>
      </c>
      <c r="L61" s="665">
        <f>'NUHM Summary'!F3</f>
        <v>0</v>
      </c>
      <c r="M61" s="665"/>
      <c r="N61" s="665"/>
      <c r="O61" s="665">
        <f>'NUHM Summary'!J4</f>
        <v>0</v>
      </c>
      <c r="P61" s="665">
        <f>'NUHM Summary'!J3</f>
        <v>0</v>
      </c>
      <c r="Q61" s="665">
        <f>'NUHM Summary'!K4</f>
        <v>0</v>
      </c>
      <c r="R61" s="665">
        <f>'NUHM Summary'!K3</f>
        <v>0</v>
      </c>
      <c r="S61" s="665"/>
      <c r="T61" s="665"/>
      <c r="U61" s="665"/>
      <c r="V61" s="665"/>
      <c r="W61" s="665">
        <f>'NUHM Summary'!L4</f>
        <v>0</v>
      </c>
      <c r="X61" s="665">
        <f>'NUHM Summary'!L3</f>
        <v>0</v>
      </c>
      <c r="Y61" s="665">
        <f>'NUHM Summary'!G4</f>
        <v>0</v>
      </c>
      <c r="Z61" s="665">
        <f>'NUHM Summary'!G3</f>
        <v>0</v>
      </c>
      <c r="AA61" s="665"/>
      <c r="AB61" s="665"/>
      <c r="AC61" s="665">
        <f>'NUHM Summary'!H4</f>
        <v>0</v>
      </c>
      <c r="AD61" s="665">
        <f>'NUHM Summary'!H3</f>
        <v>0</v>
      </c>
      <c r="AE61" s="665">
        <f>'NUHM Summary'!I4</f>
        <v>0</v>
      </c>
      <c r="AF61" s="665">
        <f>'NUHM Summary'!I3</f>
        <v>0</v>
      </c>
      <c r="AG61" s="665">
        <f>'NUHM Summary'!M4</f>
        <v>0</v>
      </c>
      <c r="AH61" s="665">
        <f>'NUHM Summary'!M3</f>
        <v>0</v>
      </c>
      <c r="AI61" s="665"/>
      <c r="AJ61" s="665"/>
      <c r="AK61" s="665">
        <f>'NUHM Summary'!N4</f>
        <v>0</v>
      </c>
      <c r="AL61" s="665">
        <f>'NUHM Summary'!N3</f>
        <v>0</v>
      </c>
      <c r="AM61" s="665"/>
      <c r="AN61" s="665"/>
    </row>
  </sheetData>
  <sheetProtection sheet="1" objects="1" scenarios="1"/>
  <mergeCells count="52">
    <mergeCell ref="A1:B1"/>
    <mergeCell ref="C2:D4"/>
    <mergeCell ref="A6:A7"/>
    <mergeCell ref="AI3:AJ3"/>
    <mergeCell ref="AI4:AJ4"/>
    <mergeCell ref="AG2:AH2"/>
    <mergeCell ref="Y3:Z3"/>
    <mergeCell ref="Y4:Z4"/>
    <mergeCell ref="AA3:AB3"/>
    <mergeCell ref="B2:B4"/>
    <mergeCell ref="G3:H3"/>
    <mergeCell ref="G4:H4"/>
    <mergeCell ref="I3:J3"/>
    <mergeCell ref="U2:X2"/>
    <mergeCell ref="Y2:AB2"/>
    <mergeCell ref="U3:V3"/>
    <mergeCell ref="AK3:AL3"/>
    <mergeCell ref="AK4:AL4"/>
    <mergeCell ref="AI2:AL2"/>
    <mergeCell ref="AC3:AD3"/>
    <mergeCell ref="AC4:AD4"/>
    <mergeCell ref="AE3:AF3"/>
    <mergeCell ref="AE4:AF4"/>
    <mergeCell ref="AG3:AH3"/>
    <mergeCell ref="AG4:AH4"/>
    <mergeCell ref="AC2:AF2"/>
    <mergeCell ref="AM2:AN2"/>
    <mergeCell ref="AM3:AN3"/>
    <mergeCell ref="AM4:AN4"/>
    <mergeCell ref="S3:T3"/>
    <mergeCell ref="S4:T4"/>
    <mergeCell ref="E2:T2"/>
    <mergeCell ref="W3:X3"/>
    <mergeCell ref="W4:X4"/>
    <mergeCell ref="M3:N3"/>
    <mergeCell ref="M4:N4"/>
    <mergeCell ref="O3:P3"/>
    <mergeCell ref="O4:P4"/>
    <mergeCell ref="Q3:R3"/>
    <mergeCell ref="Q4:R4"/>
    <mergeCell ref="E3:F3"/>
    <mergeCell ref="E4:F4"/>
    <mergeCell ref="U4:V4"/>
    <mergeCell ref="I4:J4"/>
    <mergeCell ref="K3:L3"/>
    <mergeCell ref="K4:L4"/>
    <mergeCell ref="AA4:AB4"/>
    <mergeCell ref="A59:A61"/>
    <mergeCell ref="A8:A17"/>
    <mergeCell ref="A18:A37"/>
    <mergeCell ref="A38:A45"/>
    <mergeCell ref="A46:A5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B0F0"/>
  </sheetPr>
  <dimension ref="A1:M68"/>
  <sheetViews>
    <sheetView zoomScale="110" zoomScaleNormal="110" workbookViewId="0">
      <pane xSplit="3" ySplit="4" topLeftCell="D44" activePane="bottomRight" state="frozenSplit"/>
      <selection sqref="A1:R1"/>
      <selection pane="topRight" sqref="A1:R1"/>
      <selection pane="bottomLeft" sqref="A1:R1"/>
      <selection pane="bottomRight" activeCell="P57" sqref="P57"/>
    </sheetView>
  </sheetViews>
  <sheetFormatPr defaultColWidth="9.140625" defaultRowHeight="11.25" x14ac:dyDescent="0.15"/>
  <cols>
    <col min="1" max="1" width="9.140625" style="789" customWidth="1"/>
    <col min="2" max="2" width="10" style="825" customWidth="1"/>
    <col min="3" max="3" width="43.42578125" style="815" bestFit="1" customWidth="1"/>
    <col min="4" max="4" width="18.7109375" style="790" hidden="1" customWidth="1"/>
    <col min="5" max="5" width="17.140625" style="790" hidden="1" customWidth="1"/>
    <col min="6" max="6" width="19.85546875" style="790" hidden="1" customWidth="1"/>
    <col min="7" max="7" width="22.5703125" style="790" hidden="1" customWidth="1"/>
    <col min="8" max="8" width="17.28515625" style="790" hidden="1" customWidth="1"/>
    <col min="9" max="9" width="19.85546875" style="790" hidden="1" customWidth="1"/>
    <col min="10" max="10" width="19.5703125" style="790" bestFit="1" customWidth="1"/>
    <col min="11" max="11" width="19.5703125" style="790" customWidth="1"/>
    <col min="12" max="12" width="19.42578125" style="815" customWidth="1"/>
    <col min="13" max="13" width="14.140625" style="815" customWidth="1"/>
    <col min="14" max="16384" width="9.140625" style="815"/>
  </cols>
  <sheetData>
    <row r="1" spans="1:13" s="787" customFormat="1" ht="12.75" x14ac:dyDescent="0.2">
      <c r="A1" s="783" t="str">
        <f>HYPERLINK("#Index!B1", "Index Pg")</f>
        <v>Index Pg</v>
      </c>
      <c r="B1" s="784"/>
      <c r="C1" s="785" t="str">
        <f>HYPERLINK("#'Budget Summary I'!A2", "Budget Summary I")</f>
        <v>Budget Summary I</v>
      </c>
      <c r="D1" s="786"/>
      <c r="F1" s="788"/>
      <c r="G1" s="788"/>
      <c r="H1" s="788"/>
      <c r="I1" s="788"/>
    </row>
    <row r="2" spans="1:13" s="790" customFormat="1" ht="23.1" customHeight="1" x14ac:dyDescent="0.15">
      <c r="A2" s="3799" t="s">
        <v>0</v>
      </c>
      <c r="B2" s="3799"/>
      <c r="C2" s="882" t="s">
        <v>5782</v>
      </c>
      <c r="D2" s="3809"/>
      <c r="E2" s="3809"/>
      <c r="F2" s="3809"/>
      <c r="G2" s="3809"/>
      <c r="H2" s="3809"/>
      <c r="I2" s="3809"/>
      <c r="J2" s="3809"/>
      <c r="K2" s="3809"/>
      <c r="L2" s="3809"/>
      <c r="M2" s="3809"/>
    </row>
    <row r="3" spans="1:13" s="791" customFormat="1" ht="22.7" customHeight="1" x14ac:dyDescent="0.2">
      <c r="A3" s="3804" t="s">
        <v>3315</v>
      </c>
      <c r="B3" s="3805"/>
      <c r="C3" s="3800" t="s">
        <v>1</v>
      </c>
      <c r="D3" s="3803" t="s">
        <v>4633</v>
      </c>
      <c r="E3" s="3803"/>
      <c r="F3" s="3803"/>
      <c r="G3" s="3803"/>
      <c r="H3" s="3803"/>
      <c r="I3" s="3803"/>
      <c r="J3" s="3803" t="s">
        <v>4636</v>
      </c>
      <c r="K3" s="3803"/>
      <c r="L3" s="3803" t="s">
        <v>4637</v>
      </c>
      <c r="M3" s="3803"/>
    </row>
    <row r="4" spans="1:13" s="794" customFormat="1" ht="45" x14ac:dyDescent="0.2">
      <c r="A4" s="3806"/>
      <c r="B4" s="3807"/>
      <c r="C4" s="3800"/>
      <c r="D4" s="792" t="s">
        <v>4634</v>
      </c>
      <c r="E4" s="793" t="s">
        <v>4635</v>
      </c>
      <c r="F4" s="793" t="s">
        <v>2</v>
      </c>
      <c r="G4" s="792" t="s">
        <v>4634</v>
      </c>
      <c r="H4" s="793" t="s">
        <v>4635</v>
      </c>
      <c r="I4" s="793" t="s">
        <v>2</v>
      </c>
      <c r="J4" s="3797" t="s">
        <v>3</v>
      </c>
      <c r="K4" s="3798"/>
      <c r="L4" s="3797" t="s">
        <v>3</v>
      </c>
      <c r="M4" s="3798"/>
    </row>
    <row r="5" spans="1:13" s="794" customFormat="1" x14ac:dyDescent="0.2">
      <c r="A5" s="3808"/>
      <c r="B5" s="3807"/>
      <c r="C5" s="795"/>
      <c r="D5" s="3803" t="s">
        <v>3302</v>
      </c>
      <c r="E5" s="3803"/>
      <c r="F5" s="3803"/>
      <c r="G5" s="3803" t="s">
        <v>3303</v>
      </c>
      <c r="H5" s="3803"/>
      <c r="I5" s="3803"/>
      <c r="J5" s="792" t="s">
        <v>3302</v>
      </c>
      <c r="K5" s="792" t="s">
        <v>3303</v>
      </c>
      <c r="L5" s="792" t="s">
        <v>3302</v>
      </c>
      <c r="M5" s="792" t="s">
        <v>3303</v>
      </c>
    </row>
    <row r="6" spans="1:13" s="794" customFormat="1" x14ac:dyDescent="0.2">
      <c r="A6" s="796">
        <f>'1.SD Facility Based Annex'!A7</f>
        <v>1</v>
      </c>
      <c r="B6" s="797" t="str">
        <f>'NUHM Summary'!A8</f>
        <v>U.1</v>
      </c>
      <c r="C6" s="798" t="str">
        <f>'1.SD Facility Based Annex'!C7</f>
        <v>Service Delivery - Facility Based</v>
      </c>
      <c r="D6" s="2824">
        <f>'1.SD Facility Based Annex'!H7</f>
        <v>0</v>
      </c>
      <c r="E6" s="2824">
        <f>'1.SD Facility Based Annex'!I7</f>
        <v>0</v>
      </c>
      <c r="F6" s="2824">
        <f>'1.SD Facility Based Annex'!J7</f>
        <v>0</v>
      </c>
      <c r="G6" s="800">
        <f>'NUHM-Non Metro Abst'!G8+'NUHM Metro Abst'!G8</f>
        <v>0</v>
      </c>
      <c r="H6" s="800">
        <f>'NUHM-Non Metro Abst'!H8+'NUHM Metro Abst'!H8</f>
        <v>0</v>
      </c>
      <c r="I6" s="800">
        <f>'NUHM-Non Metro Abst'!I8+'NUHM Metro Abst'!I8</f>
        <v>0</v>
      </c>
      <c r="J6" s="800">
        <f>'1.SD Facility Based Annex'!O7</f>
        <v>0</v>
      </c>
      <c r="K6" s="800">
        <f>'NUHM Summary'!I8</f>
        <v>42</v>
      </c>
      <c r="L6" s="800">
        <f>'1.SD Facility Based Annex'!R7</f>
        <v>0</v>
      </c>
      <c r="M6" s="800">
        <f>'NUHM Summary'!J8</f>
        <v>0</v>
      </c>
    </row>
    <row r="7" spans="1:13" s="794" customFormat="1" x14ac:dyDescent="0.2">
      <c r="A7" s="801">
        <f>'1.SD Facility Based Annex'!A8</f>
        <v>1.1000000000000001</v>
      </c>
      <c r="B7" s="802" t="str">
        <f>'NUHM Summary'!A9</f>
        <v>U.1.1</v>
      </c>
      <c r="C7" s="803" t="str">
        <f>'1.SD Facility Based Annex'!C8</f>
        <v>Service Delivery</v>
      </c>
      <c r="D7" s="2825">
        <f>'1.SD Facility Based Annex'!H8</f>
        <v>0</v>
      </c>
      <c r="E7" s="2825">
        <f>'1.SD Facility Based Annex'!I8</f>
        <v>0</v>
      </c>
      <c r="F7" s="2825">
        <f>'1.SD Facility Based Annex'!J8</f>
        <v>0</v>
      </c>
      <c r="G7" s="806">
        <f>'NUHM-Non Metro Abst'!G9+'NUHM Metro Abst'!G9</f>
        <v>0</v>
      </c>
      <c r="H7" s="806">
        <f>'NUHM-Non Metro Abst'!H9+'NUHM Metro Abst'!H9</f>
        <v>0</v>
      </c>
      <c r="I7" s="806">
        <f>'NUHM-Non Metro Abst'!I9+'NUHM Metro Abst'!I9</f>
        <v>0</v>
      </c>
      <c r="J7" s="805">
        <f>'1.SD Facility Based Annex'!O8</f>
        <v>0</v>
      </c>
      <c r="K7" s="806">
        <f>'NUHM Summary'!I9</f>
        <v>0</v>
      </c>
      <c r="L7" s="805">
        <f>'1.SD Facility Based Annex'!R8</f>
        <v>0</v>
      </c>
      <c r="M7" s="806">
        <f>'NUHM Summary'!J9</f>
        <v>0</v>
      </c>
    </row>
    <row r="8" spans="1:13" s="794" customFormat="1" x14ac:dyDescent="0.2">
      <c r="A8" s="801">
        <f>'1.SD Facility Based Annex'!A60</f>
        <v>1.2</v>
      </c>
      <c r="B8" s="802" t="str">
        <f>'NUHM Summary'!A30</f>
        <v>U.1.2</v>
      </c>
      <c r="C8" s="803" t="str">
        <f>'1.SD Facility Based Annex'!C60</f>
        <v>Beneficiary Compensation/ Allowances</v>
      </c>
      <c r="D8" s="2825">
        <f>'1.SD Facility Based Annex'!H60</f>
        <v>0</v>
      </c>
      <c r="E8" s="2825">
        <f>'1.SD Facility Based Annex'!I60</f>
        <v>0</v>
      </c>
      <c r="F8" s="2825">
        <f>'1.SD Facility Based Annex'!J60</f>
        <v>0</v>
      </c>
      <c r="G8" s="806">
        <f>'NUHM-Non Metro Abst'!G30+'NUHM Metro Abst'!G30</f>
        <v>0</v>
      </c>
      <c r="H8" s="806">
        <f>'NUHM-Non Metro Abst'!H30+'NUHM Metro Abst'!H30</f>
        <v>0</v>
      </c>
      <c r="I8" s="806">
        <f>'NUHM-Non Metro Abst'!I30+'NUHM Metro Abst'!I30</f>
        <v>0</v>
      </c>
      <c r="J8" s="805">
        <f>'1.SD Facility Based Annex'!O60</f>
        <v>0</v>
      </c>
      <c r="K8" s="806">
        <f>'NUHM Summary'!I30</f>
        <v>0</v>
      </c>
      <c r="L8" s="805">
        <f>'1.SD Facility Based Annex'!R60</f>
        <v>0</v>
      </c>
      <c r="M8" s="806">
        <f>'NUHM Summary'!J30</f>
        <v>0</v>
      </c>
    </row>
    <row r="9" spans="1:13" s="794" customFormat="1" x14ac:dyDescent="0.2">
      <c r="A9" s="801">
        <f>'1.SD Facility Based Annex'!A83</f>
        <v>1.3</v>
      </c>
      <c r="B9" s="802" t="str">
        <f>'NUHM Summary'!A33</f>
        <v>U.1.3</v>
      </c>
      <c r="C9" s="803" t="str">
        <f>'1.SD Facility Based Annex'!C83</f>
        <v>Operating Expenses</v>
      </c>
      <c r="D9" s="2825">
        <f>'1.SD Facility Based Annex'!H83</f>
        <v>0</v>
      </c>
      <c r="E9" s="2825">
        <f>'1.SD Facility Based Annex'!I83</f>
        <v>0</v>
      </c>
      <c r="F9" s="2825">
        <f>'1.SD Facility Based Annex'!J83</f>
        <v>0</v>
      </c>
      <c r="G9" s="806">
        <f>'NUHM-Non Metro Abst'!G33+'NUHM Metro Abst'!G33</f>
        <v>0</v>
      </c>
      <c r="H9" s="806">
        <f>'NUHM-Non Metro Abst'!H33+'NUHM Metro Abst'!H33</f>
        <v>0</v>
      </c>
      <c r="I9" s="806">
        <f>'NUHM-Non Metro Abst'!I33+'NUHM Metro Abst'!I33</f>
        <v>0</v>
      </c>
      <c r="J9" s="805">
        <f>'1.SD Facility Based Annex'!O83</f>
        <v>0</v>
      </c>
      <c r="K9" s="806">
        <f>'NUHM Summary'!I33</f>
        <v>42</v>
      </c>
      <c r="L9" s="805">
        <f>'1.SD Facility Based Annex'!R83</f>
        <v>0</v>
      </c>
      <c r="M9" s="806">
        <f>'NUHM Summary'!J33</f>
        <v>0</v>
      </c>
    </row>
    <row r="10" spans="1:13" s="794" customFormat="1" x14ac:dyDescent="0.2">
      <c r="A10" s="796">
        <f>'2.SD Community Based Annex'!A7</f>
        <v>2</v>
      </c>
      <c r="B10" s="807" t="str">
        <f>'NUHM Summary'!A38</f>
        <v>U.2</v>
      </c>
      <c r="C10" s="798" t="str">
        <f>'2.SD Community Based Annex'!C7</f>
        <v>Service Delivery - Community Based</v>
      </c>
      <c r="D10" s="2824">
        <f>'2.SD Community Based Annex'!H7</f>
        <v>0</v>
      </c>
      <c r="E10" s="2824">
        <f>'2.SD Community Based Annex'!I7</f>
        <v>1.0900000000000001</v>
      </c>
      <c r="F10" s="2824">
        <f>'2.SD Community Based Annex'!J7</f>
        <v>0</v>
      </c>
      <c r="G10" s="800">
        <f>'NUHM-Non Metro Abst'!G38+'NUHM Metro Abst'!G38</f>
        <v>0</v>
      </c>
      <c r="H10" s="800">
        <f>'NUHM-Non Metro Abst'!H38+'NUHM Metro Abst'!H38</f>
        <v>0</v>
      </c>
      <c r="I10" s="800">
        <f>'NUHM-Non Metro Abst'!I38+'NUHM Metro Abst'!I38</f>
        <v>0</v>
      </c>
      <c r="J10" s="800">
        <f>'2.SD Community Based Annex'!O7</f>
        <v>360</v>
      </c>
      <c r="K10" s="800">
        <f>'NUHM Summary'!I38</f>
        <v>84</v>
      </c>
      <c r="L10" s="800">
        <f>'2.SD Community Based Annex'!R7</f>
        <v>0</v>
      </c>
      <c r="M10" s="800">
        <f>'NUHM Summary'!J38</f>
        <v>0</v>
      </c>
    </row>
    <row r="11" spans="1:13" s="794" customFormat="1" x14ac:dyDescent="0.2">
      <c r="A11" s="801">
        <f>'2.SD Community Based Annex'!A8</f>
        <v>2.1</v>
      </c>
      <c r="B11" s="802" t="str">
        <f>'NUHM Summary'!A39</f>
        <v>U.2.1</v>
      </c>
      <c r="C11" s="803" t="str">
        <f>'2.SD Community Based Annex'!C8</f>
        <v>Mobile Units</v>
      </c>
      <c r="D11" s="2825">
        <f>'2.SD Community Based Annex'!H8</f>
        <v>0</v>
      </c>
      <c r="E11" s="2825">
        <f>'2.SD Community Based Annex'!I8</f>
        <v>1.0900000000000001</v>
      </c>
      <c r="F11" s="2825">
        <f>'2.SD Community Based Annex'!J8</f>
        <v>0</v>
      </c>
      <c r="G11" s="806">
        <f>'NUHM-Non Metro Abst'!G39+'NUHM Metro Abst'!G39</f>
        <v>0</v>
      </c>
      <c r="H11" s="806">
        <f>'NUHM-Non Metro Abst'!H39+'NUHM Metro Abst'!H39</f>
        <v>0</v>
      </c>
      <c r="I11" s="806">
        <f>'NUHM-Non Metro Abst'!I39+'NUHM Metro Abst'!I39</f>
        <v>0</v>
      </c>
      <c r="J11" s="805">
        <f>'2.SD Community Based Annex'!O8</f>
        <v>118.5</v>
      </c>
      <c r="K11" s="806">
        <f>'NUHM Summary'!I39</f>
        <v>0</v>
      </c>
      <c r="L11" s="805">
        <f>'2.SD Community Based Annex'!R8</f>
        <v>0</v>
      </c>
      <c r="M11" s="806">
        <f>'NUHM Summary'!J39</f>
        <v>0</v>
      </c>
    </row>
    <row r="12" spans="1:13" s="794" customFormat="1" x14ac:dyDescent="0.2">
      <c r="A12" s="801">
        <f>'2.SD Community Based Annex'!A19</f>
        <v>2.2000000000000002</v>
      </c>
      <c r="B12" s="802" t="str">
        <f>'NUHM Summary'!A42</f>
        <v>U.2.2</v>
      </c>
      <c r="C12" s="803" t="str">
        <f>'2.SD Community Based Annex'!C19</f>
        <v>Recurring/ Operational cost</v>
      </c>
      <c r="D12" s="2825">
        <f>'2.SD Community Based Annex'!H19</f>
        <v>0</v>
      </c>
      <c r="E12" s="2825">
        <f>'2.SD Community Based Annex'!I19</f>
        <v>0</v>
      </c>
      <c r="F12" s="2825">
        <f>'2.SD Community Based Annex'!J19</f>
        <v>0</v>
      </c>
      <c r="G12" s="806">
        <f>'NUHM-Non Metro Abst'!G42+'NUHM Metro Abst'!G42</f>
        <v>0</v>
      </c>
      <c r="H12" s="806">
        <f>'NUHM-Non Metro Abst'!H42+'NUHM Metro Abst'!H42</f>
        <v>0</v>
      </c>
      <c r="I12" s="806">
        <f>'NUHM-Non Metro Abst'!I42+'NUHM Metro Abst'!I42</f>
        <v>0</v>
      </c>
      <c r="J12" s="805">
        <f>'2.SD Community Based Annex'!O19</f>
        <v>241.5</v>
      </c>
      <c r="K12" s="806">
        <f>'NUHM Summary'!I42</f>
        <v>0</v>
      </c>
      <c r="L12" s="805">
        <f>'2.SD Community Based Annex'!R19</f>
        <v>0</v>
      </c>
      <c r="M12" s="806">
        <f>'NUHM Summary'!J42</f>
        <v>0</v>
      </c>
    </row>
    <row r="13" spans="1:13" s="794" customFormat="1" x14ac:dyDescent="0.2">
      <c r="A13" s="801">
        <f>'2.SD Community Based Annex'!A31</f>
        <v>2.2999999999999998</v>
      </c>
      <c r="B13" s="802" t="str">
        <f>'NUHM Summary'!A45</f>
        <v>U.2.3</v>
      </c>
      <c r="C13" s="803" t="str">
        <f>'2.SD Community Based Annex'!C31</f>
        <v xml:space="preserve">Outreach activities </v>
      </c>
      <c r="D13" s="2825">
        <f>'2.SD Community Based Annex'!H31</f>
        <v>0</v>
      </c>
      <c r="E13" s="2825">
        <f>'2.SD Community Based Annex'!I31</f>
        <v>0</v>
      </c>
      <c r="F13" s="2825">
        <f>'2.SD Community Based Annex'!J31</f>
        <v>0</v>
      </c>
      <c r="G13" s="806">
        <f>'NUHM-Non Metro Abst'!G45+'NUHM Metro Abst'!G45</f>
        <v>0</v>
      </c>
      <c r="H13" s="806">
        <f>'NUHM-Non Metro Abst'!H45+'NUHM Metro Abst'!H45</f>
        <v>0</v>
      </c>
      <c r="I13" s="806">
        <f>'NUHM-Non Metro Abst'!I45+'NUHM Metro Abst'!I45</f>
        <v>0</v>
      </c>
      <c r="J13" s="805">
        <f>'2.SD Community Based Annex'!O31</f>
        <v>0</v>
      </c>
      <c r="K13" s="806">
        <f>'NUHM Summary'!I45</f>
        <v>84</v>
      </c>
      <c r="L13" s="805">
        <f>'2.SD Community Based Annex'!R31</f>
        <v>0</v>
      </c>
      <c r="M13" s="806">
        <f>'NUHM Summary'!J45</f>
        <v>0</v>
      </c>
    </row>
    <row r="14" spans="1:13" s="794" customFormat="1" x14ac:dyDescent="0.2">
      <c r="A14" s="796">
        <f>'3.Community Intervention Annexn'!A7</f>
        <v>3</v>
      </c>
      <c r="B14" s="807" t="str">
        <f>'NUHM Summary'!A51</f>
        <v>U.3</v>
      </c>
      <c r="C14" s="808" t="str">
        <f>'3.Community Intervention Annexn'!C7</f>
        <v>Community Interventions</v>
      </c>
      <c r="D14" s="2824">
        <f>'3.Community Intervention Annexn'!H7</f>
        <v>2.5</v>
      </c>
      <c r="E14" s="2824">
        <f>'3.Community Intervention Annexn'!I7</f>
        <v>0</v>
      </c>
      <c r="F14" s="2824">
        <f>'3.Community Intervention Annexn'!J7</f>
        <v>0</v>
      </c>
      <c r="G14" s="800">
        <f>'NUHM-Non Metro Abst'!G51+'NUHM Metro Abst'!G51</f>
        <v>0</v>
      </c>
      <c r="H14" s="800">
        <f>'NUHM-Non Metro Abst'!H51+'NUHM Metro Abst'!H51</f>
        <v>0</v>
      </c>
      <c r="I14" s="800">
        <f>'NUHM-Non Metro Abst'!I51+'NUHM Metro Abst'!I51</f>
        <v>0</v>
      </c>
      <c r="J14" s="800">
        <f>'3.Community Intervention Annexn'!O7</f>
        <v>0</v>
      </c>
      <c r="K14" s="800">
        <f>'NUHM Summary'!I51</f>
        <v>0</v>
      </c>
      <c r="L14" s="800">
        <f>'3.Community Intervention Annexn'!R7</f>
        <v>0</v>
      </c>
      <c r="M14" s="800">
        <f>'NUHM Summary'!J51</f>
        <v>0</v>
      </c>
    </row>
    <row r="15" spans="1:13" s="794" customFormat="1" x14ac:dyDescent="0.2">
      <c r="A15" s="801">
        <f>'3.Community Intervention Annexn'!A8</f>
        <v>3.1</v>
      </c>
      <c r="B15" s="802" t="str">
        <f>'NUHM Summary'!A52</f>
        <v>U.3.1</v>
      </c>
      <c r="C15" s="809" t="str">
        <f>'3.Community Intervention Annexn'!C8</f>
        <v>ASHA Activities</v>
      </c>
      <c r="D15" s="2825">
        <f>'3.Community Intervention Annexn'!H8</f>
        <v>0</v>
      </c>
      <c r="E15" s="2825">
        <f>'3.Community Intervention Annexn'!I8</f>
        <v>0</v>
      </c>
      <c r="F15" s="2825">
        <f>'3.Community Intervention Annexn'!J8</f>
        <v>0</v>
      </c>
      <c r="G15" s="806">
        <f>'NUHM-Non Metro Abst'!G52+'NUHM Metro Abst'!G52</f>
        <v>0</v>
      </c>
      <c r="H15" s="806">
        <f>'NUHM-Non Metro Abst'!H52+'NUHM Metro Abst'!H52</f>
        <v>0</v>
      </c>
      <c r="I15" s="806">
        <f>'NUHM-Non Metro Abst'!I52+'NUHM Metro Abst'!I52</f>
        <v>0</v>
      </c>
      <c r="J15" s="805">
        <f>'3.Community Intervention Annexn'!O8</f>
        <v>0</v>
      </c>
      <c r="K15" s="806">
        <f>'NUHM Summary'!I52</f>
        <v>0</v>
      </c>
      <c r="L15" s="805">
        <f>'3.Community Intervention Annexn'!R8</f>
        <v>0</v>
      </c>
      <c r="M15" s="806">
        <f>'NUHM Summary'!J52</f>
        <v>0</v>
      </c>
    </row>
    <row r="16" spans="1:13" s="794" customFormat="1" x14ac:dyDescent="0.2">
      <c r="A16" s="801">
        <f>'3.Community Intervention Annexn'!A33</f>
        <v>3.2</v>
      </c>
      <c r="B16" s="802" t="str">
        <f>'NUHM Summary'!A64</f>
        <v>U.3.2</v>
      </c>
      <c r="C16" s="809" t="str">
        <f>'3.Community Intervention Annexn'!C33</f>
        <v>Other Community Interventions</v>
      </c>
      <c r="D16" s="2825">
        <f>'3.Community Intervention Annexn'!H33</f>
        <v>0</v>
      </c>
      <c r="E16" s="2825">
        <f>'3.Community Intervention Annexn'!I33</f>
        <v>0</v>
      </c>
      <c r="F16" s="2825">
        <f>'3.Community Intervention Annexn'!J33</f>
        <v>0</v>
      </c>
      <c r="G16" s="806">
        <f>'NUHM-Non Metro Abst'!G64+'NUHM Metro Abst'!G64</f>
        <v>0</v>
      </c>
      <c r="H16" s="806">
        <f>'NUHM-Non Metro Abst'!H64+'NUHM Metro Abst'!H64</f>
        <v>0</v>
      </c>
      <c r="I16" s="806">
        <f>'NUHM-Non Metro Abst'!I64+'NUHM Metro Abst'!I64</f>
        <v>0</v>
      </c>
      <c r="J16" s="805">
        <f>'3.Community Intervention Annexn'!O33</f>
        <v>0</v>
      </c>
      <c r="K16" s="806">
        <f>'NUHM Summary'!I64</f>
        <v>0</v>
      </c>
      <c r="L16" s="805">
        <f>'3.Community Intervention Annexn'!R33</f>
        <v>0</v>
      </c>
      <c r="M16" s="806">
        <f>'NUHM Summary'!J64</f>
        <v>0</v>
      </c>
    </row>
    <row r="17" spans="1:13" s="794" customFormat="1" x14ac:dyDescent="0.2">
      <c r="A17" s="801">
        <f>'3.Community Intervention Annexn'!A49</f>
        <v>3.3</v>
      </c>
      <c r="B17" s="802" t="str">
        <f>'NUHM Summary'!A69</f>
        <v>U.3.3</v>
      </c>
      <c r="C17" s="809" t="s">
        <v>5571</v>
      </c>
      <c r="D17" s="2825">
        <f>'3.Community Intervention Annexn'!H49</f>
        <v>2.5</v>
      </c>
      <c r="E17" s="2825">
        <f>'3.Community Intervention Annexn'!I49</f>
        <v>0</v>
      </c>
      <c r="F17" s="2825">
        <f>'3.Community Intervention Annexn'!J49</f>
        <v>0</v>
      </c>
      <c r="G17" s="806">
        <f>'NUHM-Non Metro Abst'!G69+'NUHM Metro Abst'!G69</f>
        <v>0</v>
      </c>
      <c r="H17" s="806">
        <f>'NUHM-Non Metro Abst'!H69+'NUHM Metro Abst'!H69</f>
        <v>0</v>
      </c>
      <c r="I17" s="806">
        <f>'NUHM-Non Metro Abst'!I69+'NUHM Metro Abst'!I69</f>
        <v>0</v>
      </c>
      <c r="J17" s="805">
        <f>'3.Community Intervention Annexn'!O49</f>
        <v>0</v>
      </c>
      <c r="K17" s="806">
        <f>'NUHM Summary'!I69</f>
        <v>0</v>
      </c>
      <c r="L17" s="805">
        <f>'3.Community Intervention Annexn'!R49</f>
        <v>0</v>
      </c>
      <c r="M17" s="806">
        <f>'NUHM Summary'!J69</f>
        <v>0</v>
      </c>
    </row>
    <row r="18" spans="1:13" s="794" customFormat="1" x14ac:dyDescent="0.2">
      <c r="A18" s="810">
        <f>'4.Untied grants Annex'!A7</f>
        <v>4</v>
      </c>
      <c r="B18" s="807" t="str">
        <f>'NUHM Summary'!A70</f>
        <v>U.4</v>
      </c>
      <c r="C18" s="798" t="str">
        <f>'4.Untied grants Annex'!C7</f>
        <v>Untied Fund</v>
      </c>
      <c r="D18" s="2826">
        <f>'4.Untied grants Annex'!H7</f>
        <v>0</v>
      </c>
      <c r="E18" s="2826">
        <f>'4.Untied grants Annex'!I7</f>
        <v>0</v>
      </c>
      <c r="F18" s="2826">
        <f>'4.Untied grants Annex'!J7</f>
        <v>0</v>
      </c>
      <c r="G18" s="800">
        <f>'NUHM-Non Metro Abst'!G70+'NUHM Metro Abst'!G70</f>
        <v>0</v>
      </c>
      <c r="H18" s="800">
        <f>'NUHM-Non Metro Abst'!H70+'NUHM Metro Abst'!H70</f>
        <v>0</v>
      </c>
      <c r="I18" s="800">
        <f>'NUHM-Non Metro Abst'!I70+'NUHM Metro Abst'!I70</f>
        <v>0</v>
      </c>
      <c r="J18" s="799">
        <f>'4.Untied grants Annex'!O7</f>
        <v>0</v>
      </c>
      <c r="K18" s="800">
        <f>'NUHM Summary'!I70</f>
        <v>0</v>
      </c>
      <c r="L18" s="799">
        <f>'4.Untied grants Annex'!R7</f>
        <v>0</v>
      </c>
      <c r="M18" s="800">
        <f>'NUHM Summary'!J70</f>
        <v>0</v>
      </c>
    </row>
    <row r="19" spans="1:13" s="794" customFormat="1" x14ac:dyDescent="0.2">
      <c r="A19" s="810">
        <f>'5.Infrastructure Annex'!A7</f>
        <v>5</v>
      </c>
      <c r="B19" s="807" t="str">
        <f>'NUHM Summary'!A77</f>
        <v>U.5</v>
      </c>
      <c r="C19" s="798" t="str">
        <f>'5.Infrastructure Annex'!C7</f>
        <v>Infrastructure</v>
      </c>
      <c r="D19" s="2824">
        <f>'5.Infrastructure Annex'!H7</f>
        <v>0</v>
      </c>
      <c r="E19" s="2824">
        <f>'5.Infrastructure Annex'!I7</f>
        <v>0</v>
      </c>
      <c r="F19" s="2824">
        <f>'5.Infrastructure Annex'!J7</f>
        <v>0</v>
      </c>
      <c r="G19" s="800">
        <f>'NUHM-Non Metro Abst'!G77+'NUHM Metro Abst'!G77</f>
        <v>0</v>
      </c>
      <c r="H19" s="800">
        <f>'NUHM-Non Metro Abst'!H77+'NUHM Metro Abst'!H77</f>
        <v>0</v>
      </c>
      <c r="I19" s="800">
        <f>'NUHM-Non Metro Abst'!I77+'NUHM Metro Abst'!I77</f>
        <v>0</v>
      </c>
      <c r="J19" s="800">
        <f>'5.Infrastructure Annex'!O7</f>
        <v>20</v>
      </c>
      <c r="K19" s="800">
        <f>'NUHM Summary'!I77</f>
        <v>8</v>
      </c>
      <c r="L19" s="800">
        <f>'5.Infrastructure Annex'!R7</f>
        <v>0</v>
      </c>
      <c r="M19" s="800">
        <f>'NUHM Summary'!J77</f>
        <v>0</v>
      </c>
    </row>
    <row r="20" spans="1:13" s="794" customFormat="1" ht="22.5" x14ac:dyDescent="0.2">
      <c r="A20" s="811">
        <f>'5.Infrastructure Annex'!A8</f>
        <v>5.0999999999999996</v>
      </c>
      <c r="B20" s="802" t="str">
        <f>'NUHM Summary'!A78</f>
        <v>U.5.1</v>
      </c>
      <c r="C20" s="812" t="str">
        <f>'5.Infrastructure Annex'!C8</f>
        <v>Upgradation of existing facilities as per IPHS norms including staff quarters</v>
      </c>
      <c r="D20" s="2825">
        <f>'5.Infrastructure Annex'!H8</f>
        <v>0</v>
      </c>
      <c r="E20" s="2825">
        <f>'5.Infrastructure Annex'!I8</f>
        <v>0</v>
      </c>
      <c r="F20" s="2825">
        <f>'5.Infrastructure Annex'!J8</f>
        <v>0</v>
      </c>
      <c r="G20" s="813">
        <f>'NUHM-Non Metro Abst'!G78+'NUHM Metro Abst'!G78</f>
        <v>0</v>
      </c>
      <c r="H20" s="813">
        <f>'NUHM-Non Metro Abst'!H78+'NUHM Metro Abst'!H78</f>
        <v>0</v>
      </c>
      <c r="I20" s="813">
        <f>'NUHM-Non Metro Abst'!I78+'NUHM Metro Abst'!I78</f>
        <v>0</v>
      </c>
      <c r="J20" s="805">
        <f>'5.Infrastructure Annex'!O8</f>
        <v>0</v>
      </c>
      <c r="K20" s="813">
        <f>'NUHM Summary'!I78</f>
        <v>8</v>
      </c>
      <c r="L20" s="805">
        <f>'5.Infrastructure Annex'!R8</f>
        <v>0</v>
      </c>
      <c r="M20" s="813">
        <f>'NUHM Summary'!J78</f>
        <v>0</v>
      </c>
    </row>
    <row r="21" spans="1:13" s="794" customFormat="1" x14ac:dyDescent="0.2">
      <c r="A21" s="811">
        <f>'5.Infrastructure Annex'!A55</f>
        <v>5.2</v>
      </c>
      <c r="B21" s="802" t="str">
        <f>'NUHM Summary'!A84</f>
        <v>U.5.2</v>
      </c>
      <c r="C21" s="812" t="str">
        <f>'5.Infrastructure Annex'!C55</f>
        <v xml:space="preserve">New Constructions </v>
      </c>
      <c r="D21" s="2825">
        <f>'5.Infrastructure Annex'!H55</f>
        <v>0</v>
      </c>
      <c r="E21" s="2825">
        <f>'5.Infrastructure Annex'!I55</f>
        <v>0</v>
      </c>
      <c r="F21" s="2825">
        <f>'5.Infrastructure Annex'!J55</f>
        <v>0</v>
      </c>
      <c r="G21" s="813">
        <f>'NUHM-Non Metro Abst'!G84+'NUHM Metro Abst'!G84</f>
        <v>0</v>
      </c>
      <c r="H21" s="813">
        <f>'NUHM-Non Metro Abst'!H84+'NUHM Metro Abst'!H84</f>
        <v>0</v>
      </c>
      <c r="I21" s="813">
        <f>'NUHM-Non Metro Abst'!I84+'NUHM Metro Abst'!I84</f>
        <v>0</v>
      </c>
      <c r="J21" s="805">
        <f>'5.Infrastructure Annex'!O55</f>
        <v>0</v>
      </c>
      <c r="K21" s="813">
        <f>'NUHM Summary'!I84</f>
        <v>0</v>
      </c>
      <c r="L21" s="805">
        <f>'5.Infrastructure Annex'!R55</f>
        <v>0</v>
      </c>
      <c r="M21" s="813">
        <f>'NUHM Summary'!J84</f>
        <v>0</v>
      </c>
    </row>
    <row r="22" spans="1:13" s="794" customFormat="1" ht="22.5" x14ac:dyDescent="0.2">
      <c r="A22" s="811">
        <f>'5.Infrastructure Annex'!A82</f>
        <v>5.3</v>
      </c>
      <c r="B22" s="802" t="str">
        <f>'NUHM Summary'!A88</f>
        <v>U.5.3</v>
      </c>
      <c r="C22" s="812" t="str">
        <f>'5.Infrastructure Annex'!C82</f>
        <v>Other construction/ Civil works except IPHS Infrastructure</v>
      </c>
      <c r="D22" s="2825">
        <f>'5.Infrastructure Annex'!H82</f>
        <v>0</v>
      </c>
      <c r="E22" s="2825">
        <f>'5.Infrastructure Annex'!I82</f>
        <v>0</v>
      </c>
      <c r="F22" s="2825">
        <f>'5.Infrastructure Annex'!J82</f>
        <v>0</v>
      </c>
      <c r="G22" s="813">
        <f>'NUHM-Non Metro Abst'!G88+'NUHM Metro Abst'!G88</f>
        <v>140</v>
      </c>
      <c r="H22" s="813">
        <f>'NUHM-Non Metro Abst'!H88+'NUHM Metro Abst'!H88</f>
        <v>0</v>
      </c>
      <c r="I22" s="813">
        <f>'NUHM-Non Metro Abst'!I88+'NUHM Metro Abst'!I88</f>
        <v>0</v>
      </c>
      <c r="J22" s="805">
        <f>'5.Infrastructure Annex'!O82</f>
        <v>20</v>
      </c>
      <c r="K22" s="813">
        <f>'NUHM Summary'!I88</f>
        <v>0</v>
      </c>
      <c r="L22" s="805">
        <f>'5.Infrastructure Annex'!R82</f>
        <v>0</v>
      </c>
      <c r="M22" s="813">
        <f>'NUHM Summary'!J88</f>
        <v>0</v>
      </c>
    </row>
    <row r="23" spans="1:13" s="794" customFormat="1" x14ac:dyDescent="0.2">
      <c r="A23" s="810">
        <f>'6.Procurement Annex'!A7</f>
        <v>6</v>
      </c>
      <c r="B23" s="807" t="str">
        <f>'NUHM Summary'!A91</f>
        <v>U.6</v>
      </c>
      <c r="C23" s="814" t="str">
        <f>'6.Procurement Annex'!C7</f>
        <v>Procurement</v>
      </c>
      <c r="D23" s="2824">
        <f>'6.Procurement Annex'!H7</f>
        <v>0</v>
      </c>
      <c r="E23" s="2824">
        <f>'6.Procurement Annex'!I7</f>
        <v>0</v>
      </c>
      <c r="F23" s="2824">
        <f>'6.Procurement Annex'!J7</f>
        <v>0</v>
      </c>
      <c r="G23" s="800">
        <f>'NUHM-Non Metro Abst'!G91+'NUHM Metro Abst'!G91</f>
        <v>0</v>
      </c>
      <c r="H23" s="800">
        <f>'NUHM-Non Metro Abst'!H91+'NUHM Metro Abst'!H91</f>
        <v>0</v>
      </c>
      <c r="I23" s="800">
        <f>'NUHM-Non Metro Abst'!I91+'NUHM Metro Abst'!I91</f>
        <v>0</v>
      </c>
      <c r="J23" s="800">
        <f>'6.Procurement Annex'!O7</f>
        <v>6139.0083800000002</v>
      </c>
      <c r="K23" s="800">
        <f>'NUHM Summary'!I91</f>
        <v>0</v>
      </c>
      <c r="L23" s="800">
        <f>'6.Procurement Annex'!R7</f>
        <v>0</v>
      </c>
      <c r="M23" s="800">
        <f>'NUHM Summary'!J91</f>
        <v>0</v>
      </c>
    </row>
    <row r="24" spans="1:13" s="794" customFormat="1" x14ac:dyDescent="0.2">
      <c r="A24" s="811">
        <f>'6.Procurement Annex'!A8</f>
        <v>6.1</v>
      </c>
      <c r="B24" s="802" t="str">
        <f>'NUHM Summary'!A92</f>
        <v>U.6.1</v>
      </c>
      <c r="C24" s="812" t="str">
        <f>'6.Procurement Annex'!C8</f>
        <v>Procurement of Equipment</v>
      </c>
      <c r="D24" s="2825">
        <f>'6.Procurement Annex'!H8</f>
        <v>0</v>
      </c>
      <c r="E24" s="2825">
        <f>'6.Procurement Annex'!I8</f>
        <v>0</v>
      </c>
      <c r="F24" s="2825">
        <f>'6.Procurement Annex'!J8</f>
        <v>0</v>
      </c>
      <c r="G24" s="813">
        <f>'NUHM-Non Metro Abst'!G92+'NUHM Metro Abst'!G92</f>
        <v>0</v>
      </c>
      <c r="H24" s="813">
        <f>'NUHM-Non Metro Abst'!H92+'NUHM Metro Abst'!H92</f>
        <v>0</v>
      </c>
      <c r="I24" s="813">
        <f>'NUHM-Non Metro Abst'!I92+'NUHM Metro Abst'!I92</f>
        <v>0</v>
      </c>
      <c r="J24" s="805">
        <f>'6.Procurement Annex'!O8</f>
        <v>2300.0799000000002</v>
      </c>
      <c r="K24" s="813">
        <f>'NUHM Summary'!I92</f>
        <v>0</v>
      </c>
      <c r="L24" s="805">
        <f>'6.Procurement Annex'!R8</f>
        <v>0</v>
      </c>
      <c r="M24" s="813">
        <f>'NUHM Summary'!J92</f>
        <v>0</v>
      </c>
    </row>
    <row r="25" spans="1:13" s="794" customFormat="1" x14ac:dyDescent="0.2">
      <c r="A25" s="811">
        <f>'6.Procurement Annex'!A54</f>
        <v>6.2</v>
      </c>
      <c r="B25" s="802" t="str">
        <f>'NUHM Summary'!A103</f>
        <v>U.6.2</v>
      </c>
      <c r="C25" s="812" t="str">
        <f>'6.Procurement Annex'!C54</f>
        <v>Procurement of Drugs and Supplies</v>
      </c>
      <c r="D25" s="2825">
        <f>'6.Procurement Annex'!H54</f>
        <v>0</v>
      </c>
      <c r="E25" s="2825">
        <f>'6.Procurement Annex'!I54</f>
        <v>0</v>
      </c>
      <c r="F25" s="2825">
        <f>'6.Procurement Annex'!J54</f>
        <v>0</v>
      </c>
      <c r="G25" s="813">
        <f>'NUHM-Non Metro Abst'!G103+'NUHM Metro Abst'!G103</f>
        <v>0</v>
      </c>
      <c r="H25" s="813">
        <f>'NUHM-Non Metro Abst'!H103+'NUHM Metro Abst'!H103</f>
        <v>0</v>
      </c>
      <c r="I25" s="813">
        <f>'NUHM-Non Metro Abst'!I103+'NUHM Metro Abst'!I103</f>
        <v>0</v>
      </c>
      <c r="J25" s="805">
        <f>'6.Procurement Annex'!O54</f>
        <v>3838.92848</v>
      </c>
      <c r="K25" s="813">
        <f>'NUHM Summary'!I103</f>
        <v>0</v>
      </c>
      <c r="L25" s="805">
        <f>'6.Procurement Annex'!R54</f>
        <v>0</v>
      </c>
      <c r="M25" s="813">
        <f>'NUHM Summary'!J103</f>
        <v>0</v>
      </c>
    </row>
    <row r="26" spans="1:13" s="794" customFormat="1" x14ac:dyDescent="0.2">
      <c r="A26" s="811">
        <f>'6.Procurement Annex'!A86</f>
        <v>6.3</v>
      </c>
      <c r="B26" s="802" t="str">
        <f>'NUHM Summary'!A115</f>
        <v>U.6.3</v>
      </c>
      <c r="C26" s="812" t="str">
        <f>'6.Procurement Annex'!C86</f>
        <v>Other Procurement</v>
      </c>
      <c r="D26" s="2825">
        <f>'6.Procurement Annex'!H86</f>
        <v>0</v>
      </c>
      <c r="E26" s="2825">
        <f>'6.Procurement Annex'!I86</f>
        <v>0</v>
      </c>
      <c r="F26" s="2825">
        <f>'6.Procurement Annex'!J86</f>
        <v>0</v>
      </c>
      <c r="G26" s="813">
        <f>'NUHM-Non Metro Abst'!G115+'NUHM Metro Abst'!G115</f>
        <v>0</v>
      </c>
      <c r="H26" s="813">
        <f>'NUHM-Non Metro Abst'!H115+'NUHM Metro Abst'!H115</f>
        <v>0</v>
      </c>
      <c r="I26" s="813">
        <f>'NUHM-Non Metro Abst'!I115+'NUHM Metro Abst'!I115</f>
        <v>0</v>
      </c>
      <c r="J26" s="805">
        <f>'6.Procurement Annex'!O86</f>
        <v>0</v>
      </c>
      <c r="K26" s="813">
        <f>'NUHM Summary'!I115</f>
        <v>0</v>
      </c>
      <c r="L26" s="805">
        <f>'6.Procurement Annex'!R86</f>
        <v>0</v>
      </c>
      <c r="M26" s="813">
        <f>'NUHM Summary'!J115</f>
        <v>0</v>
      </c>
    </row>
    <row r="27" spans="1:13" x14ac:dyDescent="0.15">
      <c r="A27" s="810">
        <f>+'7.Referral Transport Annex'!A7</f>
        <v>7</v>
      </c>
      <c r="B27" s="807" t="str">
        <f>'NUHM Summary'!A118</f>
        <v>U.7</v>
      </c>
      <c r="C27" s="798" t="str">
        <f>+'7.Referral Transport Annex'!C7</f>
        <v>Referral Transport</v>
      </c>
      <c r="D27" s="2824">
        <f>'7.Referral Transport Annex'!H7</f>
        <v>0</v>
      </c>
      <c r="E27" s="2824">
        <f>'7.Referral Transport Annex'!I7</f>
        <v>0</v>
      </c>
      <c r="F27" s="2824">
        <f>'7.Referral Transport Annex'!J7</f>
        <v>0</v>
      </c>
      <c r="G27" s="799">
        <f>'NUHM-Non Metro Abst'!G118+'NUHM Metro Abst'!G118</f>
        <v>0</v>
      </c>
      <c r="H27" s="799">
        <f>'NUHM-Non Metro Abst'!H118+'NUHM Metro Abst'!H118</f>
        <v>0</v>
      </c>
      <c r="I27" s="799">
        <f>'NUHM-Non Metro Abst'!I118+'NUHM Metro Abst'!I118</f>
        <v>0</v>
      </c>
      <c r="J27" s="800">
        <f>'7.Referral Transport Annex'!O7</f>
        <v>0</v>
      </c>
      <c r="K27" s="799">
        <f>'NUHM Summary'!I118</f>
        <v>0</v>
      </c>
      <c r="L27" s="800">
        <f>+'7.Referral Transport Annex'!R7</f>
        <v>0</v>
      </c>
      <c r="M27" s="799">
        <f>'NUHM Summary'!J118</f>
        <v>0</v>
      </c>
    </row>
    <row r="28" spans="1:13" s="794" customFormat="1" x14ac:dyDescent="0.2">
      <c r="A28" s="810">
        <f>'8.Human Resources (SD) Annex'!A7</f>
        <v>8</v>
      </c>
      <c r="B28" s="807" t="str">
        <f>'NUHM Summary'!A120</f>
        <v>U.8</v>
      </c>
      <c r="C28" s="814" t="str">
        <f>'8.Human Resources (SD) Annex'!C7</f>
        <v>Human Resources</v>
      </c>
      <c r="D28" s="2824">
        <f>'8.Human Resources (SD) Annex'!H7</f>
        <v>0</v>
      </c>
      <c r="E28" s="2824">
        <f>'8.Human Resources (SD) Annex'!I7</f>
        <v>0</v>
      </c>
      <c r="F28" s="2824">
        <f>'8.Human Resources (SD) Annex'!L7</f>
        <v>0</v>
      </c>
      <c r="G28" s="799">
        <f>'NUHM-Non Metro Abst'!G120+'NUHM Metro Abst'!G120</f>
        <v>0</v>
      </c>
      <c r="H28" s="799">
        <f>'NUHM-Non Metro Abst'!H120+'NUHM Metro Abst'!H120</f>
        <v>0</v>
      </c>
      <c r="I28" s="799">
        <f>'NUHM-Non Metro Abst'!I120+'NUHM Metro Abst'!I120</f>
        <v>0</v>
      </c>
      <c r="J28" s="800">
        <f>'8.Human Resources (SD) Annex'!P7</f>
        <v>527.33000000000004</v>
      </c>
      <c r="K28" s="799">
        <f>'NUHM Summary'!I120</f>
        <v>2794.10862</v>
      </c>
      <c r="L28" s="800">
        <f>+'8.Human Resources (SD) Annex'!S7</f>
        <v>0</v>
      </c>
      <c r="M28" s="799">
        <f>'NUHM Summary'!J120</f>
        <v>0</v>
      </c>
    </row>
    <row r="29" spans="1:13" s="794" customFormat="1" x14ac:dyDescent="0.2">
      <c r="A29" s="801">
        <f>+'8.Human Resources (SD) Annex'!A8</f>
        <v>8.1</v>
      </c>
      <c r="B29" s="802" t="str">
        <f>'NUHM Summary'!A121</f>
        <v>U.8.1</v>
      </c>
      <c r="C29" s="803" t="str">
        <f>+'8.Human Resources (SD) Annex'!C8</f>
        <v>Human Resources</v>
      </c>
      <c r="D29" s="2825">
        <f>'8.Human Resources (SD) Annex'!H8</f>
        <v>0</v>
      </c>
      <c r="E29" s="2825">
        <f>'8.Human Resources (SD) Annex'!I8</f>
        <v>0</v>
      </c>
      <c r="F29" s="2825">
        <f>'8.Human Resources (SD) Annex'!L8</f>
        <v>0</v>
      </c>
      <c r="G29" s="806">
        <f>'NUHM-Non Metro Abst'!G121+'NUHM Metro Abst'!G121</f>
        <v>0</v>
      </c>
      <c r="H29" s="806">
        <f>'NUHM-Non Metro Abst'!H121+'NUHM Metro Abst'!H121</f>
        <v>0</v>
      </c>
      <c r="I29" s="806">
        <f>'NUHM-Non Metro Abst'!I121+'NUHM Metro Abst'!I121</f>
        <v>0</v>
      </c>
      <c r="J29" s="805">
        <f>'8.Human Resources (SD) Annex'!P8</f>
        <v>342.065</v>
      </c>
      <c r="K29" s="806">
        <f>'NUHM Summary'!I121</f>
        <v>2794.10862</v>
      </c>
      <c r="L29" s="805">
        <f>+'8.Human Resources (SD) Annex'!S8</f>
        <v>0</v>
      </c>
      <c r="M29" s="806">
        <f>'NUHM Summary'!J121</f>
        <v>0</v>
      </c>
    </row>
    <row r="30" spans="1:13" ht="22.5" x14ac:dyDescent="0.15">
      <c r="A30" s="801">
        <f>+'8.Human Resources (SD) Annex'!A161</f>
        <v>8.1999999999999993</v>
      </c>
      <c r="B30" s="802" t="str">
        <f>'NUHM Summary'!A169</f>
        <v>U.8.2</v>
      </c>
      <c r="C30" s="803" t="str">
        <f>+'8.Human Resources (SD) Annex'!C161</f>
        <v xml:space="preserve">Annual increment for all the existing SD positions </v>
      </c>
      <c r="D30" s="2825">
        <f>'8.Human Resources (SD) Annex'!H161</f>
        <v>0</v>
      </c>
      <c r="E30" s="2825">
        <f>'8.Human Resources (SD) Annex'!I161</f>
        <v>0</v>
      </c>
      <c r="F30" s="2825">
        <f>'8.Human Resources (SD) Annex'!L161</f>
        <v>0</v>
      </c>
      <c r="G30" s="806">
        <f>'NUHM-Non Metro Abst'!G169+'NUHM Metro Abst'!G169</f>
        <v>0</v>
      </c>
      <c r="H30" s="806">
        <f>'NUHM-Non Metro Abst'!H169+'NUHM Metro Abst'!H169</f>
        <v>0</v>
      </c>
      <c r="I30" s="806">
        <f>'NUHM-Non Metro Abst'!I169+'NUHM Metro Abst'!I169</f>
        <v>0</v>
      </c>
      <c r="J30" s="805">
        <f>'8.Human Resources (SD) Annex'!P161</f>
        <v>0</v>
      </c>
      <c r="K30" s="806">
        <f>'NUHM Summary'!I169</f>
        <v>0</v>
      </c>
      <c r="L30" s="805">
        <f>+'8.Human Resources (SD) Annex'!S161</f>
        <v>0</v>
      </c>
      <c r="M30" s="806">
        <f>'NUHM Summary'!J169</f>
        <v>0</v>
      </c>
    </row>
    <row r="31" spans="1:13" ht="22.5" x14ac:dyDescent="0.15">
      <c r="A31" s="801">
        <f>+'8.Human Resources (SD) Annex'!A162</f>
        <v>8.3000000000000007</v>
      </c>
      <c r="B31" s="802" t="str">
        <f>'NUHM Summary'!A170</f>
        <v>U.8.3</v>
      </c>
      <c r="C31" s="803" t="str">
        <f>+'8.Human Resources (SD) Annex'!C162</f>
        <v>EPF (Employer's contribution) @ 13.36% for salaries &lt;= Rs.15,000 pm</v>
      </c>
      <c r="D31" s="2825">
        <f>'8.Human Resources (SD) Annex'!H162</f>
        <v>0</v>
      </c>
      <c r="E31" s="2825">
        <f>'8.Human Resources (SD) Annex'!I162</f>
        <v>0</v>
      </c>
      <c r="F31" s="2825">
        <f>'8.Human Resources (SD) Annex'!L162</f>
        <v>0</v>
      </c>
      <c r="G31" s="806">
        <f>'NUHM-Non Metro Abst'!G170+'NUHM Metro Abst'!G170</f>
        <v>0</v>
      </c>
      <c r="H31" s="806">
        <f>'NUHM-Non Metro Abst'!H170+'NUHM Metro Abst'!H170</f>
        <v>0</v>
      </c>
      <c r="I31" s="806">
        <f>'NUHM-Non Metro Abst'!I170+'NUHM Metro Abst'!I170</f>
        <v>0</v>
      </c>
      <c r="J31" s="805">
        <f>'8.Human Resources (SD) Annex'!P162</f>
        <v>0</v>
      </c>
      <c r="K31" s="806">
        <f>'NUHM Summary'!I170</f>
        <v>0</v>
      </c>
      <c r="L31" s="805">
        <f>+'8.Human Resources (SD) Annex'!S162</f>
        <v>0</v>
      </c>
      <c r="M31" s="806">
        <f>'NUHM Summary'!J170</f>
        <v>0</v>
      </c>
    </row>
    <row r="32" spans="1:13" s="794" customFormat="1" x14ac:dyDescent="0.2">
      <c r="A32" s="801">
        <f>+'8.Human Resources (SD) Annex'!A163</f>
        <v>8.4</v>
      </c>
      <c r="B32" s="802">
        <f>'NUHM Summary'!N171</f>
        <v>0</v>
      </c>
      <c r="C32" s="803" t="str">
        <f>+'8.Human Resources (SD) Annex'!C163</f>
        <v>Incentives and Allowances</v>
      </c>
      <c r="D32" s="2825">
        <f>'8.Human Resources (SD) Annex'!H163</f>
        <v>0</v>
      </c>
      <c r="E32" s="2825">
        <f>'8.Human Resources (SD) Annex'!I163</f>
        <v>0</v>
      </c>
      <c r="F32" s="2825">
        <f>'8.Human Resources (SD) Annex'!L163</f>
        <v>0</v>
      </c>
      <c r="G32" s="806">
        <f>'NUHM-Non Metro Abst'!G171+'NUHM Metro Abst'!G171</f>
        <v>0</v>
      </c>
      <c r="H32" s="806">
        <f>'NUHM-Non Metro Abst'!H171+'NUHM Metro Abst'!H171</f>
        <v>0</v>
      </c>
      <c r="I32" s="806">
        <f>'NUHM-Non Metro Abst'!I171+'NUHM Metro Abst'!I171</f>
        <v>0</v>
      </c>
      <c r="J32" s="805">
        <f>'8.Human Resources (SD) Annex'!P163</f>
        <v>185.26500000000001</v>
      </c>
      <c r="K32" s="806">
        <f>'NUHM Summary'!J171</f>
        <v>0</v>
      </c>
      <c r="L32" s="805">
        <f>+'8.Human Resources (SD) Annex'!S163</f>
        <v>0</v>
      </c>
      <c r="M32" s="806">
        <f>'NUHM Summary'!K171</f>
        <v>0</v>
      </c>
    </row>
    <row r="33" spans="1:13" x14ac:dyDescent="0.15">
      <c r="A33" s="796">
        <f>'9.Training Annex'!A7</f>
        <v>9</v>
      </c>
      <c r="B33" s="807" t="str">
        <f>'NUHM Summary'!A174</f>
        <v>U.9</v>
      </c>
      <c r="C33" s="808" t="str">
        <f>'9.Training Annex'!C7</f>
        <v>Training and Capacity Building</v>
      </c>
      <c r="D33" s="2824">
        <f>'9.Training Annex'!H7</f>
        <v>0</v>
      </c>
      <c r="E33" s="2824">
        <f>'9.Training Annex'!I7</f>
        <v>0</v>
      </c>
      <c r="F33" s="2824">
        <f>'9.Training Annex'!J7</f>
        <v>0</v>
      </c>
      <c r="G33" s="799">
        <f>'NUHM-Non Metro Abst'!G174+'NUHM Metro Abst'!G174</f>
        <v>0</v>
      </c>
      <c r="H33" s="799">
        <f>'NUHM-Non Metro Abst'!H174+'NUHM Metro Abst'!H174</f>
        <v>0</v>
      </c>
      <c r="I33" s="799">
        <f>'NUHM-Non Metro Abst'!I174+'NUHM Metro Abst'!I174</f>
        <v>0</v>
      </c>
      <c r="J33" s="800">
        <f>'9.Training Annex'!O7</f>
        <v>9.1529999999999987</v>
      </c>
      <c r="K33" s="799">
        <f>'NUHM Summary'!I174</f>
        <v>0</v>
      </c>
      <c r="L33" s="816">
        <f>'9.Training Annex'!R7</f>
        <v>0</v>
      </c>
      <c r="M33" s="799">
        <f>'NUHM Summary'!J174</f>
        <v>0</v>
      </c>
    </row>
    <row r="34" spans="1:13" ht="45" x14ac:dyDescent="0.15">
      <c r="A34" s="801">
        <f>'9.Training Annex'!A8</f>
        <v>9.1</v>
      </c>
      <c r="B34" s="802" t="str">
        <f>'NUHM Summary'!A175</f>
        <v>U.9.1</v>
      </c>
      <c r="C34" s="809" t="str">
        <f>'9.Training Annex'!C8</f>
        <v>Setting Up &amp; Strengthening of Skill Lab/ Other Training Centres or institutes including medical (DNB/CPS)/paramedical/nursing courses</v>
      </c>
      <c r="D34" s="2827">
        <f>'9.Training Annex'!H8</f>
        <v>0</v>
      </c>
      <c r="E34" s="2827">
        <f>'9.Training Annex'!I8</f>
        <v>0</v>
      </c>
      <c r="F34" s="2827">
        <f>'9.Training Annex'!J8</f>
        <v>0</v>
      </c>
      <c r="G34" s="2831">
        <f>'NUHM-Non Metro Abst'!G175+'NUHM Metro Abst'!G175</f>
        <v>0</v>
      </c>
      <c r="H34" s="2831">
        <f>'NUHM-Non Metro Abst'!H175+'NUHM Metro Abst'!H175</f>
        <v>0</v>
      </c>
      <c r="I34" s="2831">
        <f>'NUHM-Non Metro Abst'!I175+'NUHM Metro Abst'!I175</f>
        <v>0</v>
      </c>
      <c r="J34" s="817">
        <f>'9.Training Annex'!O8</f>
        <v>0</v>
      </c>
      <c r="K34" s="806">
        <f>'NUHM Summary'!I175</f>
        <v>0</v>
      </c>
      <c r="L34" s="817">
        <f>'9.Training Annex'!R8</f>
        <v>0</v>
      </c>
      <c r="M34" s="806">
        <f>'NUHM Summary'!J175</f>
        <v>0</v>
      </c>
    </row>
    <row r="35" spans="1:13" ht="22.5" x14ac:dyDescent="0.15">
      <c r="A35" s="801">
        <f>'9.Training Annex'!A19</f>
        <v>9.1999999999999993</v>
      </c>
      <c r="B35" s="802" t="str">
        <f>'NUHM Summary'!A178</f>
        <v>U.9.2</v>
      </c>
      <c r="C35" s="809" t="str">
        <f>'9.Training Annex'!C19</f>
        <v>Conducting Trainings including medical (DNB/CPS)/paramedical/nursing courses</v>
      </c>
      <c r="D35" s="2827">
        <f>'9.Training Annex'!H19</f>
        <v>0</v>
      </c>
      <c r="E35" s="2827">
        <f>'9.Training Annex'!I19</f>
        <v>0</v>
      </c>
      <c r="F35" s="2827">
        <f>'9.Training Annex'!J19</f>
        <v>0</v>
      </c>
      <c r="G35" s="806">
        <f>'NUHM-Non Metro Abst'!G178+'NUHM Metro Abst'!G178</f>
        <v>0</v>
      </c>
      <c r="H35" s="806">
        <f>'NUHM-Non Metro Abst'!H178+'NUHM Metro Abst'!H178</f>
        <v>0</v>
      </c>
      <c r="I35" s="806">
        <f>'NUHM-Non Metro Abst'!I178+'NUHM Metro Abst'!I178</f>
        <v>0</v>
      </c>
      <c r="J35" s="817">
        <f>'9.Training Annex'!O19</f>
        <v>9.1529999999999987</v>
      </c>
      <c r="K35" s="806">
        <f>'NUHM Summary'!I178</f>
        <v>0</v>
      </c>
      <c r="L35" s="817">
        <f>'9.Training Annex'!R19</f>
        <v>0</v>
      </c>
      <c r="M35" s="806">
        <f>'NUHM Summary'!J178</f>
        <v>0</v>
      </c>
    </row>
    <row r="36" spans="1:13" x14ac:dyDescent="0.15">
      <c r="A36" s="818">
        <f>+'10.Review Research &amp; Surveillen'!A7</f>
        <v>10</v>
      </c>
      <c r="B36" s="819" t="str">
        <f>'NUHM Summary'!A195</f>
        <v>U.10</v>
      </c>
      <c r="C36" s="798" t="str">
        <f>+'10.Review Research &amp; Surveillen'!C7</f>
        <v>Reviews, Research, Surveys and Surveillance</v>
      </c>
      <c r="D36" s="2824">
        <f>'10.Review Research &amp; Surveillen'!H7</f>
        <v>0</v>
      </c>
      <c r="E36" s="2824">
        <f>'10.Review Research &amp; Surveillen'!I7</f>
        <v>0</v>
      </c>
      <c r="F36" s="2824">
        <f>'10.Review Research &amp; Surveillen'!J7</f>
        <v>0</v>
      </c>
      <c r="G36" s="820">
        <f>'NUHM-Non Metro Abst'!G195+'NUHM Metro Abst'!G195</f>
        <v>0</v>
      </c>
      <c r="H36" s="820">
        <f>'NUHM-Non Metro Abst'!H195+'NUHM Metro Abst'!H195</f>
        <v>0</v>
      </c>
      <c r="I36" s="820">
        <f>'NUHM-Non Metro Abst'!I195+'NUHM Metro Abst'!I195</f>
        <v>0</v>
      </c>
      <c r="J36" s="800">
        <f>'10.Review Research &amp; Surveillen'!O7</f>
        <v>0</v>
      </c>
      <c r="K36" s="820">
        <f>'NUHM Summary'!I195</f>
        <v>0</v>
      </c>
      <c r="L36" s="800">
        <f>+'10.Review Research &amp; Surveillen'!R7</f>
        <v>0</v>
      </c>
      <c r="M36" s="820">
        <f>'NUHM Summary'!J195</f>
        <v>0</v>
      </c>
    </row>
    <row r="37" spans="1:13" x14ac:dyDescent="0.15">
      <c r="A37" s="801">
        <f>+'10.Review Research &amp; Surveillen'!A8</f>
        <v>10.1</v>
      </c>
      <c r="B37" s="802" t="str">
        <f>'NUHM Summary'!A196</f>
        <v>U.10.1</v>
      </c>
      <c r="C37" s="803" t="str">
        <f>+'10.Review Research &amp; Surveillen'!C8</f>
        <v>Reviews</v>
      </c>
      <c r="D37" s="2825">
        <f>'10.Review Research &amp; Surveillen'!H8</f>
        <v>0</v>
      </c>
      <c r="E37" s="2825">
        <f>'10.Review Research &amp; Surveillen'!I8</f>
        <v>0</v>
      </c>
      <c r="F37" s="2825">
        <f>'10.Review Research &amp; Surveillen'!J8</f>
        <v>0</v>
      </c>
      <c r="G37" s="2832">
        <f>'NUHM-Non Metro Abst'!G196+'NUHM Metro Abst'!G196</f>
        <v>0</v>
      </c>
      <c r="H37" s="2832">
        <f>'NUHM-Non Metro Abst'!H196+'NUHM Metro Abst'!H196</f>
        <v>0</v>
      </c>
      <c r="I37" s="2832">
        <f>'NUHM-Non Metro Abst'!I196+'NUHM Metro Abst'!I196</f>
        <v>0</v>
      </c>
      <c r="J37" s="805">
        <f>'10.Review Research &amp; Surveillen'!O8</f>
        <v>0</v>
      </c>
      <c r="K37" s="806">
        <f>'NUHM Summary'!I196</f>
        <v>0</v>
      </c>
      <c r="L37" s="805">
        <f>+'10.Review Research &amp; Surveillen'!R8</f>
        <v>0</v>
      </c>
      <c r="M37" s="806">
        <f>'NUHM Summary'!J196</f>
        <v>0</v>
      </c>
    </row>
    <row r="38" spans="1:13" x14ac:dyDescent="0.15">
      <c r="A38" s="801">
        <f>+'10.Review Research &amp; Surveillen'!A12</f>
        <v>10.199999999999999</v>
      </c>
      <c r="B38" s="802" t="str">
        <f>'NUHM Summary'!A199</f>
        <v>U.10.2</v>
      </c>
      <c r="C38" s="803" t="str">
        <f>+'10.Review Research &amp; Surveillen'!C12</f>
        <v>Research &amp; Surveys</v>
      </c>
      <c r="D38" s="2825">
        <f>'10.Review Research &amp; Surveillen'!H12</f>
        <v>0</v>
      </c>
      <c r="E38" s="2825">
        <f>'10.Review Research &amp; Surveillen'!I12</f>
        <v>0</v>
      </c>
      <c r="F38" s="2825">
        <f>'10.Review Research &amp; Surveillen'!J12</f>
        <v>0</v>
      </c>
      <c r="G38" s="806">
        <f>'NUHM-Non Metro Abst'!G199+'NUHM Metro Abst'!G199</f>
        <v>0</v>
      </c>
      <c r="H38" s="806">
        <f>'NUHM-Non Metro Abst'!H199+'NUHM Metro Abst'!H199</f>
        <v>0</v>
      </c>
      <c r="I38" s="806">
        <f>'NUHM-Non Metro Abst'!I199+'NUHM Metro Abst'!I199</f>
        <v>0</v>
      </c>
      <c r="J38" s="805">
        <f>'10.Review Research &amp; Surveillen'!O12</f>
        <v>0</v>
      </c>
      <c r="K38" s="806">
        <f>'NUHM Summary'!I199</f>
        <v>0</v>
      </c>
      <c r="L38" s="805">
        <f>+'10.Review Research &amp; Surveillen'!R12</f>
        <v>0</v>
      </c>
      <c r="M38" s="806">
        <f>'NUHM Summary'!J199</f>
        <v>0</v>
      </c>
    </row>
    <row r="39" spans="1:13" x14ac:dyDescent="0.15">
      <c r="A39" s="801">
        <f>+'10.Review Research &amp; Surveillen'!A34</f>
        <v>10.3</v>
      </c>
      <c r="B39" s="802" t="str">
        <f>'NUHM Summary'!A202</f>
        <v>U.10.3</v>
      </c>
      <c r="C39" s="803" t="str">
        <f>+'10.Review Research &amp; Surveillen'!C34</f>
        <v>Surveillance</v>
      </c>
      <c r="D39" s="2825">
        <f>'10.Review Research &amp; Surveillen'!H34</f>
        <v>0</v>
      </c>
      <c r="E39" s="2825">
        <f>'10.Review Research &amp; Surveillen'!I34</f>
        <v>0</v>
      </c>
      <c r="F39" s="2825">
        <f>'10.Review Research &amp; Surveillen'!J34</f>
        <v>0</v>
      </c>
      <c r="G39" s="806">
        <f>'NUHM-Non Metro Abst'!G202+'NUHM Metro Abst'!G202</f>
        <v>0</v>
      </c>
      <c r="H39" s="806">
        <f>'NUHM-Non Metro Abst'!H202+'NUHM Metro Abst'!H202</f>
        <v>0</v>
      </c>
      <c r="I39" s="806">
        <f>'NUHM-Non Metro Abst'!I202+'NUHM Metro Abst'!I202</f>
        <v>0</v>
      </c>
      <c r="J39" s="805">
        <f>'10.Review Research &amp; Surveillen'!O34</f>
        <v>0</v>
      </c>
      <c r="K39" s="806">
        <f>'NUHM Summary'!I202</f>
        <v>0</v>
      </c>
      <c r="L39" s="805">
        <f>+'10.Review Research &amp; Surveillen'!R34</f>
        <v>0</v>
      </c>
      <c r="M39" s="806">
        <f>'NUHM Summary'!J202</f>
        <v>0</v>
      </c>
    </row>
    <row r="40" spans="1:13" x14ac:dyDescent="0.15">
      <c r="A40" s="801">
        <f>+'10.Review Research &amp; Surveillen'!A47</f>
        <v>10.4</v>
      </c>
      <c r="B40" s="802" t="str">
        <f>'NUHM Summary'!A203</f>
        <v>U.10.4</v>
      </c>
      <c r="C40" s="803" t="str">
        <f>+'10.Review Research &amp; Surveillen'!C47</f>
        <v xml:space="preserve">Other Recurring cost </v>
      </c>
      <c r="D40" s="2825">
        <f>'10.Review Research &amp; Surveillen'!H47</f>
        <v>0</v>
      </c>
      <c r="E40" s="2825">
        <f>'10.Review Research &amp; Surveillen'!I47</f>
        <v>0</v>
      </c>
      <c r="F40" s="2825">
        <f>'10.Review Research &amp; Surveillen'!J47</f>
        <v>0</v>
      </c>
      <c r="G40" s="806">
        <f>'NUHM-Non Metro Abst'!G203+'NUHM Metro Abst'!G203</f>
        <v>0</v>
      </c>
      <c r="H40" s="806">
        <f>'NUHM-Non Metro Abst'!H203+'NUHM Metro Abst'!H203</f>
        <v>0</v>
      </c>
      <c r="I40" s="806">
        <f>'NUHM-Non Metro Abst'!I203+'NUHM Metro Abst'!I203</f>
        <v>0</v>
      </c>
      <c r="J40" s="805">
        <f>'10.Review Research &amp; Surveillen'!O47</f>
        <v>0</v>
      </c>
      <c r="K40" s="806">
        <f>'NUHM Summary'!I203</f>
        <v>0</v>
      </c>
      <c r="L40" s="805">
        <f>+'10.Review Research &amp; Surveillen'!R47</f>
        <v>0</v>
      </c>
      <c r="M40" s="806">
        <f>'NUHM Summary'!J203</f>
        <v>0</v>
      </c>
    </row>
    <row r="41" spans="1:13" x14ac:dyDescent="0.15">
      <c r="A41" s="801">
        <f>'10.Review Research &amp; Surveillen'!A55</f>
        <v>10.5</v>
      </c>
      <c r="B41" s="802"/>
      <c r="C41" s="821" t="str">
        <f>'10.Review Research &amp; Surveillen'!C55</f>
        <v>Sub-national Disease Free Certification</v>
      </c>
      <c r="D41" s="2825">
        <f>'10.Review Research &amp; Surveillen'!H55</f>
        <v>0</v>
      </c>
      <c r="E41" s="2825">
        <f>'10.Review Research &amp; Surveillen'!I55</f>
        <v>0</v>
      </c>
      <c r="F41" s="2825">
        <f>'10.Review Research &amp; Surveillen'!J55</f>
        <v>0</v>
      </c>
      <c r="G41" s="805"/>
      <c r="H41" s="805"/>
      <c r="I41" s="805"/>
      <c r="J41" s="805">
        <f>'10.Review Research &amp; Surveillen'!O55</f>
        <v>0</v>
      </c>
      <c r="K41" s="805">
        <v>0</v>
      </c>
      <c r="L41" s="805">
        <f>'10.Review Research &amp; Surveillen'!R55</f>
        <v>0</v>
      </c>
      <c r="M41" s="806">
        <v>0</v>
      </c>
    </row>
    <row r="42" spans="1:13" x14ac:dyDescent="0.15">
      <c r="A42" s="810">
        <f>'11.IEC-BCC Annex'!A7</f>
        <v>11</v>
      </c>
      <c r="B42" s="807" t="str">
        <f>'NUHM Summary'!A204</f>
        <v>U.11</v>
      </c>
      <c r="C42" s="814" t="str">
        <f>'11.IEC-BCC Annex'!C7</f>
        <v>IEC/BCC</v>
      </c>
      <c r="D42" s="2824">
        <f>'11.IEC-BCC Annex'!H7</f>
        <v>0</v>
      </c>
      <c r="E42" s="2824">
        <f>'11.IEC-BCC Annex'!I7</f>
        <v>0</v>
      </c>
      <c r="F42" s="2824">
        <f>'11.IEC-BCC Annex'!J7</f>
        <v>0</v>
      </c>
      <c r="G42" s="800">
        <f>'NUHM-Non Metro Abst'!G204+'NUHM Metro Abst'!G204</f>
        <v>0</v>
      </c>
      <c r="H42" s="800">
        <f>'NUHM-Non Metro Abst'!H204+'NUHM Metro Abst'!H204</f>
        <v>0</v>
      </c>
      <c r="I42" s="800">
        <f>'NUHM-Non Metro Abst'!I204+'NUHM Metro Abst'!I204</f>
        <v>0</v>
      </c>
      <c r="J42" s="800">
        <f>'11.IEC-BCC Annex'!O7</f>
        <v>0</v>
      </c>
      <c r="K42" s="800">
        <f>'NUHM Summary'!I204</f>
        <v>0</v>
      </c>
      <c r="L42" s="800">
        <f>'11.IEC-BCC Annex'!R7</f>
        <v>0</v>
      </c>
      <c r="M42" s="800">
        <f>'NUHM Summary'!J204</f>
        <v>0</v>
      </c>
    </row>
    <row r="43" spans="1:13" x14ac:dyDescent="0.15">
      <c r="A43" s="810">
        <f>'12.Printing Annex'!A7</f>
        <v>12</v>
      </c>
      <c r="B43" s="807" t="str">
        <f>'NUHM Summary'!A207</f>
        <v>U.12</v>
      </c>
      <c r="C43" s="814" t="str">
        <f>'12.Printing Annex'!C7</f>
        <v>Printing</v>
      </c>
      <c r="D43" s="2826">
        <f>'12.Printing Annex'!H7</f>
        <v>0</v>
      </c>
      <c r="E43" s="2826">
        <f>'12.Printing Annex'!I7</f>
        <v>0</v>
      </c>
      <c r="F43" s="2826">
        <f>'12.Printing Annex'!J7</f>
        <v>0</v>
      </c>
      <c r="G43" s="800">
        <f>'NUHM-Non Metro Abst'!G207+'NUHM Metro Abst'!G207</f>
        <v>0</v>
      </c>
      <c r="H43" s="800">
        <f>'NUHM-Non Metro Abst'!H207+'NUHM Metro Abst'!H207</f>
        <v>0</v>
      </c>
      <c r="I43" s="800">
        <f>'NUHM-Non Metro Abst'!I207+'NUHM Metro Abst'!I207</f>
        <v>0</v>
      </c>
      <c r="J43" s="799">
        <f>'12.Printing Annex'!O7</f>
        <v>0</v>
      </c>
      <c r="K43" s="800">
        <f>'NUHM Summary'!I207</f>
        <v>0</v>
      </c>
      <c r="L43" s="799">
        <f>'12.Printing Annex'!R7</f>
        <v>0</v>
      </c>
      <c r="M43" s="800">
        <f>'NUHM Summary'!J207</f>
        <v>0</v>
      </c>
    </row>
    <row r="44" spans="1:13" x14ac:dyDescent="0.15">
      <c r="A44" s="810">
        <f>+'13.Quality Assurance Annex'!A7</f>
        <v>13</v>
      </c>
      <c r="B44" s="807" t="str">
        <f>'NUHM Summary'!A210</f>
        <v>U.13</v>
      </c>
      <c r="C44" s="822" t="str">
        <f>+'13.Quality Assurance Annex'!C7</f>
        <v>Quality Assurance</v>
      </c>
      <c r="D44" s="2824">
        <f>'13.Quality Assurance Annex'!H7</f>
        <v>0</v>
      </c>
      <c r="E44" s="2824">
        <f>'13.Quality Assurance Annex'!I7</f>
        <v>0</v>
      </c>
      <c r="F44" s="2824">
        <f>'13.Quality Assurance Annex'!J7</f>
        <v>0</v>
      </c>
      <c r="G44" s="799">
        <f>'NUHM-Non Metro Abst'!G210+'NUHM Metro Abst'!G210</f>
        <v>0</v>
      </c>
      <c r="H44" s="799">
        <f>'NUHM-Non Metro Abst'!H210+'NUHM Metro Abst'!H210</f>
        <v>0</v>
      </c>
      <c r="I44" s="799">
        <f>'NUHM-Non Metro Abst'!I210+'NUHM Metro Abst'!I210</f>
        <v>0</v>
      </c>
      <c r="J44" s="800">
        <f>'13.Quality Assurance Annex'!O7</f>
        <v>1719.7234000000001</v>
      </c>
      <c r="K44" s="799">
        <f>'NUHM Summary'!I210</f>
        <v>0</v>
      </c>
      <c r="L44" s="800">
        <f>+'13.Quality Assurance Annex'!R7</f>
        <v>0</v>
      </c>
      <c r="M44" s="799">
        <f>'NUHM Summary'!J210</f>
        <v>0</v>
      </c>
    </row>
    <row r="45" spans="1:13" x14ac:dyDescent="0.15">
      <c r="A45" s="801">
        <f>+'13.Quality Assurance Annex'!A8</f>
        <v>13.1</v>
      </c>
      <c r="B45" s="802" t="str">
        <f>'NUHM Summary'!A211</f>
        <v>U.13.1</v>
      </c>
      <c r="C45" s="803" t="str">
        <f>+'13.Quality Assurance Annex'!C8</f>
        <v>Quality Assurance</v>
      </c>
      <c r="D45" s="2825">
        <f>'13.Quality Assurance Annex'!H8</f>
        <v>0</v>
      </c>
      <c r="E45" s="2825">
        <f>'13.Quality Assurance Annex'!I8</f>
        <v>0</v>
      </c>
      <c r="F45" s="2825">
        <f>'13.Quality Assurance Annex'!J8</f>
        <v>0</v>
      </c>
      <c r="G45" s="2831">
        <f>'NUHM-Non Metro Abst'!G211+'NUHM Metro Abst'!G211</f>
        <v>0</v>
      </c>
      <c r="H45" s="2831">
        <f>'NUHM-Non Metro Abst'!H211+'NUHM Metro Abst'!H211</f>
        <v>0</v>
      </c>
      <c r="I45" s="2831">
        <f>'NUHM-Non Metro Abst'!I211+'NUHM Metro Abst'!I211</f>
        <v>0</v>
      </c>
      <c r="J45" s="805">
        <f>'13.Quality Assurance Annex'!O8</f>
        <v>361.38040000000001</v>
      </c>
      <c r="K45" s="806">
        <f>'NUHM Summary'!I211</f>
        <v>0</v>
      </c>
      <c r="L45" s="805">
        <f>+'13.Quality Assurance Annex'!R8</f>
        <v>0</v>
      </c>
      <c r="M45" s="806">
        <f>'NUHM Summary'!J211</f>
        <v>0</v>
      </c>
    </row>
    <row r="46" spans="1:13" x14ac:dyDescent="0.15">
      <c r="A46" s="801">
        <f>+'13.Quality Assurance Annex'!A21</f>
        <v>13.2</v>
      </c>
      <c r="B46" s="802" t="str">
        <f>'NUHM Summary'!A216</f>
        <v>U.13.2</v>
      </c>
      <c r="C46" s="803" t="str">
        <f>+'13.Quality Assurance Annex'!C21</f>
        <v>Kayakalp</v>
      </c>
      <c r="D46" s="2825">
        <f>'13.Quality Assurance Annex'!H21</f>
        <v>0</v>
      </c>
      <c r="E46" s="2825">
        <f>'13.Quality Assurance Annex'!I21</f>
        <v>0</v>
      </c>
      <c r="F46" s="2825">
        <f>'13.Quality Assurance Annex'!J21</f>
        <v>0</v>
      </c>
      <c r="G46" s="2831">
        <f>'NUHM-Non Metro Abst'!G216+'NUHM Metro Abst'!G216</f>
        <v>0</v>
      </c>
      <c r="H46" s="2831">
        <f>'NUHM-Non Metro Abst'!H216+'NUHM Metro Abst'!H216</f>
        <v>0</v>
      </c>
      <c r="I46" s="2831">
        <f>'NUHM-Non Metro Abst'!I216+'NUHM Metro Abst'!I216</f>
        <v>0</v>
      </c>
      <c r="J46" s="805">
        <f>'13.Quality Assurance Annex'!O21</f>
        <v>1358.3430000000001</v>
      </c>
      <c r="K46" s="806">
        <f>'NUHM Summary'!I216</f>
        <v>0</v>
      </c>
      <c r="L46" s="805">
        <f>+'13.Quality Assurance Annex'!R21</f>
        <v>0</v>
      </c>
      <c r="M46" s="806">
        <f>'NUHM Summary'!J216</f>
        <v>0</v>
      </c>
    </row>
    <row r="47" spans="1:13" x14ac:dyDescent="0.15">
      <c r="A47" s="801">
        <f>+'13.Quality Assurance Annex'!A32</f>
        <v>13.3</v>
      </c>
      <c r="B47" s="802" t="str">
        <f>'NUHM Summary'!A222</f>
        <v>U.13.3</v>
      </c>
      <c r="C47" s="803" t="str">
        <f>+'13.Quality Assurance Annex'!C32</f>
        <v>Any other activity (please specify)</v>
      </c>
      <c r="D47" s="2825">
        <f>'13.Quality Assurance Annex'!H32</f>
        <v>0</v>
      </c>
      <c r="E47" s="2825">
        <f>'13.Quality Assurance Annex'!I32</f>
        <v>0</v>
      </c>
      <c r="F47" s="2825">
        <f>'13.Quality Assurance Annex'!J32</f>
        <v>0</v>
      </c>
      <c r="G47" s="2831">
        <f>'NUHM-Non Metro Abst'!G222+'NUHM Metro Abst'!G222</f>
        <v>0</v>
      </c>
      <c r="H47" s="2831">
        <f>'NUHM-Non Metro Abst'!H222+'NUHM Metro Abst'!H222</f>
        <v>0</v>
      </c>
      <c r="I47" s="2831">
        <f>'NUHM-Non Metro Abst'!I222+'NUHM Metro Abst'!I222</f>
        <v>0</v>
      </c>
      <c r="J47" s="805">
        <f>'13.Quality Assurance Annex'!O32</f>
        <v>0</v>
      </c>
      <c r="K47" s="806">
        <f>'NUHM Summary'!I222</f>
        <v>0</v>
      </c>
      <c r="L47" s="805">
        <f>+'13.Quality Assurance Annex'!R32</f>
        <v>0</v>
      </c>
      <c r="M47" s="806">
        <f>'NUHM Summary'!J222</f>
        <v>0</v>
      </c>
    </row>
    <row r="48" spans="1:13" x14ac:dyDescent="0.15">
      <c r="A48" s="810">
        <f>+'14.Drug warehouse &amp;Logistic Anx'!A7</f>
        <v>14</v>
      </c>
      <c r="B48" s="807" t="str">
        <f>'NUHM Summary'!A223</f>
        <v>U.14</v>
      </c>
      <c r="C48" s="798" t="str">
        <f>+'14.Drug warehouse &amp;Logistic Anx'!C7</f>
        <v>Drug Warehousing and Logistics</v>
      </c>
      <c r="D48" s="2824">
        <f>'14.Drug warehouse &amp;Logistic Anx'!H7</f>
        <v>0</v>
      </c>
      <c r="E48" s="2824">
        <f>'14.Drug warehouse &amp;Logistic Anx'!I7</f>
        <v>0</v>
      </c>
      <c r="F48" s="2824">
        <f>'14.Drug warehouse &amp;Logistic Anx'!J7</f>
        <v>0</v>
      </c>
      <c r="G48" s="799">
        <f>'NUHM-Non Metro Abst'!G223+'NUHM Metro Abst'!G223</f>
        <v>0</v>
      </c>
      <c r="H48" s="799">
        <f>'NUHM-Non Metro Abst'!H223+'NUHM Metro Abst'!H223</f>
        <v>0</v>
      </c>
      <c r="I48" s="799">
        <f>'NUHM-Non Metro Abst'!I223+'NUHM Metro Abst'!I223</f>
        <v>0</v>
      </c>
      <c r="J48" s="800">
        <f>'14.Drug warehouse &amp;Logistic Anx'!O7</f>
        <v>0</v>
      </c>
      <c r="K48" s="799">
        <f>'NUHM Summary'!I223</f>
        <v>0</v>
      </c>
      <c r="L48" s="800">
        <f>+'14.Drug warehouse &amp;Logistic Anx'!R7</f>
        <v>0</v>
      </c>
      <c r="M48" s="799">
        <f>'NUHM Summary'!J223</f>
        <v>0</v>
      </c>
    </row>
    <row r="49" spans="1:13" x14ac:dyDescent="0.15">
      <c r="A49" s="811">
        <f>+'14.Drug warehouse &amp;Logistic Anx'!A8</f>
        <v>14.1</v>
      </c>
      <c r="B49" s="802" t="str">
        <f>'NUHM Summary'!A224</f>
        <v>U.14.1</v>
      </c>
      <c r="C49" s="823" t="str">
        <f>+'14.Drug warehouse &amp;Logistic Anx'!C8</f>
        <v xml:space="preserve">Drug Ware Housing </v>
      </c>
      <c r="D49" s="2825">
        <f>'14.Drug warehouse &amp;Logistic Anx'!H8</f>
        <v>0</v>
      </c>
      <c r="E49" s="2825">
        <f>'14.Drug warehouse &amp;Logistic Anx'!I8</f>
        <v>0</v>
      </c>
      <c r="F49" s="2825">
        <f>'14.Drug warehouse &amp;Logistic Anx'!J8</f>
        <v>0</v>
      </c>
      <c r="G49" s="2831">
        <f>'NUHM-Non Metro Abst'!G224+'NUHM Metro Abst'!G224</f>
        <v>0</v>
      </c>
      <c r="H49" s="2831">
        <f>'NUHM-Non Metro Abst'!H224+'NUHM Metro Abst'!H224</f>
        <v>0</v>
      </c>
      <c r="I49" s="2831">
        <f>'NUHM-Non Metro Abst'!I224+'NUHM Metro Abst'!I224</f>
        <v>0</v>
      </c>
      <c r="J49" s="805">
        <f>'14.Drug warehouse &amp;Logistic Anx'!O8</f>
        <v>0</v>
      </c>
      <c r="K49" s="813">
        <f>'NUHM Summary'!I224</f>
        <v>0</v>
      </c>
      <c r="L49" s="805">
        <f>+'14.Drug warehouse &amp;Logistic Anx'!R8</f>
        <v>0</v>
      </c>
      <c r="M49" s="813">
        <f>'NUHM Summary'!J224</f>
        <v>0</v>
      </c>
    </row>
    <row r="50" spans="1:13" x14ac:dyDescent="0.15">
      <c r="A50" s="811">
        <f>+'14.Drug warehouse &amp;Logistic Anx'!A16</f>
        <v>14.2</v>
      </c>
      <c r="B50" s="802" t="str">
        <f>'NUHM Summary'!A225</f>
        <v>U.14.2</v>
      </c>
      <c r="C50" s="823" t="str">
        <f>+'14.Drug warehouse &amp;Logistic Anx'!C16</f>
        <v>Logistics and supply chain</v>
      </c>
      <c r="D50" s="2825">
        <f>'14.Drug warehouse &amp;Logistic Anx'!H16</f>
        <v>0</v>
      </c>
      <c r="E50" s="2825">
        <f>'14.Drug warehouse &amp;Logistic Anx'!I16</f>
        <v>0</v>
      </c>
      <c r="F50" s="2825">
        <f>'14.Drug warehouse &amp;Logistic Anx'!J16</f>
        <v>0</v>
      </c>
      <c r="G50" s="2831">
        <f>'NUHM-Non Metro Abst'!G225+'NUHM Metro Abst'!G225</f>
        <v>0</v>
      </c>
      <c r="H50" s="2831">
        <f>'NUHM-Non Metro Abst'!H225+'NUHM Metro Abst'!H225</f>
        <v>0</v>
      </c>
      <c r="I50" s="2831">
        <f>'NUHM-Non Metro Abst'!I225+'NUHM Metro Abst'!I225</f>
        <v>0</v>
      </c>
      <c r="J50" s="805">
        <f>'14.Drug warehouse &amp;Logistic Anx'!O16</f>
        <v>0</v>
      </c>
      <c r="K50" s="813">
        <f>'NUHM Summary'!I225</f>
        <v>0</v>
      </c>
      <c r="L50" s="805">
        <f>+'14.Drug warehouse &amp;Logistic Anx'!R16</f>
        <v>0</v>
      </c>
      <c r="M50" s="813">
        <f>'NUHM Summary'!J225</f>
        <v>0</v>
      </c>
    </row>
    <row r="51" spans="1:13" x14ac:dyDescent="0.15">
      <c r="A51" s="810">
        <f>'15.PPP Annex'!A7</f>
        <v>15</v>
      </c>
      <c r="B51" s="807" t="str">
        <f>'NUHM Summary'!A227</f>
        <v>U.15</v>
      </c>
      <c r="C51" s="798" t="str">
        <f>'15.PPP Annex'!C7</f>
        <v>PPP</v>
      </c>
      <c r="D51" s="2824">
        <f>'15.PPP Annex'!H7</f>
        <v>0</v>
      </c>
      <c r="E51" s="2824">
        <f>'15.PPP Annex'!I7</f>
        <v>0</v>
      </c>
      <c r="F51" s="2824">
        <f>'15.PPP Annex'!J7</f>
        <v>0</v>
      </c>
      <c r="G51" s="799">
        <f>'NUHM-Non Metro Abst'!G227+'NUHM Metro Abst'!G227</f>
        <v>0</v>
      </c>
      <c r="H51" s="799">
        <f>'NUHM-Non Metro Abst'!H227+'NUHM Metro Abst'!H227</f>
        <v>0</v>
      </c>
      <c r="I51" s="799">
        <f>'NUHM-Non Metro Abst'!I227+'NUHM Metro Abst'!I227</f>
        <v>0</v>
      </c>
      <c r="J51" s="800">
        <f>'15.PPP Annex'!O7</f>
        <v>0</v>
      </c>
      <c r="K51" s="799">
        <f>'NUHM Summary'!I227</f>
        <v>0</v>
      </c>
      <c r="L51" s="800">
        <f>'15.PPP Annex'!R7</f>
        <v>0</v>
      </c>
      <c r="M51" s="799">
        <f>'NUHM Summary'!J227</f>
        <v>0</v>
      </c>
    </row>
    <row r="52" spans="1:13" x14ac:dyDescent="0.15">
      <c r="A52" s="810">
        <f>'16.PM Annex'!A7</f>
        <v>16</v>
      </c>
      <c r="B52" s="807" t="str">
        <f>'NUHM Summary'!A230</f>
        <v>U.16</v>
      </c>
      <c r="C52" s="798" t="str">
        <f>'16.PM Annex'!C7</f>
        <v>Programme Management</v>
      </c>
      <c r="D52" s="2824">
        <f>'16.PM Annex'!G7</f>
        <v>0</v>
      </c>
      <c r="E52" s="2824">
        <f>'16.PM Annex'!H7</f>
        <v>0</v>
      </c>
      <c r="F52" s="2824">
        <f>'16.PM Annex'!J7</f>
        <v>0</v>
      </c>
      <c r="G52" s="799">
        <f>'NUHM-Non Metro Abst'!G230+'NUHM Metro Abst'!G230</f>
        <v>0</v>
      </c>
      <c r="H52" s="799">
        <f>'NUHM-Non Metro Abst'!H230+'NUHM Metro Abst'!H230</f>
        <v>0</v>
      </c>
      <c r="I52" s="799">
        <f>'NUHM-Non Metro Abst'!I230+'NUHM Metro Abst'!I230</f>
        <v>0</v>
      </c>
      <c r="J52" s="800">
        <f>'16.PM Annex'!N7</f>
        <v>57</v>
      </c>
      <c r="K52" s="799">
        <f>'NUHM Summary'!I230</f>
        <v>207.6</v>
      </c>
      <c r="L52" s="800">
        <f>'16.PM Annex'!Q7</f>
        <v>0</v>
      </c>
      <c r="M52" s="799">
        <f>'NUHM Summary'!J230</f>
        <v>0</v>
      </c>
    </row>
    <row r="53" spans="1:13" ht="22.5" x14ac:dyDescent="0.15">
      <c r="A53" s="811">
        <f>'16.PM Annex'!A8</f>
        <v>16.100000000000001</v>
      </c>
      <c r="B53" s="802" t="str">
        <f>'NUHM Summary'!A231</f>
        <v>U.16.1</v>
      </c>
      <c r="C53" s="812" t="str">
        <f>'16.PM Annex'!C8</f>
        <v>Programme Management Activities (as per PM sub annex)</v>
      </c>
      <c r="D53" s="2828">
        <f>'16.PM Annex'!G8</f>
        <v>0</v>
      </c>
      <c r="E53" s="2828">
        <f>'16.PM Annex'!H8</f>
        <v>0</v>
      </c>
      <c r="F53" s="2828">
        <f>'16.PM Annex'!J8</f>
        <v>0</v>
      </c>
      <c r="G53" s="2831">
        <f>'NUHM-Non Metro Abst'!G231+'NUHM Metro Abst'!G231</f>
        <v>0</v>
      </c>
      <c r="H53" s="2831">
        <f>'NUHM-Non Metro Abst'!H231+'NUHM Metro Abst'!H231</f>
        <v>0</v>
      </c>
      <c r="I53" s="2831">
        <f>'NUHM-Non Metro Abst'!I231+'NUHM Metro Abst'!I231</f>
        <v>0</v>
      </c>
      <c r="J53" s="824">
        <f>'16.PM Annex'!N8</f>
        <v>57</v>
      </c>
      <c r="K53" s="813">
        <f>'NUHM Summary'!I231</f>
        <v>207.6</v>
      </c>
      <c r="L53" s="824">
        <f>'16.PM Annex'!Q8</f>
        <v>0</v>
      </c>
      <c r="M53" s="813">
        <f>'NUHM Summary'!J231</f>
        <v>0</v>
      </c>
    </row>
    <row r="54" spans="1:13" x14ac:dyDescent="0.15">
      <c r="A54" s="811">
        <f>'16.PM Annex'!A13</f>
        <v>16.2</v>
      </c>
      <c r="B54" s="802" t="str">
        <f>'NUHM Summary'!A255</f>
        <v>U.16.2</v>
      </c>
      <c r="C54" s="812" t="str">
        <f>'16.PM Annex'!C13</f>
        <v>PC&amp;PNDT Activities</v>
      </c>
      <c r="D54" s="2828">
        <f>'16.PM Annex'!G13</f>
        <v>0</v>
      </c>
      <c r="E54" s="2828">
        <f>'16.PM Annex'!H13</f>
        <v>0</v>
      </c>
      <c r="F54" s="2828">
        <f>'16.PM Annex'!J13</f>
        <v>0</v>
      </c>
      <c r="G54" s="2831">
        <f>'NUHM-Non Metro Abst'!G255+'NUHM Metro Abst'!G255</f>
        <v>0</v>
      </c>
      <c r="H54" s="2831">
        <f>'NUHM-Non Metro Abst'!H255+'NUHM Metro Abst'!H255</f>
        <v>0</v>
      </c>
      <c r="I54" s="2831">
        <f>'NUHM-Non Metro Abst'!I255+'NUHM Metro Abst'!I255</f>
        <v>0</v>
      </c>
      <c r="J54" s="824">
        <f>'16.PM Annex'!N13</f>
        <v>0</v>
      </c>
      <c r="K54" s="813">
        <f>'NUHM Summary'!I255</f>
        <v>0</v>
      </c>
      <c r="L54" s="824">
        <f>'16.PM Annex'!Q13</f>
        <v>0</v>
      </c>
      <c r="M54" s="813">
        <f>'NUHM Summary'!J255</f>
        <v>0</v>
      </c>
    </row>
    <row r="55" spans="1:13" x14ac:dyDescent="0.15">
      <c r="A55" s="811">
        <f>'16.PM Annex'!A17</f>
        <v>16.3</v>
      </c>
      <c r="B55" s="802" t="str">
        <f>'NUHM Summary'!A256</f>
        <v>U.16.3</v>
      </c>
      <c r="C55" s="812" t="str">
        <f>'16.PM Annex'!C17</f>
        <v>HMIS &amp; MCTS</v>
      </c>
      <c r="D55" s="2828">
        <f>'16.PM Annex'!G17</f>
        <v>0</v>
      </c>
      <c r="E55" s="2828">
        <f>'16.PM Annex'!H17</f>
        <v>0</v>
      </c>
      <c r="F55" s="2828">
        <f>'16.PM Annex'!J17</f>
        <v>0</v>
      </c>
      <c r="G55" s="2831">
        <f>'NUHM-Non Metro Abst'!G256+'NUHM Metro Abst'!G256</f>
        <v>0</v>
      </c>
      <c r="H55" s="2831">
        <f>'NUHM-Non Metro Abst'!H256+'NUHM Metro Abst'!H256</f>
        <v>0</v>
      </c>
      <c r="I55" s="2831">
        <f>'NUHM-Non Metro Abst'!I256+'NUHM Metro Abst'!I256</f>
        <v>0</v>
      </c>
      <c r="J55" s="824">
        <f>'16.PM Annex'!N17</f>
        <v>0</v>
      </c>
      <c r="K55" s="813">
        <f>'NUHM Summary'!I256</f>
        <v>0</v>
      </c>
      <c r="L55" s="824">
        <f>'16.PM Annex'!Q17</f>
        <v>0</v>
      </c>
      <c r="M55" s="813">
        <f>'NUHM Summary'!J256</f>
        <v>0</v>
      </c>
    </row>
    <row r="56" spans="1:13" x14ac:dyDescent="0.15">
      <c r="A56" s="811">
        <f>'16.PM Annex'!A23</f>
        <v>16.399999999999999</v>
      </c>
      <c r="B56" s="802" t="str">
        <f>'NUHM Summary'!A257</f>
        <v>U.16.4</v>
      </c>
      <c r="C56" s="812" t="str">
        <f>'16.PM Annex'!C23</f>
        <v>Human Resource</v>
      </c>
      <c r="D56" s="2828">
        <f>'16.PM Annex'!G23</f>
        <v>0</v>
      </c>
      <c r="E56" s="2828">
        <f>'16.PM Annex'!H23</f>
        <v>0</v>
      </c>
      <c r="F56" s="2828">
        <f>'16.PM Annex'!J23</f>
        <v>0</v>
      </c>
      <c r="G56" s="2831">
        <f>'NUHM-Non Metro Abst'!G257+'NUHM Metro Abst'!G257</f>
        <v>0</v>
      </c>
      <c r="H56" s="2831">
        <f>'NUHM-Non Metro Abst'!H257+'NUHM Metro Abst'!H257</f>
        <v>0</v>
      </c>
      <c r="I56" s="2831">
        <f>'NUHM-Non Metro Abst'!I257+'NUHM Metro Abst'!I257</f>
        <v>0</v>
      </c>
      <c r="J56" s="824">
        <f>'16.PM Annex'!N23</f>
        <v>0</v>
      </c>
      <c r="K56" s="813">
        <f>'NUHM Summary'!I257</f>
        <v>0</v>
      </c>
      <c r="L56" s="824">
        <f>'16.PM Annex'!Q23</f>
        <v>0</v>
      </c>
      <c r="M56" s="813">
        <f>'NUHM Summary'!J257</f>
        <v>0</v>
      </c>
    </row>
    <row r="57" spans="1:13" ht="22.5" x14ac:dyDescent="0.15">
      <c r="A57" s="810">
        <f>'17.IT Initiatives_SD'!A7</f>
        <v>17</v>
      </c>
      <c r="B57" s="807" t="str">
        <f>'NUHM Summary'!A270</f>
        <v>U.17</v>
      </c>
      <c r="C57" s="814" t="str">
        <f>'17.IT Initiatives_SD'!C7</f>
        <v>IT Initiatives for strengthening Service Delivery</v>
      </c>
      <c r="D57" s="2826">
        <f>'17.IT Initiatives_SD'!H7</f>
        <v>0</v>
      </c>
      <c r="E57" s="2826">
        <f>'17.IT Initiatives_SD'!I7</f>
        <v>0</v>
      </c>
      <c r="F57" s="2826">
        <f>'17.IT Initiatives_SD'!J7</f>
        <v>0</v>
      </c>
      <c r="G57" s="799">
        <f>'NUHM-Non Metro Abst'!G270+'NUHM Metro Abst'!G270</f>
        <v>0</v>
      </c>
      <c r="H57" s="799">
        <f>'NUHM-Non Metro Abst'!H270+'NUHM Metro Abst'!H270</f>
        <v>0</v>
      </c>
      <c r="I57" s="799">
        <f>'NUHM-Non Metro Abst'!I270+'NUHM Metro Abst'!I270</f>
        <v>0</v>
      </c>
      <c r="J57" s="799">
        <f>'17.IT Initiatives_SD'!O7</f>
        <v>0</v>
      </c>
      <c r="K57" s="799">
        <f>'NUHM Summary'!I270</f>
        <v>403.34400000000005</v>
      </c>
      <c r="L57" s="799">
        <f>'17.IT Initiatives_SD'!R7</f>
        <v>0</v>
      </c>
      <c r="M57" s="799">
        <f>'NUHM Summary'!J270</f>
        <v>0</v>
      </c>
    </row>
    <row r="58" spans="1:13" x14ac:dyDescent="0.15">
      <c r="A58" s="810">
        <f>'18.Innovation'!A7</f>
        <v>18</v>
      </c>
      <c r="B58" s="807" t="str">
        <f>'NUHM Summary'!A273</f>
        <v>U.18</v>
      </c>
      <c r="C58" s="814" t="str">
        <f>'18.Innovation'!C7</f>
        <v>Innovations (if any)</v>
      </c>
      <c r="D58" s="2826">
        <f>'18.Innovation'!H7</f>
        <v>0</v>
      </c>
      <c r="E58" s="2826">
        <f>'18.Innovation'!I7</f>
        <v>0</v>
      </c>
      <c r="F58" s="2826">
        <f>'18.Innovation'!J7</f>
        <v>0</v>
      </c>
      <c r="G58" s="799">
        <f>'NUHM-Non Metro Abst'!G273+'NUHM Metro Abst'!G273</f>
        <v>0</v>
      </c>
      <c r="H58" s="799">
        <f>'NUHM-Non Metro Abst'!H273+'NUHM Metro Abst'!H273</f>
        <v>0</v>
      </c>
      <c r="I58" s="799">
        <f>'NUHM-Non Metro Abst'!I273+'NUHM Metro Abst'!I273</f>
        <v>0</v>
      </c>
      <c r="J58" s="799">
        <f>'18.Innovation'!O7</f>
        <v>0</v>
      </c>
      <c r="K58" s="799">
        <f>'NUHM Summary'!I273</f>
        <v>0</v>
      </c>
      <c r="L58" s="799">
        <f>'18.Innovation'!R7</f>
        <v>0</v>
      </c>
      <c r="M58" s="799">
        <f>'NUHM Summary'!J273</f>
        <v>0</v>
      </c>
    </row>
    <row r="59" spans="1:13" x14ac:dyDescent="0.15">
      <c r="A59" s="3801" t="s">
        <v>40</v>
      </c>
      <c r="B59" s="3802"/>
      <c r="C59" s="3801"/>
      <c r="D59" s="2829">
        <f>D6+D10+D14+D19+D23+D27+D28+D33+D36+D42+D43+D44+D48+D51+D52+D57+D58+D18</f>
        <v>2.5</v>
      </c>
      <c r="E59" s="2829">
        <f>E6+E10+E14+E19+E23+E27+E28+E33+E36+E42+E43+E44+E48+E51+E52+E57+E58+E18</f>
        <v>1.0900000000000001</v>
      </c>
      <c r="F59" s="2829">
        <f>F6+F10+F14+F19+F23+F27+F28+F33+F36+F42+F43+F44+F48+F51+F52+F57+F58+F18</f>
        <v>0</v>
      </c>
      <c r="G59" s="804">
        <f>G6+G10+G14+G19+G23+G27+G28+G33+G36+G42+G43+G44+G48+G51+G52+G57+G58+G18</f>
        <v>0</v>
      </c>
      <c r="H59" s="804">
        <f t="shared" ref="H59:M59" si="0">H6+H10+H14+H19+H23+H27+H28+H33+H36+H42+H43+H44+H48+H51+H52+H57+H58+H18</f>
        <v>0</v>
      </c>
      <c r="I59" s="804">
        <f>I6+I10+I14+I19+I23+I27+I28+I33+I36+I42+I43+I44+I48+I51+I52+I57+I58+I18</f>
        <v>0</v>
      </c>
      <c r="J59" s="804">
        <f>J6+J10+J14+J19+J23+J27+J28+J33+J36+J42+J43+J44+J48+J51+J52+J57+J58+J18</f>
        <v>8832.2147800000002</v>
      </c>
      <c r="K59" s="804">
        <f t="shared" si="0"/>
        <v>3539.0526199999999</v>
      </c>
      <c r="L59" s="804">
        <f t="shared" si="0"/>
        <v>0</v>
      </c>
      <c r="M59" s="804">
        <f t="shared" si="0"/>
        <v>0</v>
      </c>
    </row>
    <row r="61" spans="1:13" x14ac:dyDescent="0.15">
      <c r="C61" s="815" t="s">
        <v>5910</v>
      </c>
      <c r="D61" s="790">
        <f>'1.SD Facility Based Annex'!S7+'2.SD Community Based Annex'!S7+'8.Human Resources (SD) Annex'!T7+'9.Training Annex'!S7+'9-A.Training Sub-Annex'!T6+'16.PM Annex'!R7+'NUHM-Non Metro Abst'!R7+'NUHM Metro Abst'!R7</f>
        <v>237.55</v>
      </c>
      <c r="J61" s="3503">
        <f>+J59+K59</f>
        <v>12371.267400000001</v>
      </c>
      <c r="L61" s="3626">
        <f>L59+M59</f>
        <v>0</v>
      </c>
    </row>
    <row r="62" spans="1:13" x14ac:dyDescent="0.15">
      <c r="C62" s="815" t="s">
        <v>5911</v>
      </c>
      <c r="D62" s="3502">
        <f>'16-A. PM sub Annex'!K3</f>
        <v>0</v>
      </c>
    </row>
    <row r="64" spans="1:13" x14ac:dyDescent="0.15">
      <c r="C64" s="815" t="s">
        <v>5912</v>
      </c>
      <c r="D64" s="3503">
        <f>2555.32891434586*100</f>
        <v>255532.891434586</v>
      </c>
    </row>
    <row r="65" spans="3:4" x14ac:dyDescent="0.15">
      <c r="C65" s="815" t="s">
        <v>5913</v>
      </c>
      <c r="D65" s="3503">
        <f>9%*D64</f>
        <v>22997.960229112738</v>
      </c>
    </row>
    <row r="67" spans="3:4" x14ac:dyDescent="0.15">
      <c r="C67" s="815" t="s">
        <v>5914</v>
      </c>
      <c r="D67" s="3503">
        <f>D65-D61</f>
        <v>22760.410229112738</v>
      </c>
    </row>
    <row r="68" spans="3:4" x14ac:dyDescent="0.15">
      <c r="C68" s="815" t="s">
        <v>5915</v>
      </c>
      <c r="D68" s="3503">
        <f>MIN(D67,D62)</f>
        <v>0</v>
      </c>
    </row>
  </sheetData>
  <sheetProtection formatCells="0" formatColumns="0" formatRows="0" autoFilter="0"/>
  <autoFilter ref="A4:M59"/>
  <mergeCells count="12">
    <mergeCell ref="J4:K4"/>
    <mergeCell ref="L4:M4"/>
    <mergeCell ref="A2:B2"/>
    <mergeCell ref="C3:C4"/>
    <mergeCell ref="A59:C59"/>
    <mergeCell ref="D3:I3"/>
    <mergeCell ref="J3:K3"/>
    <mergeCell ref="A3:B5"/>
    <mergeCell ref="D2:M2"/>
    <mergeCell ref="L3:M3"/>
    <mergeCell ref="D5:F5"/>
    <mergeCell ref="G5:I5"/>
  </mergeCells>
  <pageMargins left="0.7" right="0.7" top="0.75" bottom="0.75" header="0.3" footer="0.3"/>
  <pageSetup paperSize="9" scale="6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00B0F0"/>
  </sheetPr>
  <dimension ref="A1:N274"/>
  <sheetViews>
    <sheetView zoomScale="90" zoomScaleNormal="90" workbookViewId="0">
      <pane xSplit="4" ySplit="7" topLeftCell="F219" activePane="bottomRight" state="frozen"/>
      <selection sqref="A1:R1"/>
      <selection pane="topRight" sqref="A1:R1"/>
      <selection pane="bottomLeft" sqref="A1:R1"/>
      <selection pane="bottomRight" activeCell="F230" sqref="F230"/>
    </sheetView>
  </sheetViews>
  <sheetFormatPr defaultColWidth="8.7109375" defaultRowHeight="15" x14ac:dyDescent="0.2"/>
  <cols>
    <col min="1" max="1" width="12.42578125" style="826" customWidth="1"/>
    <col min="2" max="2" width="20.42578125" style="826" customWidth="1"/>
    <col min="3" max="3" width="51.85546875" style="826" customWidth="1"/>
    <col min="4" max="4" width="14.140625" style="826" bestFit="1" customWidth="1"/>
    <col min="5" max="5" width="16.140625" style="826" customWidth="1"/>
    <col min="6" max="6" width="13.42578125" style="826" bestFit="1" customWidth="1"/>
    <col min="7" max="7" width="16.140625" style="826" customWidth="1"/>
    <col min="8" max="8" width="18" style="826" customWidth="1"/>
    <col min="9" max="9" width="18.5703125" style="880" customWidth="1"/>
    <col min="10" max="10" width="17.42578125" style="881" customWidth="1"/>
    <col min="11" max="16384" width="8.7109375" style="826"/>
  </cols>
  <sheetData>
    <row r="1" spans="1:14" ht="12.95" customHeight="1" x14ac:dyDescent="0.2">
      <c r="A1" s="3810" t="s">
        <v>3128</v>
      </c>
      <c r="B1" s="3810"/>
      <c r="C1" s="3810"/>
      <c r="D1" s="3810"/>
      <c r="E1" s="3810"/>
      <c r="F1" s="3810"/>
      <c r="G1" s="3810"/>
      <c r="H1" s="3810"/>
      <c r="I1" s="3810"/>
      <c r="J1" s="3810"/>
    </row>
    <row r="2" spans="1:14" s="828" customFormat="1" x14ac:dyDescent="0.25">
      <c r="A2" s="3811" t="str">
        <f>HYPERLINK("#Index!A4", "Index Pg")</f>
        <v>Index Pg</v>
      </c>
      <c r="B2" s="827"/>
      <c r="D2" s="829"/>
      <c r="E2" s="830" t="s">
        <v>5356</v>
      </c>
      <c r="F2" s="830" t="s">
        <v>5357</v>
      </c>
      <c r="G2" s="830" t="s">
        <v>5358</v>
      </c>
      <c r="H2" s="830" t="s">
        <v>5359</v>
      </c>
      <c r="I2" s="830" t="s">
        <v>5360</v>
      </c>
      <c r="J2" s="830" t="s">
        <v>5361</v>
      </c>
      <c r="K2" s="830" t="s">
        <v>5362</v>
      </c>
      <c r="L2" s="830" t="s">
        <v>5363</v>
      </c>
      <c r="M2" s="830" t="s">
        <v>5364</v>
      </c>
      <c r="N2" s="830" t="s">
        <v>5365</v>
      </c>
    </row>
    <row r="3" spans="1:14" s="828" customFormat="1" x14ac:dyDescent="0.25">
      <c r="A3" s="3812"/>
      <c r="B3" s="831" t="str">
        <f>HYPERLINK("#'Budget Summary I'!A1:AL1", "Budget Summary I")</f>
        <v>Budget Summary I</v>
      </c>
      <c r="C3" s="832" t="s">
        <v>4608</v>
      </c>
      <c r="D3" s="833">
        <f>J7</f>
        <v>0</v>
      </c>
      <c r="E3" s="834">
        <f>'NUHM-Non Metro Abst'!E3+'NUHM Metro Abst'!E3</f>
        <v>0</v>
      </c>
      <c r="F3" s="834">
        <f>'NUHM-Non Metro Abst'!F3+'NUHM Metro Abst'!F3</f>
        <v>0</v>
      </c>
      <c r="G3" s="834">
        <f>'NUHM-Non Metro Abst'!G3+'NUHM Metro Abst'!G3</f>
        <v>0</v>
      </c>
      <c r="H3" s="834">
        <f>'NUHM-Non Metro Abst'!H3+'NUHM Metro Abst'!H3</f>
        <v>0</v>
      </c>
      <c r="I3" s="834">
        <f>'NUHM-Non Metro Abst'!I3+'NUHM Metro Abst'!I3</f>
        <v>0</v>
      </c>
      <c r="J3" s="834">
        <f>'NUHM-Non Metro Abst'!J3+'NUHM Metro Abst'!J3</f>
        <v>0</v>
      </c>
      <c r="K3" s="834">
        <f>'NUHM-Non Metro Abst'!K3+'NUHM Metro Abst'!K3</f>
        <v>0</v>
      </c>
      <c r="L3" s="834">
        <f>'NUHM-Non Metro Abst'!L3+'NUHM Metro Abst'!L3</f>
        <v>0</v>
      </c>
      <c r="M3" s="834">
        <f>'NUHM-Non Metro Abst'!M3+'NUHM Metro Abst'!M3</f>
        <v>0</v>
      </c>
      <c r="N3" s="834">
        <f>'NUHM-Non Metro Abst'!N3+'NUHM Metro Abst'!N3</f>
        <v>0</v>
      </c>
    </row>
    <row r="4" spans="1:14" s="828" customFormat="1" x14ac:dyDescent="0.25">
      <c r="A4" s="3813"/>
      <c r="B4" s="831" t="str">
        <f>HYPERLINK("#'Budget Summary II'!A3:B5", "Budget Summary II")</f>
        <v>Budget Summary II</v>
      </c>
      <c r="C4" s="832" t="s">
        <v>4609</v>
      </c>
      <c r="D4" s="833">
        <f>I7</f>
        <v>3539.0526200000004</v>
      </c>
      <c r="E4" s="834">
        <f>'NUHM-Non Metro Abst'!E4+'NUHM Metro Abst'!E4</f>
        <v>0</v>
      </c>
      <c r="F4" s="834">
        <f>'NUHM-Non Metro Abst'!F4+'NUHM Metro Abst'!F4</f>
        <v>0</v>
      </c>
      <c r="G4" s="834">
        <f>'NUHM-Non Metro Abst'!G4+'NUHM Metro Abst'!G4</f>
        <v>0</v>
      </c>
      <c r="H4" s="834">
        <f>'NUHM-Non Metro Abst'!H4+'NUHM Metro Abst'!H4</f>
        <v>0</v>
      </c>
      <c r="I4" s="834">
        <f>'NUHM-Non Metro Abst'!I4+'NUHM Metro Abst'!I4</f>
        <v>0</v>
      </c>
      <c r="J4" s="834">
        <f>'NUHM-Non Metro Abst'!J4+'NUHM Metro Abst'!J4</f>
        <v>0</v>
      </c>
      <c r="K4" s="834">
        <f>'NUHM-Non Metro Abst'!K4+'NUHM Metro Abst'!K4</f>
        <v>0</v>
      </c>
      <c r="L4" s="834">
        <f>'NUHM-Non Metro Abst'!L4+'NUHM Metro Abst'!L4</f>
        <v>0</v>
      </c>
      <c r="M4" s="834">
        <f>'NUHM-Non Metro Abst'!M4+'NUHM Metro Abst'!M4</f>
        <v>0</v>
      </c>
      <c r="N4" s="834">
        <f>'NUHM-Non Metro Abst'!N4+'NUHM Metro Abst'!N4</f>
        <v>0</v>
      </c>
    </row>
    <row r="5" spans="1:14" s="836" customFormat="1" ht="12.75" customHeight="1" x14ac:dyDescent="0.2">
      <c r="A5" s="3814" t="s">
        <v>53</v>
      </c>
      <c r="B5" s="3814" t="s">
        <v>54</v>
      </c>
      <c r="C5" s="3814" t="s">
        <v>55</v>
      </c>
      <c r="D5" s="3814" t="s">
        <v>4672</v>
      </c>
      <c r="E5" s="3816" t="str">
        <f>HYPERLINK("#'NUHM-Non Metro Abst'!A5:A6", "For Non Metro cities")</f>
        <v>For Non Metro cities</v>
      </c>
      <c r="F5" s="3817"/>
      <c r="G5" s="3816" t="str">
        <f>HYPERLINK("#'NUHM Metro Abst'!A5:A6", "For Metro cities")</f>
        <v>For Metro cities</v>
      </c>
      <c r="H5" s="3817"/>
      <c r="I5" s="3818" t="s">
        <v>3299</v>
      </c>
      <c r="J5" s="3818" t="s">
        <v>3300</v>
      </c>
      <c r="K5" s="835"/>
      <c r="L5" s="835"/>
    </row>
    <row r="6" spans="1:14" s="835" customFormat="1" ht="51" x14ac:dyDescent="0.2">
      <c r="A6" s="3815"/>
      <c r="B6" s="3815"/>
      <c r="C6" s="3815"/>
      <c r="D6" s="3815"/>
      <c r="E6" s="837" t="s">
        <v>3301</v>
      </c>
      <c r="F6" s="837" t="s">
        <v>3300</v>
      </c>
      <c r="G6" s="837" t="s">
        <v>3301</v>
      </c>
      <c r="H6" s="837" t="s">
        <v>3300</v>
      </c>
      <c r="I6" s="3819"/>
      <c r="J6" s="3819"/>
    </row>
    <row r="7" spans="1:14" s="839" customFormat="1" x14ac:dyDescent="0.2">
      <c r="A7" s="184"/>
      <c r="B7" s="184"/>
      <c r="C7" s="184" t="s">
        <v>4719</v>
      </c>
      <c r="D7" s="184"/>
      <c r="E7" s="838">
        <f>'NUHM-Non Metro Abst'!N7</f>
        <v>2306.9120000000003</v>
      </c>
      <c r="F7" s="838">
        <f>'NUHM-Non Metro Abst'!Q7</f>
        <v>0</v>
      </c>
      <c r="G7" s="838">
        <f>'NUHM Metro Abst'!N7</f>
        <v>1232.1406200000001</v>
      </c>
      <c r="H7" s="838">
        <f>'NUHM Metro Abst'!Q7</f>
        <v>0</v>
      </c>
      <c r="I7" s="224">
        <f>E7+G7</f>
        <v>3539.0526200000004</v>
      </c>
      <c r="J7" s="838">
        <f>F7+H7</f>
        <v>0</v>
      </c>
    </row>
    <row r="8" spans="1:14" x14ac:dyDescent="0.2">
      <c r="A8" s="184" t="s">
        <v>3129</v>
      </c>
      <c r="B8" s="184"/>
      <c r="C8" s="184" t="s">
        <v>4</v>
      </c>
      <c r="D8" s="184"/>
      <c r="E8" s="838">
        <f>'NUHM-Non Metro Abst'!N8</f>
        <v>42</v>
      </c>
      <c r="F8" s="838">
        <f>'NUHM-Non Metro Abst'!Q8</f>
        <v>0</v>
      </c>
      <c r="G8" s="838">
        <f>'NUHM Metro Abst'!N8</f>
        <v>0</v>
      </c>
      <c r="H8" s="838">
        <f>'NUHM Metro Abst'!Q8</f>
        <v>0</v>
      </c>
      <c r="I8" s="224">
        <f t="shared" ref="I8:I77" si="0">E8+G8</f>
        <v>42</v>
      </c>
      <c r="J8" s="838">
        <f t="shared" ref="J8:J77" si="1">F8+H8</f>
        <v>0</v>
      </c>
    </row>
    <row r="9" spans="1:14" x14ac:dyDescent="0.2">
      <c r="A9" s="840" t="s">
        <v>3130</v>
      </c>
      <c r="B9" s="840"/>
      <c r="C9" s="840" t="s">
        <v>5</v>
      </c>
      <c r="D9" s="840"/>
      <c r="E9" s="841">
        <f>'NUHM-Non Metro Abst'!N9</f>
        <v>0</v>
      </c>
      <c r="F9" s="841">
        <f>'NUHM-Non Metro Abst'!Q9</f>
        <v>0</v>
      </c>
      <c r="G9" s="841">
        <f>'NUHM Metro Abst'!N9</f>
        <v>0</v>
      </c>
      <c r="H9" s="841">
        <f>'NUHM Metro Abst'!Q9</f>
        <v>0</v>
      </c>
      <c r="I9" s="225">
        <f t="shared" si="0"/>
        <v>0</v>
      </c>
      <c r="J9" s="841">
        <f t="shared" si="1"/>
        <v>0</v>
      </c>
    </row>
    <row r="10" spans="1:14" x14ac:dyDescent="0.2">
      <c r="A10" s="103" t="s">
        <v>3131</v>
      </c>
      <c r="B10" s="842" t="s">
        <v>2944</v>
      </c>
      <c r="C10" s="842" t="s">
        <v>2945</v>
      </c>
      <c r="D10" s="842"/>
      <c r="E10" s="692">
        <f>'NUHM-Non Metro Abst'!N10</f>
        <v>0</v>
      </c>
      <c r="F10" s="692">
        <f>'NUHM-Non Metro Abst'!Q10</f>
        <v>0</v>
      </c>
      <c r="G10" s="692">
        <f>'NUHM Metro Abst'!N10</f>
        <v>0</v>
      </c>
      <c r="H10" s="692">
        <f>'NUHM Metro Abst'!Q10</f>
        <v>0</v>
      </c>
      <c r="I10" s="328">
        <f t="shared" si="0"/>
        <v>0</v>
      </c>
      <c r="J10" s="692">
        <f t="shared" si="1"/>
        <v>0</v>
      </c>
    </row>
    <row r="11" spans="1:14" x14ac:dyDescent="0.2">
      <c r="A11" s="103" t="s">
        <v>4815</v>
      </c>
      <c r="B11" s="842"/>
      <c r="C11" s="843" t="s">
        <v>5555</v>
      </c>
      <c r="D11" s="842" t="s">
        <v>293</v>
      </c>
      <c r="E11" s="692">
        <f>'NUHM-Non Metro Abst'!N11</f>
        <v>0</v>
      </c>
      <c r="F11" s="692">
        <f>'NUHM-Non Metro Abst'!Q11</f>
        <v>0</v>
      </c>
      <c r="G11" s="692">
        <f>'NUHM Metro Abst'!N11</f>
        <v>0</v>
      </c>
      <c r="H11" s="692">
        <f>'NUHM Metro Abst'!Q11</f>
        <v>0</v>
      </c>
      <c r="I11" s="328">
        <f t="shared" ref="I11:I29" si="2">E11+G11</f>
        <v>0</v>
      </c>
      <c r="J11" s="692">
        <f t="shared" ref="J11:J29" si="3">F11+H11</f>
        <v>0</v>
      </c>
    </row>
    <row r="12" spans="1:14" x14ac:dyDescent="0.2">
      <c r="A12" s="103" t="s">
        <v>4816</v>
      </c>
      <c r="B12" s="842"/>
      <c r="C12" s="843" t="s">
        <v>5285</v>
      </c>
      <c r="D12" s="842" t="s">
        <v>114</v>
      </c>
      <c r="E12" s="692">
        <f>'NUHM-Non Metro Abst'!N12</f>
        <v>0</v>
      </c>
      <c r="F12" s="692">
        <f>'NUHM-Non Metro Abst'!Q12</f>
        <v>0</v>
      </c>
      <c r="G12" s="692">
        <f>'NUHM Metro Abst'!N12</f>
        <v>0</v>
      </c>
      <c r="H12" s="692">
        <f>'NUHM Metro Abst'!Q12</f>
        <v>0</v>
      </c>
      <c r="I12" s="328">
        <f t="shared" si="2"/>
        <v>0</v>
      </c>
      <c r="J12" s="692">
        <f t="shared" si="3"/>
        <v>0</v>
      </c>
    </row>
    <row r="13" spans="1:14" x14ac:dyDescent="0.2">
      <c r="A13" s="103" t="s">
        <v>4817</v>
      </c>
      <c r="B13" s="842"/>
      <c r="C13" s="843" t="s">
        <v>5287</v>
      </c>
      <c r="D13" s="842" t="s">
        <v>146</v>
      </c>
      <c r="E13" s="692">
        <f>'NUHM-Non Metro Abst'!N13</f>
        <v>0</v>
      </c>
      <c r="F13" s="692">
        <f>'NUHM-Non Metro Abst'!Q13</f>
        <v>0</v>
      </c>
      <c r="G13" s="692">
        <f>'NUHM Metro Abst'!N13</f>
        <v>0</v>
      </c>
      <c r="H13" s="692">
        <f>'NUHM Metro Abst'!Q13</f>
        <v>0</v>
      </c>
      <c r="I13" s="328">
        <f t="shared" si="2"/>
        <v>0</v>
      </c>
      <c r="J13" s="692">
        <f t="shared" si="3"/>
        <v>0</v>
      </c>
    </row>
    <row r="14" spans="1:14" x14ac:dyDescent="0.2">
      <c r="A14" s="103" t="s">
        <v>4818</v>
      </c>
      <c r="B14" s="842"/>
      <c r="C14" s="843" t="s">
        <v>5286</v>
      </c>
      <c r="D14" s="842" t="s">
        <v>3993</v>
      </c>
      <c r="E14" s="692">
        <f>'NUHM-Non Metro Abst'!N14</f>
        <v>0</v>
      </c>
      <c r="F14" s="692">
        <f>'NUHM-Non Metro Abst'!Q14</f>
        <v>0</v>
      </c>
      <c r="G14" s="692">
        <f>'NUHM Metro Abst'!N14</f>
        <v>0</v>
      </c>
      <c r="H14" s="692">
        <f>'NUHM Metro Abst'!Q14</f>
        <v>0</v>
      </c>
      <c r="I14" s="328">
        <f t="shared" si="2"/>
        <v>0</v>
      </c>
      <c r="J14" s="692">
        <f t="shared" si="3"/>
        <v>0</v>
      </c>
    </row>
    <row r="15" spans="1:14" x14ac:dyDescent="0.2">
      <c r="A15" s="103" t="s">
        <v>5567</v>
      </c>
      <c r="B15" s="842"/>
      <c r="C15" s="843" t="s">
        <v>5290</v>
      </c>
      <c r="D15" s="842" t="s">
        <v>3323</v>
      </c>
      <c r="E15" s="692">
        <f>'NUHM-Non Metro Abst'!N15</f>
        <v>0</v>
      </c>
      <c r="F15" s="692">
        <f>'NUHM-Non Metro Abst'!Q15</f>
        <v>0</v>
      </c>
      <c r="G15" s="692">
        <f>'NUHM Metro Abst'!N15</f>
        <v>0</v>
      </c>
      <c r="H15" s="692">
        <f>'NUHM Metro Abst'!Q15</f>
        <v>0</v>
      </c>
      <c r="I15" s="328">
        <f t="shared" si="2"/>
        <v>0</v>
      </c>
      <c r="J15" s="692">
        <f t="shared" si="3"/>
        <v>0</v>
      </c>
    </row>
    <row r="16" spans="1:14" x14ac:dyDescent="0.2">
      <c r="A16" s="103" t="s">
        <v>5568</v>
      </c>
      <c r="B16" s="842"/>
      <c r="C16" s="843" t="s">
        <v>5288</v>
      </c>
      <c r="D16" s="842" t="s">
        <v>3993</v>
      </c>
      <c r="E16" s="692">
        <f>'NUHM-Non Metro Abst'!N16</f>
        <v>0</v>
      </c>
      <c r="F16" s="692">
        <f>'NUHM-Non Metro Abst'!Q16</f>
        <v>0</v>
      </c>
      <c r="G16" s="692">
        <f>'NUHM Metro Abst'!N16</f>
        <v>0</v>
      </c>
      <c r="H16" s="692">
        <f>'NUHM Metro Abst'!Q16</f>
        <v>0</v>
      </c>
      <c r="I16" s="328">
        <f t="shared" si="2"/>
        <v>0</v>
      </c>
      <c r="J16" s="692">
        <f t="shared" si="3"/>
        <v>0</v>
      </c>
    </row>
    <row r="17" spans="1:10" x14ac:dyDescent="0.2">
      <c r="A17" s="103" t="s">
        <v>5569</v>
      </c>
      <c r="B17" s="842"/>
      <c r="C17" s="843" t="s">
        <v>5556</v>
      </c>
      <c r="D17" s="842" t="s">
        <v>4553</v>
      </c>
      <c r="E17" s="692">
        <f>'NUHM-Non Metro Abst'!N17</f>
        <v>0</v>
      </c>
      <c r="F17" s="692">
        <f>'NUHM-Non Metro Abst'!Q17</f>
        <v>0</v>
      </c>
      <c r="G17" s="692">
        <f>'NUHM Metro Abst'!N17</f>
        <v>0</v>
      </c>
      <c r="H17" s="692">
        <f>'NUHM Metro Abst'!Q17</f>
        <v>0</v>
      </c>
      <c r="I17" s="328">
        <f t="shared" si="2"/>
        <v>0</v>
      </c>
      <c r="J17" s="692">
        <f t="shared" si="3"/>
        <v>0</v>
      </c>
    </row>
    <row r="18" spans="1:10" ht="30" x14ac:dyDescent="0.2">
      <c r="A18" s="103" t="s">
        <v>3132</v>
      </c>
      <c r="B18" s="842"/>
      <c r="C18" s="842" t="s">
        <v>2946</v>
      </c>
      <c r="D18" s="842"/>
      <c r="E18" s="692">
        <f>'NUHM-Non Metro Abst'!N18</f>
        <v>0</v>
      </c>
      <c r="F18" s="692">
        <f>'NUHM-Non Metro Abst'!Q18</f>
        <v>0</v>
      </c>
      <c r="G18" s="692">
        <f>'NUHM Metro Abst'!N18</f>
        <v>0</v>
      </c>
      <c r="H18" s="692">
        <f>'NUHM Metro Abst'!Q18</f>
        <v>0</v>
      </c>
      <c r="I18" s="328">
        <f t="shared" si="2"/>
        <v>0</v>
      </c>
      <c r="J18" s="692">
        <f t="shared" si="3"/>
        <v>0</v>
      </c>
    </row>
    <row r="19" spans="1:10" x14ac:dyDescent="0.2">
      <c r="A19" s="103" t="s">
        <v>5295</v>
      </c>
      <c r="B19" s="842"/>
      <c r="C19" s="842" t="s">
        <v>5557</v>
      </c>
      <c r="D19" s="842" t="s">
        <v>86</v>
      </c>
      <c r="E19" s="692">
        <f>'NUHM-Non Metro Abst'!N19</f>
        <v>0</v>
      </c>
      <c r="F19" s="692">
        <f>'NUHM-Non Metro Abst'!Q19</f>
        <v>0</v>
      </c>
      <c r="G19" s="692">
        <f>'NUHM Metro Abst'!N19</f>
        <v>0</v>
      </c>
      <c r="H19" s="692">
        <f>'NUHM Metro Abst'!Q19</f>
        <v>0</v>
      </c>
      <c r="I19" s="328">
        <f t="shared" si="2"/>
        <v>0</v>
      </c>
      <c r="J19" s="692">
        <f t="shared" si="3"/>
        <v>0</v>
      </c>
    </row>
    <row r="20" spans="1:10" x14ac:dyDescent="0.2">
      <c r="A20" s="103" t="s">
        <v>5296</v>
      </c>
      <c r="B20" s="842"/>
      <c r="C20" s="842" t="s">
        <v>5291</v>
      </c>
      <c r="D20" s="842" t="s">
        <v>150</v>
      </c>
      <c r="E20" s="692">
        <f>'NUHM-Non Metro Abst'!N20</f>
        <v>0</v>
      </c>
      <c r="F20" s="692">
        <f>'NUHM-Non Metro Abst'!Q20</f>
        <v>0</v>
      </c>
      <c r="G20" s="692">
        <f>'NUHM Metro Abst'!N20</f>
        <v>0</v>
      </c>
      <c r="H20" s="692">
        <f>'NUHM Metro Abst'!Q20</f>
        <v>0</v>
      </c>
      <c r="I20" s="328">
        <f t="shared" si="2"/>
        <v>0</v>
      </c>
      <c r="J20" s="692">
        <f t="shared" si="3"/>
        <v>0</v>
      </c>
    </row>
    <row r="21" spans="1:10" x14ac:dyDescent="0.2">
      <c r="A21" s="103" t="s">
        <v>5297</v>
      </c>
      <c r="B21" s="842"/>
      <c r="C21" s="842" t="s">
        <v>5293</v>
      </c>
      <c r="D21" s="842" t="s">
        <v>399</v>
      </c>
      <c r="E21" s="692">
        <f>'NUHM-Non Metro Abst'!N21</f>
        <v>0</v>
      </c>
      <c r="F21" s="692">
        <f>'NUHM-Non Metro Abst'!Q21</f>
        <v>0</v>
      </c>
      <c r="G21" s="692">
        <f>'NUHM Metro Abst'!N21</f>
        <v>0</v>
      </c>
      <c r="H21" s="692">
        <f>'NUHM Metro Abst'!Q21</f>
        <v>0</v>
      </c>
      <c r="I21" s="328">
        <f t="shared" si="2"/>
        <v>0</v>
      </c>
      <c r="J21" s="692">
        <f t="shared" si="3"/>
        <v>0</v>
      </c>
    </row>
    <row r="22" spans="1:10" x14ac:dyDescent="0.2">
      <c r="A22" s="103" t="s">
        <v>5298</v>
      </c>
      <c r="B22" s="842"/>
      <c r="C22" s="842" t="s">
        <v>5292</v>
      </c>
      <c r="D22" s="842" t="s">
        <v>152</v>
      </c>
      <c r="E22" s="692">
        <f>'NUHM-Non Metro Abst'!N22</f>
        <v>0</v>
      </c>
      <c r="F22" s="692">
        <f>'NUHM-Non Metro Abst'!Q22</f>
        <v>0</v>
      </c>
      <c r="G22" s="692">
        <f>'NUHM Metro Abst'!N22</f>
        <v>0</v>
      </c>
      <c r="H22" s="692">
        <f>'NUHM Metro Abst'!Q22</f>
        <v>0</v>
      </c>
      <c r="I22" s="328">
        <f t="shared" si="2"/>
        <v>0</v>
      </c>
      <c r="J22" s="692">
        <f t="shared" si="3"/>
        <v>0</v>
      </c>
    </row>
    <row r="23" spans="1:10" x14ac:dyDescent="0.2">
      <c r="A23" s="103" t="s">
        <v>5299</v>
      </c>
      <c r="B23" s="842"/>
      <c r="C23" s="842" t="s">
        <v>5294</v>
      </c>
      <c r="D23" s="842" t="s">
        <v>415</v>
      </c>
      <c r="E23" s="692">
        <f>'NUHM-Non Metro Abst'!N23</f>
        <v>0</v>
      </c>
      <c r="F23" s="692">
        <f>'NUHM-Non Metro Abst'!Q23</f>
        <v>0</v>
      </c>
      <c r="G23" s="692">
        <f>'NUHM Metro Abst'!N23</f>
        <v>0</v>
      </c>
      <c r="H23" s="692">
        <f>'NUHM Metro Abst'!Q23</f>
        <v>0</v>
      </c>
      <c r="I23" s="328">
        <f t="shared" si="2"/>
        <v>0</v>
      </c>
      <c r="J23" s="692">
        <f t="shared" si="3"/>
        <v>0</v>
      </c>
    </row>
    <row r="24" spans="1:10" x14ac:dyDescent="0.2">
      <c r="A24" s="103" t="s">
        <v>5300</v>
      </c>
      <c r="B24" s="842"/>
      <c r="C24" s="842" t="s">
        <v>5558</v>
      </c>
      <c r="D24" s="842" t="s">
        <v>4925</v>
      </c>
      <c r="E24" s="692">
        <f>'NUHM-Non Metro Abst'!N24</f>
        <v>0</v>
      </c>
      <c r="F24" s="692">
        <f>'NUHM-Non Metro Abst'!Q24</f>
        <v>0</v>
      </c>
      <c r="G24" s="692">
        <f>'NUHM Metro Abst'!N24</f>
        <v>0</v>
      </c>
      <c r="H24" s="692">
        <f>'NUHM Metro Abst'!Q24</f>
        <v>0</v>
      </c>
      <c r="I24" s="328">
        <f t="shared" si="2"/>
        <v>0</v>
      </c>
      <c r="J24" s="692">
        <f t="shared" si="3"/>
        <v>0</v>
      </c>
    </row>
    <row r="25" spans="1:10" x14ac:dyDescent="0.2">
      <c r="A25" s="103" t="s">
        <v>5301</v>
      </c>
      <c r="B25" s="842"/>
      <c r="C25" s="842" t="s">
        <v>5559</v>
      </c>
      <c r="D25" s="842" t="s">
        <v>4132</v>
      </c>
      <c r="E25" s="692">
        <f>'NUHM-Non Metro Abst'!N25</f>
        <v>0</v>
      </c>
      <c r="F25" s="692">
        <f>'NUHM-Non Metro Abst'!Q25</f>
        <v>0</v>
      </c>
      <c r="G25" s="692">
        <f>'NUHM Metro Abst'!N25</f>
        <v>0</v>
      </c>
      <c r="H25" s="692">
        <f>'NUHM Metro Abst'!Q25</f>
        <v>0</v>
      </c>
      <c r="I25" s="328">
        <f t="shared" si="2"/>
        <v>0</v>
      </c>
      <c r="J25" s="692">
        <f t="shared" si="3"/>
        <v>0</v>
      </c>
    </row>
    <row r="26" spans="1:10" x14ac:dyDescent="0.2">
      <c r="A26" s="103" t="s">
        <v>5563</v>
      </c>
      <c r="B26" s="842"/>
      <c r="C26" s="842" t="s">
        <v>5560</v>
      </c>
      <c r="D26" s="842" t="s">
        <v>1020</v>
      </c>
      <c r="E26" s="692">
        <f>'NUHM-Non Metro Abst'!N26</f>
        <v>0</v>
      </c>
      <c r="F26" s="692">
        <f>'NUHM-Non Metro Abst'!Q26</f>
        <v>0</v>
      </c>
      <c r="G26" s="692">
        <f>'NUHM Metro Abst'!N26</f>
        <v>0</v>
      </c>
      <c r="H26" s="692">
        <f>'NUHM Metro Abst'!Q26</f>
        <v>0</v>
      </c>
      <c r="I26" s="328">
        <f t="shared" si="2"/>
        <v>0</v>
      </c>
      <c r="J26" s="692">
        <f t="shared" si="3"/>
        <v>0</v>
      </c>
    </row>
    <row r="27" spans="1:10" x14ac:dyDescent="0.2">
      <c r="A27" s="103" t="s">
        <v>5564</v>
      </c>
      <c r="B27" s="842"/>
      <c r="C27" s="842" t="s">
        <v>5561</v>
      </c>
      <c r="D27" s="842" t="s">
        <v>1034</v>
      </c>
      <c r="E27" s="692">
        <f>'NUHM-Non Metro Abst'!N27</f>
        <v>0</v>
      </c>
      <c r="F27" s="692">
        <f>'NUHM-Non Metro Abst'!Q27</f>
        <v>0</v>
      </c>
      <c r="G27" s="692">
        <f>'NUHM Metro Abst'!N27</f>
        <v>0</v>
      </c>
      <c r="H27" s="692">
        <f>'NUHM Metro Abst'!Q27</f>
        <v>0</v>
      </c>
      <c r="I27" s="328">
        <f t="shared" si="2"/>
        <v>0</v>
      </c>
      <c r="J27" s="692">
        <f t="shared" si="3"/>
        <v>0</v>
      </c>
    </row>
    <row r="28" spans="1:10" x14ac:dyDescent="0.2">
      <c r="A28" s="103" t="s">
        <v>5565</v>
      </c>
      <c r="B28" s="842"/>
      <c r="C28" s="842" t="s">
        <v>5562</v>
      </c>
      <c r="D28" s="842" t="s">
        <v>312</v>
      </c>
      <c r="E28" s="692">
        <f>'NUHM-Non Metro Abst'!N28</f>
        <v>0</v>
      </c>
      <c r="F28" s="692">
        <f>'NUHM-Non Metro Abst'!Q28</f>
        <v>0</v>
      </c>
      <c r="G28" s="692">
        <f>'NUHM Metro Abst'!N28</f>
        <v>0</v>
      </c>
      <c r="H28" s="692">
        <f>'NUHM Metro Abst'!Q28</f>
        <v>0</v>
      </c>
      <c r="I28" s="328">
        <f t="shared" si="2"/>
        <v>0</v>
      </c>
      <c r="J28" s="692">
        <f t="shared" si="3"/>
        <v>0</v>
      </c>
    </row>
    <row r="29" spans="1:10" x14ac:dyDescent="0.2">
      <c r="A29" s="103" t="s">
        <v>5566</v>
      </c>
      <c r="B29" s="842"/>
      <c r="C29" s="842" t="s">
        <v>5289</v>
      </c>
      <c r="D29" s="842" t="s">
        <v>314</v>
      </c>
      <c r="E29" s="692">
        <f>'NUHM-Non Metro Abst'!N29</f>
        <v>0</v>
      </c>
      <c r="F29" s="692">
        <f>'NUHM-Non Metro Abst'!Q29</f>
        <v>0</v>
      </c>
      <c r="G29" s="692">
        <f>'NUHM Metro Abst'!N29</f>
        <v>0</v>
      </c>
      <c r="H29" s="692">
        <f>'NUHM Metro Abst'!Q29</f>
        <v>0</v>
      </c>
      <c r="I29" s="328">
        <f t="shared" si="2"/>
        <v>0</v>
      </c>
      <c r="J29" s="692">
        <f t="shared" si="3"/>
        <v>0</v>
      </c>
    </row>
    <row r="30" spans="1:10" x14ac:dyDescent="0.2">
      <c r="A30" s="844" t="s">
        <v>3133</v>
      </c>
      <c r="B30" s="845"/>
      <c r="C30" s="846" t="s">
        <v>42</v>
      </c>
      <c r="D30" s="846"/>
      <c r="E30" s="841">
        <f>'NUHM-Non Metro Abst'!N30</f>
        <v>0</v>
      </c>
      <c r="F30" s="841">
        <f>'NUHM-Non Metro Abst'!Q30</f>
        <v>0</v>
      </c>
      <c r="G30" s="841">
        <f>'NUHM Metro Abst'!N30</f>
        <v>0</v>
      </c>
      <c r="H30" s="841">
        <f>'NUHM Metro Abst'!Q30</f>
        <v>0</v>
      </c>
      <c r="I30" s="225">
        <f t="shared" si="0"/>
        <v>0</v>
      </c>
      <c r="J30" s="841">
        <f t="shared" si="1"/>
        <v>0</v>
      </c>
    </row>
    <row r="31" spans="1:10" x14ac:dyDescent="0.2">
      <c r="A31" s="555" t="s">
        <v>3134</v>
      </c>
      <c r="B31" s="847"/>
      <c r="C31" s="495" t="s">
        <v>2947</v>
      </c>
      <c r="D31" s="495" t="s">
        <v>118</v>
      </c>
      <c r="E31" s="692">
        <f>'NUHM-Non Metro Abst'!N31</f>
        <v>0</v>
      </c>
      <c r="F31" s="692">
        <f>'NUHM-Non Metro Abst'!Q31</f>
        <v>0</v>
      </c>
      <c r="G31" s="692">
        <f>'NUHM Metro Abst'!N31</f>
        <v>0</v>
      </c>
      <c r="H31" s="692">
        <f>'NUHM Metro Abst'!Q31</f>
        <v>0</v>
      </c>
      <c r="I31" s="328">
        <f t="shared" si="0"/>
        <v>0</v>
      </c>
      <c r="J31" s="692">
        <f t="shared" si="1"/>
        <v>0</v>
      </c>
    </row>
    <row r="32" spans="1:10" x14ac:dyDescent="0.2">
      <c r="A32" s="555" t="s">
        <v>3135</v>
      </c>
      <c r="B32" s="847"/>
      <c r="C32" s="495" t="s">
        <v>2948</v>
      </c>
      <c r="D32" s="495" t="s">
        <v>91</v>
      </c>
      <c r="E32" s="692">
        <f>'NUHM-Non Metro Abst'!N32</f>
        <v>0</v>
      </c>
      <c r="F32" s="692">
        <f>'NUHM-Non Metro Abst'!Q32</f>
        <v>0</v>
      </c>
      <c r="G32" s="692">
        <f>'NUHM Metro Abst'!N32</f>
        <v>0</v>
      </c>
      <c r="H32" s="692">
        <f>'NUHM Metro Abst'!Q32</f>
        <v>0</v>
      </c>
      <c r="I32" s="328">
        <f t="shared" si="0"/>
        <v>0</v>
      </c>
      <c r="J32" s="692">
        <f t="shared" si="1"/>
        <v>0</v>
      </c>
    </row>
    <row r="33" spans="1:10" x14ac:dyDescent="0.2">
      <c r="A33" s="840" t="s">
        <v>3136</v>
      </c>
      <c r="B33" s="840"/>
      <c r="C33" s="840" t="s">
        <v>45</v>
      </c>
      <c r="D33" s="840"/>
      <c r="E33" s="841">
        <f>'NUHM-Non Metro Abst'!N33</f>
        <v>42</v>
      </c>
      <c r="F33" s="841">
        <f>'NUHM-Non Metro Abst'!Q33</f>
        <v>0</v>
      </c>
      <c r="G33" s="841">
        <f>'NUHM Metro Abst'!N33</f>
        <v>0</v>
      </c>
      <c r="H33" s="841">
        <f>'NUHM Metro Abst'!Q33</f>
        <v>0</v>
      </c>
      <c r="I33" s="225">
        <f t="shared" si="0"/>
        <v>42</v>
      </c>
      <c r="J33" s="841">
        <f t="shared" si="1"/>
        <v>0</v>
      </c>
    </row>
    <row r="34" spans="1:10" x14ac:dyDescent="0.2">
      <c r="A34" s="103" t="s">
        <v>3137</v>
      </c>
      <c r="B34" s="103" t="s">
        <v>2949</v>
      </c>
      <c r="C34" s="103" t="s">
        <v>2950</v>
      </c>
      <c r="D34" s="103" t="s">
        <v>5348</v>
      </c>
      <c r="E34" s="692">
        <f>'NUHM-Non Metro Abst'!N34</f>
        <v>42</v>
      </c>
      <c r="F34" s="692">
        <f>'NUHM-Non Metro Abst'!Q34</f>
        <v>0</v>
      </c>
      <c r="G34" s="692">
        <f>'NUHM Metro Abst'!N34</f>
        <v>0</v>
      </c>
      <c r="H34" s="692">
        <f>'NUHM Metro Abst'!Q34</f>
        <v>0</v>
      </c>
      <c r="I34" s="328">
        <f t="shared" si="0"/>
        <v>42</v>
      </c>
      <c r="J34" s="692">
        <f t="shared" si="1"/>
        <v>0</v>
      </c>
    </row>
    <row r="35" spans="1:10" ht="30" x14ac:dyDescent="0.2">
      <c r="A35" s="103" t="s">
        <v>3138</v>
      </c>
      <c r="B35" s="103" t="s">
        <v>2951</v>
      </c>
      <c r="C35" s="103" t="s">
        <v>2952</v>
      </c>
      <c r="D35" s="103" t="s">
        <v>5348</v>
      </c>
      <c r="E35" s="692">
        <f>'NUHM-Non Metro Abst'!N35</f>
        <v>0</v>
      </c>
      <c r="F35" s="692">
        <f>'NUHM-Non Metro Abst'!Q35</f>
        <v>0</v>
      </c>
      <c r="G35" s="692">
        <f>'NUHM Metro Abst'!N35</f>
        <v>0</v>
      </c>
      <c r="H35" s="692">
        <f>'NUHM Metro Abst'!Q35</f>
        <v>0</v>
      </c>
      <c r="I35" s="328">
        <f t="shared" si="0"/>
        <v>0</v>
      </c>
      <c r="J35" s="692">
        <f t="shared" si="1"/>
        <v>0</v>
      </c>
    </row>
    <row r="36" spans="1:10" x14ac:dyDescent="0.2">
      <c r="A36" s="103" t="s">
        <v>3139</v>
      </c>
      <c r="B36" s="103" t="s">
        <v>2953</v>
      </c>
      <c r="C36" s="103" t="s">
        <v>2954</v>
      </c>
      <c r="D36" s="103" t="s">
        <v>5348</v>
      </c>
      <c r="E36" s="692">
        <f>'NUHM-Non Metro Abst'!N36</f>
        <v>0</v>
      </c>
      <c r="F36" s="692">
        <f>'NUHM-Non Metro Abst'!Q36</f>
        <v>0</v>
      </c>
      <c r="G36" s="692">
        <f>'NUHM Metro Abst'!N36</f>
        <v>0</v>
      </c>
      <c r="H36" s="692">
        <f>'NUHM Metro Abst'!Q36</f>
        <v>0</v>
      </c>
      <c r="I36" s="328">
        <f t="shared" si="0"/>
        <v>0</v>
      </c>
      <c r="J36" s="692">
        <f t="shared" si="1"/>
        <v>0</v>
      </c>
    </row>
    <row r="37" spans="1:10" x14ac:dyDescent="0.2">
      <c r="A37" s="103" t="s">
        <v>3140</v>
      </c>
      <c r="B37" s="174"/>
      <c r="C37" s="842" t="s">
        <v>307</v>
      </c>
      <c r="D37" s="103" t="s">
        <v>5348</v>
      </c>
      <c r="E37" s="692">
        <f>'NUHM-Non Metro Abst'!N37</f>
        <v>0</v>
      </c>
      <c r="F37" s="692">
        <f>'NUHM-Non Metro Abst'!Q37</f>
        <v>0</v>
      </c>
      <c r="G37" s="692">
        <f>'NUHM Metro Abst'!N37</f>
        <v>0</v>
      </c>
      <c r="H37" s="692">
        <f>'NUHM Metro Abst'!Q37</f>
        <v>0</v>
      </c>
      <c r="I37" s="328">
        <f t="shared" si="0"/>
        <v>0</v>
      </c>
      <c r="J37" s="692">
        <f t="shared" si="1"/>
        <v>0</v>
      </c>
    </row>
    <row r="38" spans="1:10" x14ac:dyDescent="0.2">
      <c r="A38" s="184" t="s">
        <v>3141</v>
      </c>
      <c r="B38" s="184"/>
      <c r="C38" s="184" t="s">
        <v>6</v>
      </c>
      <c r="D38" s="184"/>
      <c r="E38" s="838">
        <f>'NUHM-Non Metro Abst'!N38</f>
        <v>84</v>
      </c>
      <c r="F38" s="838">
        <f>'NUHM-Non Metro Abst'!Q38</f>
        <v>0</v>
      </c>
      <c r="G38" s="838">
        <f>'NUHM Metro Abst'!N38</f>
        <v>0</v>
      </c>
      <c r="H38" s="838">
        <f>'NUHM Metro Abst'!Q38</f>
        <v>0</v>
      </c>
      <c r="I38" s="224">
        <f t="shared" si="0"/>
        <v>84</v>
      </c>
      <c r="J38" s="838">
        <f t="shared" si="1"/>
        <v>0</v>
      </c>
    </row>
    <row r="39" spans="1:10" x14ac:dyDescent="0.2">
      <c r="A39" s="840" t="s">
        <v>3142</v>
      </c>
      <c r="B39" s="840"/>
      <c r="C39" s="840" t="s">
        <v>7</v>
      </c>
      <c r="D39" s="840"/>
      <c r="E39" s="841">
        <f>'NUHM-Non Metro Abst'!N39</f>
        <v>0</v>
      </c>
      <c r="F39" s="841">
        <f>'NUHM-Non Metro Abst'!Q39</f>
        <v>0</v>
      </c>
      <c r="G39" s="841">
        <f>'NUHM Metro Abst'!N39</f>
        <v>0</v>
      </c>
      <c r="H39" s="841">
        <f>'NUHM Metro Abst'!Q39</f>
        <v>0</v>
      </c>
      <c r="I39" s="225">
        <f t="shared" si="0"/>
        <v>0</v>
      </c>
      <c r="J39" s="841">
        <f t="shared" si="1"/>
        <v>0</v>
      </c>
    </row>
    <row r="40" spans="1:10" ht="30" x14ac:dyDescent="0.2">
      <c r="A40" s="103" t="s">
        <v>3143</v>
      </c>
      <c r="B40" s="103" t="s">
        <v>2955</v>
      </c>
      <c r="C40" s="103" t="s">
        <v>2956</v>
      </c>
      <c r="D40" s="103" t="s">
        <v>5348</v>
      </c>
      <c r="E40" s="692">
        <f>'NUHM-Non Metro Abst'!N40</f>
        <v>0</v>
      </c>
      <c r="F40" s="692">
        <f>'NUHM-Non Metro Abst'!Q40</f>
        <v>0</v>
      </c>
      <c r="G40" s="692">
        <f>'NUHM Metro Abst'!N40</f>
        <v>0</v>
      </c>
      <c r="H40" s="692">
        <f>'NUHM Metro Abst'!Q40</f>
        <v>0</v>
      </c>
      <c r="I40" s="328">
        <f t="shared" si="0"/>
        <v>0</v>
      </c>
      <c r="J40" s="692">
        <f t="shared" si="1"/>
        <v>0</v>
      </c>
    </row>
    <row r="41" spans="1:10" x14ac:dyDescent="0.2">
      <c r="A41" s="103" t="s">
        <v>3144</v>
      </c>
      <c r="B41" s="174"/>
      <c r="C41" s="842" t="s">
        <v>307</v>
      </c>
      <c r="D41" s="103" t="s">
        <v>5348</v>
      </c>
      <c r="E41" s="692">
        <f>'NUHM-Non Metro Abst'!N41</f>
        <v>0</v>
      </c>
      <c r="F41" s="692">
        <f>'NUHM-Non Metro Abst'!Q41</f>
        <v>0</v>
      </c>
      <c r="G41" s="692">
        <f>'NUHM Metro Abst'!N41</f>
        <v>0</v>
      </c>
      <c r="H41" s="692">
        <f>'NUHM Metro Abst'!Q41</f>
        <v>0</v>
      </c>
      <c r="I41" s="328">
        <f t="shared" si="0"/>
        <v>0</v>
      </c>
      <c r="J41" s="692">
        <f t="shared" si="1"/>
        <v>0</v>
      </c>
    </row>
    <row r="42" spans="1:10" x14ac:dyDescent="0.2">
      <c r="A42" s="840" t="s">
        <v>3145</v>
      </c>
      <c r="B42" s="840"/>
      <c r="C42" s="840" t="s">
        <v>8</v>
      </c>
      <c r="D42" s="840"/>
      <c r="E42" s="841">
        <f>'NUHM-Non Metro Abst'!N42</f>
        <v>0</v>
      </c>
      <c r="F42" s="841">
        <f>'NUHM-Non Metro Abst'!Q42</f>
        <v>0</v>
      </c>
      <c r="G42" s="841">
        <f>'NUHM Metro Abst'!N42</f>
        <v>0</v>
      </c>
      <c r="H42" s="841">
        <f>'NUHM Metro Abst'!Q42</f>
        <v>0</v>
      </c>
      <c r="I42" s="225">
        <f t="shared" si="0"/>
        <v>0</v>
      </c>
      <c r="J42" s="841">
        <f t="shared" si="1"/>
        <v>0</v>
      </c>
    </row>
    <row r="43" spans="1:10" x14ac:dyDescent="0.2">
      <c r="A43" s="103" t="s">
        <v>3146</v>
      </c>
      <c r="B43" s="103" t="s">
        <v>2957</v>
      </c>
      <c r="C43" s="103" t="s">
        <v>2958</v>
      </c>
      <c r="D43" s="103" t="s">
        <v>5348</v>
      </c>
      <c r="E43" s="692">
        <f>'NUHM-Non Metro Abst'!N43</f>
        <v>0</v>
      </c>
      <c r="F43" s="692">
        <f>'NUHM-Non Metro Abst'!Q43</f>
        <v>0</v>
      </c>
      <c r="G43" s="692">
        <f>'NUHM Metro Abst'!N43</f>
        <v>0</v>
      </c>
      <c r="H43" s="692">
        <f>'NUHM Metro Abst'!Q43</f>
        <v>0</v>
      </c>
      <c r="I43" s="328">
        <f t="shared" si="0"/>
        <v>0</v>
      </c>
      <c r="J43" s="692">
        <f t="shared" si="1"/>
        <v>0</v>
      </c>
    </row>
    <row r="44" spans="1:10" x14ac:dyDescent="0.2">
      <c r="A44" s="103" t="s">
        <v>3147</v>
      </c>
      <c r="B44" s="103"/>
      <c r="C44" s="103" t="s">
        <v>307</v>
      </c>
      <c r="D44" s="103" t="s">
        <v>5348</v>
      </c>
      <c r="E44" s="692">
        <f>'NUHM-Non Metro Abst'!N44</f>
        <v>0</v>
      </c>
      <c r="F44" s="692">
        <f>'NUHM-Non Metro Abst'!Q44</f>
        <v>0</v>
      </c>
      <c r="G44" s="692">
        <f>'NUHM Metro Abst'!N44</f>
        <v>0</v>
      </c>
      <c r="H44" s="692">
        <f>'NUHM Metro Abst'!Q44</f>
        <v>0</v>
      </c>
      <c r="I44" s="328">
        <f t="shared" si="0"/>
        <v>0</v>
      </c>
      <c r="J44" s="692">
        <f t="shared" si="1"/>
        <v>0</v>
      </c>
    </row>
    <row r="45" spans="1:10" x14ac:dyDescent="0.2">
      <c r="A45" s="840" t="s">
        <v>3148</v>
      </c>
      <c r="B45" s="840"/>
      <c r="C45" s="840" t="s">
        <v>9</v>
      </c>
      <c r="D45" s="840"/>
      <c r="E45" s="841">
        <f>'NUHM-Non Metro Abst'!N45</f>
        <v>84</v>
      </c>
      <c r="F45" s="841">
        <f>'NUHM-Non Metro Abst'!Q45</f>
        <v>0</v>
      </c>
      <c r="G45" s="841">
        <f>'NUHM Metro Abst'!N45</f>
        <v>0</v>
      </c>
      <c r="H45" s="841">
        <f>'NUHM Metro Abst'!Q45</f>
        <v>0</v>
      </c>
      <c r="I45" s="225">
        <f t="shared" si="0"/>
        <v>84</v>
      </c>
      <c r="J45" s="841">
        <f t="shared" si="1"/>
        <v>0</v>
      </c>
    </row>
    <row r="46" spans="1:10" x14ac:dyDescent="0.2">
      <c r="A46" s="103" t="s">
        <v>3149</v>
      </c>
      <c r="B46" s="103" t="s">
        <v>2959</v>
      </c>
      <c r="C46" s="103" t="s">
        <v>2960</v>
      </c>
      <c r="D46" s="103" t="s">
        <v>5348</v>
      </c>
      <c r="E46" s="692">
        <f>'NUHM-Non Metro Abst'!N46</f>
        <v>0</v>
      </c>
      <c r="F46" s="692">
        <f>'NUHM-Non Metro Abst'!Q46</f>
        <v>0</v>
      </c>
      <c r="G46" s="692">
        <f>'NUHM Metro Abst'!N46</f>
        <v>0</v>
      </c>
      <c r="H46" s="692">
        <f>'NUHM Metro Abst'!Q46</f>
        <v>0</v>
      </c>
      <c r="I46" s="328">
        <f t="shared" si="0"/>
        <v>0</v>
      </c>
      <c r="J46" s="692">
        <f t="shared" si="1"/>
        <v>0</v>
      </c>
    </row>
    <row r="47" spans="1:10" ht="45" x14ac:dyDescent="0.2">
      <c r="A47" s="103" t="s">
        <v>3150</v>
      </c>
      <c r="B47" s="103" t="s">
        <v>2961</v>
      </c>
      <c r="C47" s="103" t="s">
        <v>5302</v>
      </c>
      <c r="D47" s="103" t="s">
        <v>5348</v>
      </c>
      <c r="E47" s="692">
        <f>'NUHM-Non Metro Abst'!N47</f>
        <v>84</v>
      </c>
      <c r="F47" s="692">
        <f>'NUHM-Non Metro Abst'!Q47</f>
        <v>0</v>
      </c>
      <c r="G47" s="692">
        <f>'NUHM Metro Abst'!N47</f>
        <v>0</v>
      </c>
      <c r="H47" s="692">
        <f>'NUHM Metro Abst'!Q47</f>
        <v>0</v>
      </c>
      <c r="I47" s="328">
        <f t="shared" si="0"/>
        <v>84</v>
      </c>
      <c r="J47" s="692">
        <f t="shared" si="1"/>
        <v>0</v>
      </c>
    </row>
    <row r="48" spans="1:10" s="828" customFormat="1" ht="30" x14ac:dyDescent="0.2">
      <c r="A48" s="123" t="s">
        <v>3151</v>
      </c>
      <c r="B48" s="123" t="s">
        <v>3085</v>
      </c>
      <c r="C48" s="123" t="s">
        <v>3086</v>
      </c>
      <c r="D48" s="103" t="s">
        <v>5348</v>
      </c>
      <c r="E48" s="692">
        <f>'NUHM-Non Metro Abst'!N48</f>
        <v>0</v>
      </c>
      <c r="F48" s="692">
        <f>'NUHM-Non Metro Abst'!Q48</f>
        <v>0</v>
      </c>
      <c r="G48" s="692">
        <f>'NUHM Metro Abst'!N48</f>
        <v>0</v>
      </c>
      <c r="H48" s="692">
        <f>'NUHM Metro Abst'!Q48</f>
        <v>0</v>
      </c>
      <c r="I48" s="328">
        <f t="shared" si="0"/>
        <v>0</v>
      </c>
      <c r="J48" s="692">
        <f t="shared" si="1"/>
        <v>0</v>
      </c>
    </row>
    <row r="49" spans="1:10" s="828" customFormat="1" x14ac:dyDescent="0.2">
      <c r="A49" s="123" t="s">
        <v>4565</v>
      </c>
      <c r="B49" s="123"/>
      <c r="C49" s="123" t="s">
        <v>4570</v>
      </c>
      <c r="D49" s="123" t="s">
        <v>5349</v>
      </c>
      <c r="E49" s="692">
        <f>'NUHM-Non Metro Abst'!N49</f>
        <v>0</v>
      </c>
      <c r="F49" s="692">
        <f>'NUHM-Non Metro Abst'!Q49</f>
        <v>0</v>
      </c>
      <c r="G49" s="692">
        <f>'NUHM Metro Abst'!N49</f>
        <v>0</v>
      </c>
      <c r="H49" s="692">
        <f>'NUHM Metro Abst'!Q49</f>
        <v>0</v>
      </c>
      <c r="I49" s="328">
        <f t="shared" si="0"/>
        <v>0</v>
      </c>
      <c r="J49" s="692">
        <f t="shared" si="1"/>
        <v>0</v>
      </c>
    </row>
    <row r="50" spans="1:10" x14ac:dyDescent="0.2">
      <c r="A50" s="826" t="s">
        <v>4569</v>
      </c>
      <c r="B50" s="174"/>
      <c r="C50" s="842" t="s">
        <v>307</v>
      </c>
      <c r="D50" s="842"/>
      <c r="E50" s="692">
        <f>'NUHM-Non Metro Abst'!N50</f>
        <v>0</v>
      </c>
      <c r="F50" s="692">
        <f>'NUHM-Non Metro Abst'!Q50</f>
        <v>0</v>
      </c>
      <c r="G50" s="692">
        <f>'NUHM Metro Abst'!N50</f>
        <v>0</v>
      </c>
      <c r="H50" s="692">
        <f>'NUHM Metro Abst'!Q50</f>
        <v>0</v>
      </c>
      <c r="I50" s="328">
        <f t="shared" si="0"/>
        <v>0</v>
      </c>
      <c r="J50" s="692">
        <f t="shared" si="1"/>
        <v>0</v>
      </c>
    </row>
    <row r="51" spans="1:10" x14ac:dyDescent="0.2">
      <c r="A51" s="184" t="s">
        <v>3152</v>
      </c>
      <c r="B51" s="184"/>
      <c r="C51" s="184" t="s">
        <v>10</v>
      </c>
      <c r="D51" s="184"/>
      <c r="E51" s="838">
        <f>'NUHM-Non Metro Abst'!N51</f>
        <v>0</v>
      </c>
      <c r="F51" s="838">
        <f>'NUHM-Non Metro Abst'!Q51</f>
        <v>0</v>
      </c>
      <c r="G51" s="838">
        <f>'NUHM Metro Abst'!N51</f>
        <v>0</v>
      </c>
      <c r="H51" s="838">
        <f>'NUHM Metro Abst'!Q51</f>
        <v>0</v>
      </c>
      <c r="I51" s="224">
        <f t="shared" si="0"/>
        <v>0</v>
      </c>
      <c r="J51" s="838">
        <f t="shared" si="1"/>
        <v>0</v>
      </c>
    </row>
    <row r="52" spans="1:10" x14ac:dyDescent="0.2">
      <c r="A52" s="840" t="s">
        <v>3153</v>
      </c>
      <c r="B52" s="840"/>
      <c r="C52" s="840" t="s">
        <v>11</v>
      </c>
      <c r="D52" s="840"/>
      <c r="E52" s="841">
        <f>'NUHM-Non Metro Abst'!N52</f>
        <v>0</v>
      </c>
      <c r="F52" s="841">
        <f>'NUHM-Non Metro Abst'!Q52</f>
        <v>0</v>
      </c>
      <c r="G52" s="841">
        <f>'NUHM Metro Abst'!N52</f>
        <v>0</v>
      </c>
      <c r="H52" s="841">
        <f>'NUHM Metro Abst'!Q52</f>
        <v>0</v>
      </c>
      <c r="I52" s="225">
        <f t="shared" si="0"/>
        <v>0</v>
      </c>
      <c r="J52" s="841">
        <f t="shared" si="1"/>
        <v>0</v>
      </c>
    </row>
    <row r="53" spans="1:10" x14ac:dyDescent="0.2">
      <c r="A53" s="848" t="s">
        <v>3154</v>
      </c>
      <c r="B53" s="848" t="s">
        <v>2962</v>
      </c>
      <c r="C53" s="848" t="s">
        <v>2963</v>
      </c>
      <c r="D53" s="848"/>
      <c r="E53" s="849">
        <f>'NUHM-Non Metro Abst'!N53</f>
        <v>0</v>
      </c>
      <c r="F53" s="849">
        <f>'NUHM-Non Metro Abst'!Q53</f>
        <v>0</v>
      </c>
      <c r="G53" s="849">
        <f>'NUHM Metro Abst'!N53</f>
        <v>0</v>
      </c>
      <c r="H53" s="849">
        <f>'NUHM Metro Abst'!Q53</f>
        <v>0</v>
      </c>
      <c r="I53" s="233">
        <f t="shared" si="0"/>
        <v>0</v>
      </c>
      <c r="J53" s="849">
        <f t="shared" si="1"/>
        <v>0</v>
      </c>
    </row>
    <row r="54" spans="1:10" x14ac:dyDescent="0.2">
      <c r="A54" s="103" t="s">
        <v>3155</v>
      </c>
      <c r="B54" s="103" t="s">
        <v>2964</v>
      </c>
      <c r="C54" s="103" t="s">
        <v>2965</v>
      </c>
      <c r="D54" s="103" t="s">
        <v>5350</v>
      </c>
      <c r="E54" s="692">
        <f>'NUHM-Non Metro Abst'!N54</f>
        <v>0</v>
      </c>
      <c r="F54" s="692">
        <f>'NUHM-Non Metro Abst'!Q54</f>
        <v>0</v>
      </c>
      <c r="G54" s="692">
        <f>'NUHM Metro Abst'!N54</f>
        <v>0</v>
      </c>
      <c r="H54" s="692">
        <f>'NUHM Metro Abst'!Q54</f>
        <v>0</v>
      </c>
      <c r="I54" s="328">
        <f t="shared" si="0"/>
        <v>0</v>
      </c>
      <c r="J54" s="692">
        <f t="shared" si="1"/>
        <v>0</v>
      </c>
    </row>
    <row r="55" spans="1:10" ht="30" x14ac:dyDescent="0.2">
      <c r="A55" s="103" t="s">
        <v>3156</v>
      </c>
      <c r="B55" s="103"/>
      <c r="C55" s="103" t="s">
        <v>3891</v>
      </c>
      <c r="D55" s="103" t="s">
        <v>5350</v>
      </c>
      <c r="E55" s="692">
        <f>'NUHM-Non Metro Abst'!N55</f>
        <v>0</v>
      </c>
      <c r="F55" s="692">
        <f>'NUHM-Non Metro Abst'!Q55</f>
        <v>0</v>
      </c>
      <c r="G55" s="692">
        <f>'NUHM Metro Abst'!N55</f>
        <v>0</v>
      </c>
      <c r="H55" s="692">
        <f>'NUHM Metro Abst'!Q55</f>
        <v>0</v>
      </c>
      <c r="I55" s="328">
        <f t="shared" si="0"/>
        <v>0</v>
      </c>
      <c r="J55" s="692">
        <f t="shared" si="1"/>
        <v>0</v>
      </c>
    </row>
    <row r="56" spans="1:10" x14ac:dyDescent="0.2">
      <c r="A56" s="103" t="s">
        <v>3157</v>
      </c>
      <c r="B56" s="103" t="s">
        <v>2966</v>
      </c>
      <c r="C56" s="103" t="s">
        <v>2967</v>
      </c>
      <c r="D56" s="103" t="s">
        <v>5350</v>
      </c>
      <c r="E56" s="692">
        <f>'NUHM-Non Metro Abst'!N56</f>
        <v>0</v>
      </c>
      <c r="F56" s="692">
        <f>'NUHM-Non Metro Abst'!Q56</f>
        <v>0</v>
      </c>
      <c r="G56" s="692">
        <f>'NUHM Metro Abst'!N56</f>
        <v>0</v>
      </c>
      <c r="H56" s="692">
        <f>'NUHM Metro Abst'!Q56</f>
        <v>0</v>
      </c>
      <c r="I56" s="328">
        <f t="shared" si="0"/>
        <v>0</v>
      </c>
      <c r="J56" s="692">
        <f t="shared" si="1"/>
        <v>0</v>
      </c>
    </row>
    <row r="57" spans="1:10" x14ac:dyDescent="0.2">
      <c r="A57" s="848" t="s">
        <v>3158</v>
      </c>
      <c r="B57" s="848" t="s">
        <v>2968</v>
      </c>
      <c r="C57" s="848" t="s">
        <v>2969</v>
      </c>
      <c r="D57" s="848"/>
      <c r="E57" s="849">
        <f>'NUHM-Non Metro Abst'!N57</f>
        <v>0</v>
      </c>
      <c r="F57" s="849">
        <f>'NUHM-Non Metro Abst'!Q57</f>
        <v>0</v>
      </c>
      <c r="G57" s="849">
        <f>'NUHM Metro Abst'!N57</f>
        <v>0</v>
      </c>
      <c r="H57" s="849">
        <f>'NUHM Metro Abst'!Q57</f>
        <v>0</v>
      </c>
      <c r="I57" s="233">
        <f t="shared" si="0"/>
        <v>0</v>
      </c>
      <c r="J57" s="849">
        <f t="shared" si="1"/>
        <v>0</v>
      </c>
    </row>
    <row r="58" spans="1:10" s="828" customFormat="1" x14ac:dyDescent="0.2">
      <c r="A58" s="850" t="s">
        <v>4792</v>
      </c>
      <c r="B58" s="850"/>
      <c r="C58" s="248" t="s">
        <v>5303</v>
      </c>
      <c r="D58" s="103" t="s">
        <v>5350</v>
      </c>
      <c r="E58" s="692">
        <f>'NUHM-Non Metro Abst'!N58</f>
        <v>0</v>
      </c>
      <c r="F58" s="692">
        <f>'NUHM-Non Metro Abst'!Q58</f>
        <v>0</v>
      </c>
      <c r="G58" s="692">
        <f>'NUHM Metro Abst'!N58</f>
        <v>0</v>
      </c>
      <c r="H58" s="692">
        <f>'NUHM Metro Abst'!Q58</f>
        <v>0</v>
      </c>
      <c r="I58" s="328">
        <f t="shared" si="0"/>
        <v>0</v>
      </c>
      <c r="J58" s="692">
        <f t="shared" si="1"/>
        <v>0</v>
      </c>
    </row>
    <row r="59" spans="1:10" s="828" customFormat="1" x14ac:dyDescent="0.2">
      <c r="A59" s="850" t="s">
        <v>4793</v>
      </c>
      <c r="B59" s="850"/>
      <c r="C59" s="248" t="s">
        <v>3326</v>
      </c>
      <c r="D59" s="103" t="s">
        <v>5350</v>
      </c>
      <c r="E59" s="692">
        <f>'NUHM-Non Metro Abst'!N59</f>
        <v>0</v>
      </c>
      <c r="F59" s="692">
        <f>'NUHM-Non Metro Abst'!Q59</f>
        <v>0</v>
      </c>
      <c r="G59" s="692">
        <f>'NUHM Metro Abst'!N59</f>
        <v>0</v>
      </c>
      <c r="H59" s="692">
        <f>'NUHM Metro Abst'!Q59</f>
        <v>0</v>
      </c>
      <c r="I59" s="328">
        <f t="shared" si="0"/>
        <v>0</v>
      </c>
      <c r="J59" s="692">
        <f t="shared" si="1"/>
        <v>0</v>
      </c>
    </row>
    <row r="60" spans="1:10" x14ac:dyDescent="0.2">
      <c r="A60" s="848" t="s">
        <v>3159</v>
      </c>
      <c r="B60" s="848"/>
      <c r="C60" s="848" t="s">
        <v>4846</v>
      </c>
      <c r="D60" s="848"/>
      <c r="E60" s="849">
        <f>'NUHM-Non Metro Abst'!N60</f>
        <v>0</v>
      </c>
      <c r="F60" s="849">
        <f>'NUHM-Non Metro Abst'!Q60</f>
        <v>0</v>
      </c>
      <c r="G60" s="849">
        <f>'NUHM Metro Abst'!N60</f>
        <v>0</v>
      </c>
      <c r="H60" s="849">
        <f>'NUHM Metro Abst'!Q60</f>
        <v>0</v>
      </c>
      <c r="I60" s="233">
        <f t="shared" si="0"/>
        <v>0</v>
      </c>
      <c r="J60" s="849">
        <f t="shared" si="1"/>
        <v>0</v>
      </c>
    </row>
    <row r="61" spans="1:10" x14ac:dyDescent="0.2">
      <c r="A61" s="240" t="s">
        <v>3160</v>
      </c>
      <c r="B61" s="851" t="s">
        <v>2970</v>
      </c>
      <c r="C61" s="851" t="s">
        <v>4847</v>
      </c>
      <c r="D61" s="103" t="s">
        <v>5350</v>
      </c>
      <c r="E61" s="692">
        <f>'NUHM-Non Metro Abst'!N61</f>
        <v>0</v>
      </c>
      <c r="F61" s="692">
        <f>'NUHM-Non Metro Abst'!Q61</f>
        <v>0</v>
      </c>
      <c r="G61" s="692">
        <f>'NUHM Metro Abst'!N61</f>
        <v>0</v>
      </c>
      <c r="H61" s="692">
        <f>'NUHM Metro Abst'!Q61</f>
        <v>0</v>
      </c>
      <c r="I61" s="328">
        <f t="shared" si="0"/>
        <v>0</v>
      </c>
      <c r="J61" s="692">
        <f t="shared" si="1"/>
        <v>0</v>
      </c>
    </row>
    <row r="62" spans="1:10" x14ac:dyDescent="0.2">
      <c r="A62" s="240" t="s">
        <v>5304</v>
      </c>
      <c r="B62" s="851"/>
      <c r="C62" s="851" t="s">
        <v>367</v>
      </c>
      <c r="D62" s="103" t="s">
        <v>5350</v>
      </c>
      <c r="E62" s="692">
        <f>'NUHM-Non Metro Abst'!N62</f>
        <v>0</v>
      </c>
      <c r="F62" s="692">
        <f>'NUHM-Non Metro Abst'!Q62</f>
        <v>0</v>
      </c>
      <c r="G62" s="692">
        <f>'NUHM Metro Abst'!N62</f>
        <v>0</v>
      </c>
      <c r="H62" s="692">
        <f>'NUHM Metro Abst'!Q62</f>
        <v>0</v>
      </c>
      <c r="I62" s="328">
        <f t="shared" si="0"/>
        <v>0</v>
      </c>
      <c r="J62" s="692">
        <f t="shared" si="1"/>
        <v>0</v>
      </c>
    </row>
    <row r="63" spans="1:10" x14ac:dyDescent="0.2">
      <c r="A63" s="240" t="s">
        <v>5305</v>
      </c>
      <c r="B63" s="851"/>
      <c r="C63" s="851" t="s">
        <v>4523</v>
      </c>
      <c r="D63" s="103" t="s">
        <v>5350</v>
      </c>
      <c r="E63" s="692">
        <f>'NUHM-Non Metro Abst'!N63</f>
        <v>0</v>
      </c>
      <c r="F63" s="692">
        <f>'NUHM-Non Metro Abst'!Q63</f>
        <v>0</v>
      </c>
      <c r="G63" s="692">
        <f>'NUHM Metro Abst'!N63</f>
        <v>0</v>
      </c>
      <c r="H63" s="692">
        <f>'NUHM Metro Abst'!Q63</f>
        <v>0</v>
      </c>
      <c r="I63" s="328">
        <f t="shared" si="0"/>
        <v>0</v>
      </c>
      <c r="J63" s="692">
        <f t="shared" si="1"/>
        <v>0</v>
      </c>
    </row>
    <row r="64" spans="1:10" x14ac:dyDescent="0.2">
      <c r="A64" s="840" t="s">
        <v>3161</v>
      </c>
      <c r="B64" s="840"/>
      <c r="C64" s="840" t="s">
        <v>12</v>
      </c>
      <c r="D64" s="840"/>
      <c r="E64" s="841">
        <f>'NUHM-Non Metro Abst'!N64</f>
        <v>0</v>
      </c>
      <c r="F64" s="841">
        <f>'NUHM-Non Metro Abst'!Q64</f>
        <v>0</v>
      </c>
      <c r="G64" s="841">
        <f>'NUHM Metro Abst'!N64</f>
        <v>0</v>
      </c>
      <c r="H64" s="841">
        <f>'NUHM Metro Abst'!Q64</f>
        <v>0</v>
      </c>
      <c r="I64" s="225">
        <f t="shared" si="0"/>
        <v>0</v>
      </c>
      <c r="J64" s="841">
        <f t="shared" si="1"/>
        <v>0</v>
      </c>
    </row>
    <row r="65" spans="1:10" x14ac:dyDescent="0.2">
      <c r="A65" s="848" t="s">
        <v>3162</v>
      </c>
      <c r="B65" s="848" t="s">
        <v>2971</v>
      </c>
      <c r="C65" s="848" t="s">
        <v>2972</v>
      </c>
      <c r="D65" s="848"/>
      <c r="E65" s="849">
        <f>'NUHM-Non Metro Abst'!N65</f>
        <v>0</v>
      </c>
      <c r="F65" s="849">
        <f>'NUHM-Non Metro Abst'!Q65</f>
        <v>0</v>
      </c>
      <c r="G65" s="849">
        <f>'NUHM Metro Abst'!N65</f>
        <v>0</v>
      </c>
      <c r="H65" s="849">
        <f>'NUHM Metro Abst'!Q65</f>
        <v>0</v>
      </c>
      <c r="I65" s="233">
        <f t="shared" si="0"/>
        <v>0</v>
      </c>
      <c r="J65" s="849">
        <f t="shared" si="1"/>
        <v>0</v>
      </c>
    </row>
    <row r="66" spans="1:10" x14ac:dyDescent="0.2">
      <c r="A66" s="103" t="s">
        <v>3163</v>
      </c>
      <c r="B66" s="103" t="s">
        <v>2973</v>
      </c>
      <c r="C66" s="103" t="s">
        <v>2974</v>
      </c>
      <c r="D66" s="103" t="s">
        <v>5350</v>
      </c>
      <c r="E66" s="692">
        <f>'NUHM-Non Metro Abst'!N66</f>
        <v>0</v>
      </c>
      <c r="F66" s="692">
        <f>'NUHM-Non Metro Abst'!Q66</f>
        <v>0</v>
      </c>
      <c r="G66" s="692">
        <f>'NUHM Metro Abst'!N66</f>
        <v>0</v>
      </c>
      <c r="H66" s="692">
        <f>'NUHM Metro Abst'!Q66</f>
        <v>0</v>
      </c>
      <c r="I66" s="328">
        <f t="shared" si="0"/>
        <v>0</v>
      </c>
      <c r="J66" s="692">
        <f t="shared" si="1"/>
        <v>0</v>
      </c>
    </row>
    <row r="67" spans="1:10" ht="30" x14ac:dyDescent="0.2">
      <c r="A67" s="103" t="s">
        <v>3164</v>
      </c>
      <c r="B67" s="103" t="s">
        <v>2975</v>
      </c>
      <c r="C67" s="103" t="s">
        <v>2976</v>
      </c>
      <c r="D67" s="103" t="s">
        <v>5350</v>
      </c>
      <c r="E67" s="692">
        <f>'NUHM-Non Metro Abst'!N67</f>
        <v>0</v>
      </c>
      <c r="F67" s="692">
        <f>'NUHM-Non Metro Abst'!Q67</f>
        <v>0</v>
      </c>
      <c r="G67" s="692">
        <f>'NUHM Metro Abst'!N67</f>
        <v>0</v>
      </c>
      <c r="H67" s="692">
        <f>'NUHM Metro Abst'!Q67</f>
        <v>0</v>
      </c>
      <c r="I67" s="328">
        <f t="shared" si="0"/>
        <v>0</v>
      </c>
      <c r="J67" s="692">
        <f t="shared" si="1"/>
        <v>0</v>
      </c>
    </row>
    <row r="68" spans="1:10" x14ac:dyDescent="0.2">
      <c r="A68" s="103" t="s">
        <v>4015</v>
      </c>
      <c r="B68" s="103"/>
      <c r="C68" s="852" t="s">
        <v>606</v>
      </c>
      <c r="D68" s="103" t="s">
        <v>5350</v>
      </c>
      <c r="E68" s="692">
        <f>'NUHM-Non Metro Abst'!N68</f>
        <v>0</v>
      </c>
      <c r="F68" s="692">
        <f>'NUHM-Non Metro Abst'!Q68</f>
        <v>0</v>
      </c>
      <c r="G68" s="692">
        <f>'NUHM Metro Abst'!N68</f>
        <v>0</v>
      </c>
      <c r="H68" s="692">
        <f>'NUHM Metro Abst'!Q68</f>
        <v>0</v>
      </c>
      <c r="I68" s="328">
        <f t="shared" si="0"/>
        <v>0</v>
      </c>
      <c r="J68" s="692">
        <f t="shared" si="1"/>
        <v>0</v>
      </c>
    </row>
    <row r="69" spans="1:10" x14ac:dyDescent="0.2">
      <c r="A69" s="555" t="s">
        <v>3165</v>
      </c>
      <c r="B69" s="847"/>
      <c r="C69" s="853" t="s">
        <v>5570</v>
      </c>
      <c r="D69" s="103" t="s">
        <v>5350</v>
      </c>
      <c r="E69" s="692">
        <f>'NUHM-Non Metro Abst'!N69</f>
        <v>0</v>
      </c>
      <c r="F69" s="692">
        <f>'NUHM-Non Metro Abst'!Q69</f>
        <v>0</v>
      </c>
      <c r="G69" s="692">
        <f>'NUHM Metro Abst'!N69</f>
        <v>0</v>
      </c>
      <c r="H69" s="692">
        <f>'NUHM Metro Abst'!Q69</f>
        <v>0</v>
      </c>
      <c r="I69" s="328">
        <f t="shared" si="0"/>
        <v>0</v>
      </c>
      <c r="J69" s="692">
        <f t="shared" si="1"/>
        <v>0</v>
      </c>
    </row>
    <row r="70" spans="1:10" x14ac:dyDescent="0.2">
      <c r="A70" s="184" t="s">
        <v>3166</v>
      </c>
      <c r="B70" s="184"/>
      <c r="C70" s="184" t="s">
        <v>2978</v>
      </c>
      <c r="D70" s="184"/>
      <c r="E70" s="838">
        <f>'NUHM-Non Metro Abst'!N70</f>
        <v>0</v>
      </c>
      <c r="F70" s="838">
        <f>'NUHM-Non Metro Abst'!Q70</f>
        <v>0</v>
      </c>
      <c r="G70" s="838">
        <f>'NUHM Metro Abst'!N70</f>
        <v>0</v>
      </c>
      <c r="H70" s="838">
        <f>'NUHM Metro Abst'!Q70</f>
        <v>0</v>
      </c>
      <c r="I70" s="224">
        <f t="shared" si="0"/>
        <v>0</v>
      </c>
      <c r="J70" s="838">
        <f t="shared" si="1"/>
        <v>0</v>
      </c>
    </row>
    <row r="71" spans="1:10" x14ac:dyDescent="0.2">
      <c r="A71" s="840" t="s">
        <v>3167</v>
      </c>
      <c r="B71" s="840" t="s">
        <v>2979</v>
      </c>
      <c r="C71" s="840" t="s">
        <v>2980</v>
      </c>
      <c r="D71" s="840"/>
      <c r="E71" s="841">
        <f>'NUHM-Non Metro Abst'!N71</f>
        <v>0</v>
      </c>
      <c r="F71" s="841">
        <f>'NUHM-Non Metro Abst'!Q71</f>
        <v>0</v>
      </c>
      <c r="G71" s="841">
        <f>'NUHM Metro Abst'!N71</f>
        <v>0</v>
      </c>
      <c r="H71" s="841">
        <f>'NUHM Metro Abst'!Q71</f>
        <v>0</v>
      </c>
      <c r="I71" s="225">
        <f t="shared" si="0"/>
        <v>0</v>
      </c>
      <c r="J71" s="841">
        <f t="shared" si="1"/>
        <v>0</v>
      </c>
    </row>
    <row r="72" spans="1:10" x14ac:dyDescent="0.2">
      <c r="A72" s="854" t="s">
        <v>3168</v>
      </c>
      <c r="B72" s="103" t="s">
        <v>2981</v>
      </c>
      <c r="C72" s="103" t="s">
        <v>2982</v>
      </c>
      <c r="D72" s="103" t="s">
        <v>5348</v>
      </c>
      <c r="E72" s="692">
        <f>'NUHM-Non Metro Abst'!N72</f>
        <v>0</v>
      </c>
      <c r="F72" s="692">
        <f>'NUHM-Non Metro Abst'!Q72</f>
        <v>0</v>
      </c>
      <c r="G72" s="692">
        <f>'NUHM Metro Abst'!N72</f>
        <v>0</v>
      </c>
      <c r="H72" s="692">
        <f>'NUHM Metro Abst'!Q72</f>
        <v>0</v>
      </c>
      <c r="I72" s="328">
        <f t="shared" si="0"/>
        <v>0</v>
      </c>
      <c r="J72" s="692">
        <f t="shared" si="1"/>
        <v>0</v>
      </c>
    </row>
    <row r="73" spans="1:10" x14ac:dyDescent="0.2">
      <c r="A73" s="854" t="s">
        <v>3169</v>
      </c>
      <c r="B73" s="103" t="s">
        <v>2983</v>
      </c>
      <c r="C73" s="103" t="s">
        <v>2984</v>
      </c>
      <c r="D73" s="103" t="s">
        <v>5348</v>
      </c>
      <c r="E73" s="692">
        <f>'NUHM-Non Metro Abst'!N73</f>
        <v>0</v>
      </c>
      <c r="F73" s="692">
        <f>'NUHM-Non Metro Abst'!Q73</f>
        <v>0</v>
      </c>
      <c r="G73" s="692">
        <f>'NUHM Metro Abst'!N73</f>
        <v>0</v>
      </c>
      <c r="H73" s="692">
        <f>'NUHM Metro Abst'!Q73</f>
        <v>0</v>
      </c>
      <c r="I73" s="328">
        <f t="shared" si="0"/>
        <v>0</v>
      </c>
      <c r="J73" s="692">
        <f t="shared" si="1"/>
        <v>0</v>
      </c>
    </row>
    <row r="74" spans="1:10" x14ac:dyDescent="0.2">
      <c r="A74" s="840" t="s">
        <v>3170</v>
      </c>
      <c r="B74" s="840" t="s">
        <v>2985</v>
      </c>
      <c r="C74" s="840" t="s">
        <v>2986</v>
      </c>
      <c r="D74" s="103" t="s">
        <v>5348</v>
      </c>
      <c r="E74" s="841">
        <f>'NUHM-Non Metro Abst'!N74</f>
        <v>0</v>
      </c>
      <c r="F74" s="841">
        <f>'NUHM-Non Metro Abst'!Q74</f>
        <v>0</v>
      </c>
      <c r="G74" s="841">
        <f>'NUHM Metro Abst'!N74</f>
        <v>0</v>
      </c>
      <c r="H74" s="841">
        <f>'NUHM Metro Abst'!Q74</f>
        <v>0</v>
      </c>
      <c r="I74" s="225">
        <f t="shared" si="0"/>
        <v>0</v>
      </c>
      <c r="J74" s="841">
        <f t="shared" si="1"/>
        <v>0</v>
      </c>
    </row>
    <row r="75" spans="1:10" x14ac:dyDescent="0.2">
      <c r="A75" s="840" t="s">
        <v>3171</v>
      </c>
      <c r="B75" s="840" t="s">
        <v>2987</v>
      </c>
      <c r="C75" s="840" t="s">
        <v>2988</v>
      </c>
      <c r="D75" s="103" t="s">
        <v>5348</v>
      </c>
      <c r="E75" s="841">
        <f>'NUHM-Non Metro Abst'!N75</f>
        <v>0</v>
      </c>
      <c r="F75" s="841">
        <f>'NUHM-Non Metro Abst'!Q75</f>
        <v>0</v>
      </c>
      <c r="G75" s="841">
        <f>'NUHM Metro Abst'!N75</f>
        <v>0</v>
      </c>
      <c r="H75" s="841">
        <f>'NUHM Metro Abst'!Q75</f>
        <v>0</v>
      </c>
      <c r="I75" s="225">
        <f t="shared" si="0"/>
        <v>0</v>
      </c>
      <c r="J75" s="841">
        <f t="shared" si="1"/>
        <v>0</v>
      </c>
    </row>
    <row r="76" spans="1:10" x14ac:dyDescent="0.2">
      <c r="A76" s="840" t="s">
        <v>3172</v>
      </c>
      <c r="B76" s="840" t="s">
        <v>2989</v>
      </c>
      <c r="C76" s="840" t="s">
        <v>2990</v>
      </c>
      <c r="D76" s="852" t="s">
        <v>5350</v>
      </c>
      <c r="E76" s="841">
        <f>'NUHM-Non Metro Abst'!N76</f>
        <v>0</v>
      </c>
      <c r="F76" s="841">
        <f>'NUHM-Non Metro Abst'!Q76</f>
        <v>0</v>
      </c>
      <c r="G76" s="841">
        <f>'NUHM Metro Abst'!N76</f>
        <v>0</v>
      </c>
      <c r="H76" s="841">
        <f>'NUHM Metro Abst'!Q76</f>
        <v>0</v>
      </c>
      <c r="I76" s="225">
        <f t="shared" si="0"/>
        <v>0</v>
      </c>
      <c r="J76" s="841">
        <f t="shared" si="1"/>
        <v>0</v>
      </c>
    </row>
    <row r="77" spans="1:10" x14ac:dyDescent="0.2">
      <c r="A77" s="184" t="s">
        <v>3173</v>
      </c>
      <c r="B77" s="184"/>
      <c r="C77" s="184" t="s">
        <v>14</v>
      </c>
      <c r="D77" s="184"/>
      <c r="E77" s="838">
        <f>'NUHM-Non Metro Abst'!N77</f>
        <v>8</v>
      </c>
      <c r="F77" s="838">
        <f>'NUHM-Non Metro Abst'!Q77</f>
        <v>0</v>
      </c>
      <c r="G77" s="838">
        <f>'NUHM Metro Abst'!N77</f>
        <v>0</v>
      </c>
      <c r="H77" s="838">
        <f>'NUHM Metro Abst'!Q77</f>
        <v>0</v>
      </c>
      <c r="I77" s="224">
        <f t="shared" si="0"/>
        <v>8</v>
      </c>
      <c r="J77" s="838">
        <f t="shared" si="1"/>
        <v>0</v>
      </c>
    </row>
    <row r="78" spans="1:10" x14ac:dyDescent="0.2">
      <c r="A78" s="840" t="s">
        <v>3174</v>
      </c>
      <c r="B78" s="840"/>
      <c r="C78" s="840" t="s">
        <v>15</v>
      </c>
      <c r="D78" s="840"/>
      <c r="E78" s="841">
        <f>'NUHM-Non Metro Abst'!N78</f>
        <v>8</v>
      </c>
      <c r="F78" s="841">
        <f>'NUHM-Non Metro Abst'!Q78</f>
        <v>0</v>
      </c>
      <c r="G78" s="841">
        <f>'NUHM Metro Abst'!N78</f>
        <v>0</v>
      </c>
      <c r="H78" s="841">
        <f>'NUHM Metro Abst'!Q78</f>
        <v>0</v>
      </c>
      <c r="I78" s="225">
        <f t="shared" ref="I78:I141" si="4">E78+G78</f>
        <v>8</v>
      </c>
      <c r="J78" s="841">
        <f t="shared" ref="J78:J141" si="5">F78+H78</f>
        <v>0</v>
      </c>
    </row>
    <row r="79" spans="1:10" x14ac:dyDescent="0.2">
      <c r="A79" s="103" t="s">
        <v>3175</v>
      </c>
      <c r="B79" s="174" t="s">
        <v>2991</v>
      </c>
      <c r="C79" s="842" t="s">
        <v>2992</v>
      </c>
      <c r="D79" s="103" t="s">
        <v>5348</v>
      </c>
      <c r="E79" s="692">
        <f>'NUHM-Non Metro Abst'!N79</f>
        <v>8</v>
      </c>
      <c r="F79" s="692">
        <f>'NUHM-Non Metro Abst'!Q79</f>
        <v>0</v>
      </c>
      <c r="G79" s="692">
        <f>'NUHM Metro Abst'!N79</f>
        <v>0</v>
      </c>
      <c r="H79" s="692">
        <f>'NUHM Metro Abst'!Q79</f>
        <v>0</v>
      </c>
      <c r="I79" s="328">
        <f t="shared" si="4"/>
        <v>8</v>
      </c>
      <c r="J79" s="692">
        <f t="shared" si="5"/>
        <v>0</v>
      </c>
    </row>
    <row r="80" spans="1:10" x14ac:dyDescent="0.2">
      <c r="A80" s="103" t="s">
        <v>3176</v>
      </c>
      <c r="B80" s="174" t="s">
        <v>2993</v>
      </c>
      <c r="C80" s="842" t="s">
        <v>2994</v>
      </c>
      <c r="D80" s="103" t="s">
        <v>5348</v>
      </c>
      <c r="E80" s="692">
        <f>'NUHM-Non Metro Abst'!N80</f>
        <v>0</v>
      </c>
      <c r="F80" s="692">
        <f>'NUHM-Non Metro Abst'!Q80</f>
        <v>0</v>
      </c>
      <c r="G80" s="692">
        <f>'NUHM Metro Abst'!N80</f>
        <v>0</v>
      </c>
      <c r="H80" s="692">
        <f>'NUHM Metro Abst'!Q80</f>
        <v>0</v>
      </c>
      <c r="I80" s="328">
        <f t="shared" si="4"/>
        <v>0</v>
      </c>
      <c r="J80" s="692">
        <f t="shared" si="5"/>
        <v>0</v>
      </c>
    </row>
    <row r="81" spans="1:10" x14ac:dyDescent="0.2">
      <c r="A81" s="103" t="s">
        <v>3177</v>
      </c>
      <c r="B81" s="174" t="s">
        <v>2993</v>
      </c>
      <c r="C81" s="842" t="s">
        <v>2995</v>
      </c>
      <c r="D81" s="103" t="s">
        <v>5348</v>
      </c>
      <c r="E81" s="692">
        <f>'NUHM-Non Metro Abst'!N81</f>
        <v>0</v>
      </c>
      <c r="F81" s="692">
        <f>'NUHM-Non Metro Abst'!Q81</f>
        <v>0</v>
      </c>
      <c r="G81" s="692">
        <f>'NUHM Metro Abst'!N81</f>
        <v>0</v>
      </c>
      <c r="H81" s="692">
        <f>'NUHM Metro Abst'!Q81</f>
        <v>0</v>
      </c>
      <c r="I81" s="328">
        <f t="shared" si="4"/>
        <v>0</v>
      </c>
      <c r="J81" s="692">
        <f t="shared" si="5"/>
        <v>0</v>
      </c>
    </row>
    <row r="82" spans="1:10" x14ac:dyDescent="0.2">
      <c r="A82" s="103" t="s">
        <v>3178</v>
      </c>
      <c r="B82" s="103" t="s">
        <v>2996</v>
      </c>
      <c r="C82" s="103" t="s">
        <v>2997</v>
      </c>
      <c r="D82" s="103" t="s">
        <v>5348</v>
      </c>
      <c r="E82" s="692">
        <f>'NUHM-Non Metro Abst'!N82</f>
        <v>0</v>
      </c>
      <c r="F82" s="692">
        <f>'NUHM-Non Metro Abst'!Q82</f>
        <v>0</v>
      </c>
      <c r="G82" s="692">
        <f>'NUHM Metro Abst'!N82</f>
        <v>0</v>
      </c>
      <c r="H82" s="692">
        <f>'NUHM Metro Abst'!Q82</f>
        <v>0</v>
      </c>
      <c r="I82" s="328">
        <f t="shared" si="4"/>
        <v>0</v>
      </c>
      <c r="J82" s="692">
        <f t="shared" si="5"/>
        <v>0</v>
      </c>
    </row>
    <row r="83" spans="1:10" x14ac:dyDescent="0.2">
      <c r="A83" s="103" t="s">
        <v>5307</v>
      </c>
      <c r="B83" s="103"/>
      <c r="C83" s="103" t="s">
        <v>1310</v>
      </c>
      <c r="D83" s="103" t="s">
        <v>5348</v>
      </c>
      <c r="E83" s="692">
        <f>'NUHM-Non Metro Abst'!N83</f>
        <v>0</v>
      </c>
      <c r="F83" s="692">
        <f>'NUHM-Non Metro Abst'!Q83</f>
        <v>0</v>
      </c>
      <c r="G83" s="692">
        <f>'NUHM Metro Abst'!N83</f>
        <v>0</v>
      </c>
      <c r="H83" s="692">
        <f>'NUHM Metro Abst'!Q83</f>
        <v>0</v>
      </c>
      <c r="I83" s="328">
        <f t="shared" si="4"/>
        <v>0</v>
      </c>
      <c r="J83" s="692">
        <f t="shared" si="5"/>
        <v>0</v>
      </c>
    </row>
    <row r="84" spans="1:10" x14ac:dyDescent="0.2">
      <c r="A84" s="840" t="s">
        <v>3179</v>
      </c>
      <c r="B84" s="840"/>
      <c r="C84" s="840" t="s">
        <v>16</v>
      </c>
      <c r="D84" s="840"/>
      <c r="E84" s="841">
        <f>'NUHM-Non Metro Abst'!N84</f>
        <v>0</v>
      </c>
      <c r="F84" s="841">
        <f>'NUHM-Non Metro Abst'!Q84</f>
        <v>0</v>
      </c>
      <c r="G84" s="841">
        <f>'NUHM Metro Abst'!N84</f>
        <v>0</v>
      </c>
      <c r="H84" s="841">
        <f>'NUHM Metro Abst'!Q84</f>
        <v>0</v>
      </c>
      <c r="I84" s="225">
        <f t="shared" si="4"/>
        <v>0</v>
      </c>
      <c r="J84" s="841">
        <f t="shared" si="5"/>
        <v>0</v>
      </c>
    </row>
    <row r="85" spans="1:10" x14ac:dyDescent="0.2">
      <c r="A85" s="103" t="s">
        <v>3180</v>
      </c>
      <c r="B85" s="103" t="s">
        <v>2998</v>
      </c>
      <c r="C85" s="103" t="s">
        <v>2992</v>
      </c>
      <c r="D85" s="103" t="s">
        <v>5348</v>
      </c>
      <c r="E85" s="692">
        <f>'NUHM-Non Metro Abst'!N85</f>
        <v>0</v>
      </c>
      <c r="F85" s="692">
        <f>'NUHM-Non Metro Abst'!Q85</f>
        <v>0</v>
      </c>
      <c r="G85" s="692">
        <f>'NUHM Metro Abst'!N85</f>
        <v>0</v>
      </c>
      <c r="H85" s="692">
        <f>'NUHM Metro Abst'!Q85</f>
        <v>0</v>
      </c>
      <c r="I85" s="328">
        <f t="shared" si="4"/>
        <v>0</v>
      </c>
      <c r="J85" s="692">
        <f t="shared" si="5"/>
        <v>0</v>
      </c>
    </row>
    <row r="86" spans="1:10" x14ac:dyDescent="0.2">
      <c r="A86" s="103" t="s">
        <v>3181</v>
      </c>
      <c r="B86" s="103" t="s">
        <v>2999</v>
      </c>
      <c r="C86" s="103" t="s">
        <v>2994</v>
      </c>
      <c r="D86" s="103" t="s">
        <v>5348</v>
      </c>
      <c r="E86" s="692">
        <f>'NUHM-Non Metro Abst'!N86</f>
        <v>0</v>
      </c>
      <c r="F86" s="692">
        <f>'NUHM-Non Metro Abst'!Q86</f>
        <v>0</v>
      </c>
      <c r="G86" s="692">
        <f>'NUHM Metro Abst'!N86</f>
        <v>0</v>
      </c>
      <c r="H86" s="692">
        <f>'NUHM Metro Abst'!Q86</f>
        <v>0</v>
      </c>
      <c r="I86" s="328">
        <f t="shared" si="4"/>
        <v>0</v>
      </c>
      <c r="J86" s="692">
        <f t="shared" si="5"/>
        <v>0</v>
      </c>
    </row>
    <row r="87" spans="1:10" x14ac:dyDescent="0.2">
      <c r="A87" s="103" t="s">
        <v>3182</v>
      </c>
      <c r="B87" s="103" t="s">
        <v>3000</v>
      </c>
      <c r="C87" s="103" t="s">
        <v>3001</v>
      </c>
      <c r="D87" s="103" t="s">
        <v>5348</v>
      </c>
      <c r="E87" s="692">
        <f>'NUHM-Non Metro Abst'!N87</f>
        <v>0</v>
      </c>
      <c r="F87" s="692">
        <f>'NUHM-Non Metro Abst'!Q87</f>
        <v>0</v>
      </c>
      <c r="G87" s="692">
        <f>'NUHM Metro Abst'!N87</f>
        <v>0</v>
      </c>
      <c r="H87" s="692">
        <f>'NUHM Metro Abst'!Q87</f>
        <v>0</v>
      </c>
      <c r="I87" s="328">
        <f t="shared" si="4"/>
        <v>0</v>
      </c>
      <c r="J87" s="692">
        <f t="shared" si="5"/>
        <v>0</v>
      </c>
    </row>
    <row r="88" spans="1:10" x14ac:dyDescent="0.2">
      <c r="A88" s="840" t="s">
        <v>3183</v>
      </c>
      <c r="B88" s="840"/>
      <c r="C88" s="840" t="s">
        <v>17</v>
      </c>
      <c r="D88" s="840"/>
      <c r="E88" s="841">
        <f>'NUHM-Non Metro Abst'!N88</f>
        <v>0</v>
      </c>
      <c r="F88" s="841">
        <f>'NUHM-Non Metro Abst'!Q88</f>
        <v>0</v>
      </c>
      <c r="G88" s="841">
        <f>'NUHM Metro Abst'!N88</f>
        <v>0</v>
      </c>
      <c r="H88" s="841">
        <f>'NUHM Metro Abst'!Q88</f>
        <v>0</v>
      </c>
      <c r="I88" s="225">
        <f t="shared" si="4"/>
        <v>0</v>
      </c>
      <c r="J88" s="841">
        <f t="shared" si="5"/>
        <v>0</v>
      </c>
    </row>
    <row r="89" spans="1:10" x14ac:dyDescent="0.2">
      <c r="A89" s="103" t="s">
        <v>3184</v>
      </c>
      <c r="B89" s="174"/>
      <c r="C89" s="842" t="s">
        <v>3929</v>
      </c>
      <c r="D89" s="103" t="s">
        <v>5349</v>
      </c>
      <c r="E89" s="692">
        <f>'NUHM-Non Metro Abst'!N89</f>
        <v>0</v>
      </c>
      <c r="F89" s="692">
        <f>'NUHM-Non Metro Abst'!Q89</f>
        <v>0</v>
      </c>
      <c r="G89" s="692">
        <f>'NUHM Metro Abst'!N89</f>
        <v>0</v>
      </c>
      <c r="H89" s="692">
        <f>'NUHM Metro Abst'!Q89</f>
        <v>0</v>
      </c>
      <c r="I89" s="328">
        <f t="shared" si="4"/>
        <v>0</v>
      </c>
      <c r="J89" s="692">
        <f t="shared" si="5"/>
        <v>0</v>
      </c>
    </row>
    <row r="90" spans="1:10" x14ac:dyDescent="0.2">
      <c r="A90" s="103" t="s">
        <v>4016</v>
      </c>
      <c r="B90" s="855"/>
      <c r="C90" s="842" t="s">
        <v>3876</v>
      </c>
      <c r="D90" s="103" t="s">
        <v>5348</v>
      </c>
      <c r="E90" s="692">
        <f>'NUHM-Non Metro Abst'!N90</f>
        <v>0</v>
      </c>
      <c r="F90" s="692">
        <f>'NUHM-Non Metro Abst'!Q90</f>
        <v>0</v>
      </c>
      <c r="G90" s="692">
        <f>'NUHM Metro Abst'!N90</f>
        <v>0</v>
      </c>
      <c r="H90" s="692">
        <f>'NUHM Metro Abst'!Q90</f>
        <v>0</v>
      </c>
      <c r="I90" s="328">
        <f t="shared" si="4"/>
        <v>0</v>
      </c>
      <c r="J90" s="692">
        <f t="shared" si="5"/>
        <v>0</v>
      </c>
    </row>
    <row r="91" spans="1:10" x14ac:dyDescent="0.2">
      <c r="A91" s="184" t="s">
        <v>3185</v>
      </c>
      <c r="B91" s="184"/>
      <c r="C91" s="184" t="s">
        <v>18</v>
      </c>
      <c r="D91" s="184"/>
      <c r="E91" s="838">
        <f>'NUHM-Non Metro Abst'!N91</f>
        <v>0</v>
      </c>
      <c r="F91" s="838">
        <f>'NUHM-Non Metro Abst'!Q91</f>
        <v>0</v>
      </c>
      <c r="G91" s="838">
        <f>'NUHM Metro Abst'!N91</f>
        <v>0</v>
      </c>
      <c r="H91" s="838">
        <f>'NUHM Metro Abst'!Q91</f>
        <v>0</v>
      </c>
      <c r="I91" s="224">
        <f t="shared" si="4"/>
        <v>0</v>
      </c>
      <c r="J91" s="838">
        <f t="shared" si="5"/>
        <v>0</v>
      </c>
    </row>
    <row r="92" spans="1:10" x14ac:dyDescent="0.2">
      <c r="A92" s="840" t="s">
        <v>3186</v>
      </c>
      <c r="B92" s="840"/>
      <c r="C92" s="840" t="s">
        <v>1586</v>
      </c>
      <c r="D92" s="840"/>
      <c r="E92" s="841">
        <f>'NUHM-Non Metro Abst'!N92</f>
        <v>0</v>
      </c>
      <c r="F92" s="841">
        <f>'NUHM-Non Metro Abst'!Q92</f>
        <v>0</v>
      </c>
      <c r="G92" s="841">
        <f>'NUHM Metro Abst'!N92</f>
        <v>0</v>
      </c>
      <c r="H92" s="841">
        <f>'NUHM Metro Abst'!Q92</f>
        <v>0</v>
      </c>
      <c r="I92" s="225">
        <f t="shared" si="4"/>
        <v>0</v>
      </c>
      <c r="J92" s="841">
        <f t="shared" si="5"/>
        <v>0</v>
      </c>
    </row>
    <row r="93" spans="1:10" s="828" customFormat="1" x14ac:dyDescent="0.2">
      <c r="A93" s="123" t="s">
        <v>3187</v>
      </c>
      <c r="B93" s="104"/>
      <c r="C93" s="852" t="s">
        <v>4567</v>
      </c>
      <c r="D93" s="103" t="s">
        <v>5349</v>
      </c>
      <c r="E93" s="692">
        <f>'NUHM-Non Metro Abst'!N93</f>
        <v>0</v>
      </c>
      <c r="F93" s="692">
        <f>'NUHM-Non Metro Abst'!Q93</f>
        <v>0</v>
      </c>
      <c r="G93" s="692">
        <f>'NUHM Metro Abst'!N93</f>
        <v>0</v>
      </c>
      <c r="H93" s="692">
        <f>'NUHM Metro Abst'!Q93</f>
        <v>0</v>
      </c>
      <c r="I93" s="328">
        <f t="shared" si="4"/>
        <v>0</v>
      </c>
      <c r="J93" s="692">
        <f t="shared" si="5"/>
        <v>0</v>
      </c>
    </row>
    <row r="94" spans="1:10" x14ac:dyDescent="0.2">
      <c r="A94" s="103" t="s">
        <v>3188</v>
      </c>
      <c r="B94" s="103" t="s">
        <v>3002</v>
      </c>
      <c r="C94" s="103" t="s">
        <v>3003</v>
      </c>
      <c r="D94" s="103" t="s">
        <v>5351</v>
      </c>
      <c r="E94" s="692">
        <f>'NUHM-Non Metro Abst'!N94</f>
        <v>0</v>
      </c>
      <c r="F94" s="692">
        <f>'NUHM-Non Metro Abst'!Q94</f>
        <v>0</v>
      </c>
      <c r="G94" s="692">
        <f>'NUHM Metro Abst'!N94</f>
        <v>0</v>
      </c>
      <c r="H94" s="692">
        <f>'NUHM Metro Abst'!Q94</f>
        <v>0</v>
      </c>
      <c r="I94" s="328">
        <f t="shared" si="4"/>
        <v>0</v>
      </c>
      <c r="J94" s="692">
        <f t="shared" si="5"/>
        <v>0</v>
      </c>
    </row>
    <row r="95" spans="1:10" x14ac:dyDescent="0.2">
      <c r="A95" s="103" t="s">
        <v>3189</v>
      </c>
      <c r="B95" s="103" t="s">
        <v>3004</v>
      </c>
      <c r="C95" s="103" t="s">
        <v>3005</v>
      </c>
      <c r="D95" s="103" t="s">
        <v>5351</v>
      </c>
      <c r="E95" s="692">
        <f>'NUHM-Non Metro Abst'!N95</f>
        <v>0</v>
      </c>
      <c r="F95" s="692">
        <f>'NUHM-Non Metro Abst'!Q95</f>
        <v>0</v>
      </c>
      <c r="G95" s="692">
        <f>'NUHM Metro Abst'!N95</f>
        <v>0</v>
      </c>
      <c r="H95" s="692">
        <f>'NUHM Metro Abst'!Q95</f>
        <v>0</v>
      </c>
      <c r="I95" s="328">
        <f t="shared" si="4"/>
        <v>0</v>
      </c>
      <c r="J95" s="692">
        <f t="shared" si="5"/>
        <v>0</v>
      </c>
    </row>
    <row r="96" spans="1:10" x14ac:dyDescent="0.2">
      <c r="A96" s="103" t="s">
        <v>3314</v>
      </c>
      <c r="B96" s="103" t="s">
        <v>3006</v>
      </c>
      <c r="C96" s="103" t="s">
        <v>3007</v>
      </c>
      <c r="D96" s="103" t="s">
        <v>5351</v>
      </c>
      <c r="E96" s="692">
        <f>'NUHM-Non Metro Abst'!N96</f>
        <v>0</v>
      </c>
      <c r="F96" s="692">
        <f>'NUHM-Non Metro Abst'!Q96</f>
        <v>0</v>
      </c>
      <c r="G96" s="692">
        <f>'NUHM Metro Abst'!N96</f>
        <v>0</v>
      </c>
      <c r="H96" s="692">
        <f>'NUHM Metro Abst'!Q96</f>
        <v>0</v>
      </c>
      <c r="I96" s="328">
        <f t="shared" si="4"/>
        <v>0</v>
      </c>
      <c r="J96" s="692">
        <f t="shared" si="5"/>
        <v>0</v>
      </c>
    </row>
    <row r="97" spans="1:10" x14ac:dyDescent="0.2">
      <c r="A97" s="103" t="s">
        <v>4566</v>
      </c>
      <c r="B97" s="103"/>
      <c r="C97" s="103" t="s">
        <v>5309</v>
      </c>
      <c r="D97" s="103" t="s">
        <v>5351</v>
      </c>
      <c r="E97" s="692">
        <f>'NUHM-Non Metro Abst'!N97</f>
        <v>0</v>
      </c>
      <c r="F97" s="692">
        <f>'NUHM-Non Metro Abst'!Q97</f>
        <v>0</v>
      </c>
      <c r="G97" s="692">
        <f>'NUHM Metro Abst'!N97</f>
        <v>0</v>
      </c>
      <c r="H97" s="692">
        <f>'NUHM Metro Abst'!Q97</f>
        <v>0</v>
      </c>
      <c r="I97" s="328">
        <f t="shared" si="4"/>
        <v>0</v>
      </c>
      <c r="J97" s="692">
        <f t="shared" si="5"/>
        <v>0</v>
      </c>
    </row>
    <row r="98" spans="1:10" x14ac:dyDescent="0.2">
      <c r="A98" s="103" t="s">
        <v>5308</v>
      </c>
      <c r="B98" s="103"/>
      <c r="C98" s="103" t="s">
        <v>1310</v>
      </c>
      <c r="D98" s="103" t="s">
        <v>5351</v>
      </c>
      <c r="E98" s="692">
        <f>'NUHM-Non Metro Abst'!N98</f>
        <v>0</v>
      </c>
      <c r="F98" s="692">
        <f>'NUHM-Non Metro Abst'!Q98</f>
        <v>0</v>
      </c>
      <c r="G98" s="692">
        <f>'NUHM Metro Abst'!N98</f>
        <v>0</v>
      </c>
      <c r="H98" s="692">
        <f>'NUHM Metro Abst'!Q98</f>
        <v>0</v>
      </c>
      <c r="I98" s="328">
        <f t="shared" si="4"/>
        <v>0</v>
      </c>
      <c r="J98" s="692">
        <f t="shared" si="5"/>
        <v>0</v>
      </c>
    </row>
    <row r="99" spans="1:10" s="856" customFormat="1" x14ac:dyDescent="0.2">
      <c r="A99" s="104" t="s">
        <v>5312</v>
      </c>
      <c r="B99" s="104" t="s">
        <v>3198</v>
      </c>
      <c r="C99" s="104" t="s">
        <v>4959</v>
      </c>
      <c r="D99" s="104"/>
      <c r="E99" s="692">
        <f>'NUHM-Non Metro Abst'!N99</f>
        <v>0</v>
      </c>
      <c r="F99" s="692">
        <f>'NUHM-Non Metro Abst'!Q99</f>
        <v>0</v>
      </c>
      <c r="G99" s="692">
        <f>'NUHM Metro Abst'!N99</f>
        <v>0</v>
      </c>
      <c r="H99" s="692">
        <f>'NUHM Metro Abst'!Q99</f>
        <v>0</v>
      </c>
      <c r="I99" s="328">
        <f t="shared" si="4"/>
        <v>0</v>
      </c>
      <c r="J99" s="692">
        <f t="shared" si="5"/>
        <v>0</v>
      </c>
    </row>
    <row r="100" spans="1:10" ht="30" x14ac:dyDescent="0.2">
      <c r="A100" s="103" t="s">
        <v>5313</v>
      </c>
      <c r="B100" s="103" t="s">
        <v>4586</v>
      </c>
      <c r="C100" s="123" t="s">
        <v>4584</v>
      </c>
      <c r="D100" s="123" t="s">
        <v>5349</v>
      </c>
      <c r="E100" s="692">
        <f>'NUHM-Non Metro Abst'!N100</f>
        <v>0</v>
      </c>
      <c r="F100" s="692">
        <f>'NUHM-Non Metro Abst'!Q100</f>
        <v>0</v>
      </c>
      <c r="G100" s="692">
        <f>'NUHM Metro Abst'!N100</f>
        <v>0</v>
      </c>
      <c r="H100" s="692">
        <f>'NUHM Metro Abst'!Q100</f>
        <v>0</v>
      </c>
      <c r="I100" s="328">
        <f t="shared" si="4"/>
        <v>0</v>
      </c>
      <c r="J100" s="692">
        <f t="shared" si="5"/>
        <v>0</v>
      </c>
    </row>
    <row r="101" spans="1:10" ht="30" x14ac:dyDescent="0.2">
      <c r="A101" s="103" t="s">
        <v>5314</v>
      </c>
      <c r="B101" s="103" t="s">
        <v>4587</v>
      </c>
      <c r="C101" s="123" t="s">
        <v>4585</v>
      </c>
      <c r="D101" s="123" t="s">
        <v>5348</v>
      </c>
      <c r="E101" s="692">
        <f>'NUHM-Non Metro Abst'!N101</f>
        <v>0</v>
      </c>
      <c r="F101" s="692">
        <f>'NUHM-Non Metro Abst'!Q101</f>
        <v>0</v>
      </c>
      <c r="G101" s="692">
        <f>'NUHM Metro Abst'!N101</f>
        <v>0</v>
      </c>
      <c r="H101" s="692">
        <f>'NUHM Metro Abst'!Q101</f>
        <v>0</v>
      </c>
      <c r="I101" s="328">
        <f t="shared" si="4"/>
        <v>0</v>
      </c>
      <c r="J101" s="692">
        <f t="shared" si="5"/>
        <v>0</v>
      </c>
    </row>
    <row r="102" spans="1:10" x14ac:dyDescent="0.2">
      <c r="A102" s="103" t="s">
        <v>5315</v>
      </c>
      <c r="B102" s="103" t="s">
        <v>4588</v>
      </c>
      <c r="C102" s="123" t="s">
        <v>2977</v>
      </c>
      <c r="D102" s="123" t="s">
        <v>5348</v>
      </c>
      <c r="E102" s="692">
        <f>'NUHM-Non Metro Abst'!N102</f>
        <v>0</v>
      </c>
      <c r="F102" s="692">
        <f>'NUHM-Non Metro Abst'!Q102</f>
        <v>0</v>
      </c>
      <c r="G102" s="692">
        <f>'NUHM Metro Abst'!N102</f>
        <v>0</v>
      </c>
      <c r="H102" s="692">
        <f>'NUHM Metro Abst'!Q102</f>
        <v>0</v>
      </c>
      <c r="I102" s="328">
        <f t="shared" si="4"/>
        <v>0</v>
      </c>
      <c r="J102" s="692">
        <f t="shared" si="5"/>
        <v>0</v>
      </c>
    </row>
    <row r="103" spans="1:10" x14ac:dyDescent="0.2">
      <c r="A103" s="840" t="s">
        <v>3190</v>
      </c>
      <c r="B103" s="840"/>
      <c r="C103" s="840" t="s">
        <v>4571</v>
      </c>
      <c r="D103" s="840"/>
      <c r="E103" s="841">
        <f>'NUHM-Non Metro Abst'!N103</f>
        <v>0</v>
      </c>
      <c r="F103" s="841">
        <f>'NUHM-Non Metro Abst'!Q103</f>
        <v>0</v>
      </c>
      <c r="G103" s="841">
        <f>'NUHM Metro Abst'!N103</f>
        <v>0</v>
      </c>
      <c r="H103" s="841">
        <f>'NUHM Metro Abst'!Q103</f>
        <v>0</v>
      </c>
      <c r="I103" s="225">
        <f t="shared" si="4"/>
        <v>0</v>
      </c>
      <c r="J103" s="841">
        <f t="shared" si="5"/>
        <v>0</v>
      </c>
    </row>
    <row r="104" spans="1:10" s="858" customFormat="1" x14ac:dyDescent="0.2">
      <c r="A104" s="857" t="s">
        <v>3191</v>
      </c>
      <c r="B104" s="857"/>
      <c r="C104" s="857" t="s">
        <v>4568</v>
      </c>
      <c r="D104" s="857"/>
      <c r="E104" s="692">
        <f>'NUHM-Non Metro Abst'!N104</f>
        <v>0</v>
      </c>
      <c r="F104" s="692">
        <f>'NUHM-Non Metro Abst'!Q104</f>
        <v>0</v>
      </c>
      <c r="G104" s="692">
        <f>'NUHM Metro Abst'!N104</f>
        <v>0</v>
      </c>
      <c r="H104" s="692">
        <f>'NUHM Metro Abst'!Q104</f>
        <v>0</v>
      </c>
      <c r="I104" s="328">
        <f t="shared" si="4"/>
        <v>0</v>
      </c>
      <c r="J104" s="692">
        <f t="shared" si="5"/>
        <v>0</v>
      </c>
    </row>
    <row r="105" spans="1:10" s="828" customFormat="1" x14ac:dyDescent="0.2">
      <c r="A105" s="123" t="s">
        <v>4576</v>
      </c>
      <c r="B105" s="123" t="s">
        <v>3008</v>
      </c>
      <c r="C105" s="123" t="s">
        <v>4581</v>
      </c>
      <c r="D105" s="123" t="s">
        <v>5349</v>
      </c>
      <c r="E105" s="692">
        <f>'NUHM-Non Metro Abst'!N105</f>
        <v>0</v>
      </c>
      <c r="F105" s="692">
        <f>'NUHM-Non Metro Abst'!Q105</f>
        <v>0</v>
      </c>
      <c r="G105" s="692">
        <f>'NUHM Metro Abst'!N105</f>
        <v>0</v>
      </c>
      <c r="H105" s="692">
        <f>'NUHM Metro Abst'!Q105</f>
        <v>0</v>
      </c>
      <c r="I105" s="328">
        <f t="shared" si="4"/>
        <v>0</v>
      </c>
      <c r="J105" s="692">
        <f t="shared" si="5"/>
        <v>0</v>
      </c>
    </row>
    <row r="106" spans="1:10" s="828" customFormat="1" ht="30" x14ac:dyDescent="0.2">
      <c r="A106" s="123" t="s">
        <v>4577</v>
      </c>
      <c r="B106" s="123" t="s">
        <v>4574</v>
      </c>
      <c r="C106" s="123" t="s">
        <v>4575</v>
      </c>
      <c r="D106" s="123" t="s">
        <v>5349</v>
      </c>
      <c r="E106" s="692">
        <f>'NUHM-Non Metro Abst'!N106</f>
        <v>0</v>
      </c>
      <c r="F106" s="692">
        <f>'NUHM-Non Metro Abst'!Q106</f>
        <v>0</v>
      </c>
      <c r="G106" s="692">
        <f>'NUHM Metro Abst'!N106</f>
        <v>0</v>
      </c>
      <c r="H106" s="692">
        <f>'NUHM Metro Abst'!Q106</f>
        <v>0</v>
      </c>
      <c r="I106" s="328">
        <f t="shared" si="4"/>
        <v>0</v>
      </c>
      <c r="J106" s="692">
        <f t="shared" si="5"/>
        <v>0</v>
      </c>
    </row>
    <row r="107" spans="1:10" s="828" customFormat="1" x14ac:dyDescent="0.2">
      <c r="A107" s="123" t="s">
        <v>5310</v>
      </c>
      <c r="B107" s="123"/>
      <c r="C107" s="123" t="s">
        <v>3876</v>
      </c>
      <c r="D107" s="123" t="s">
        <v>5348</v>
      </c>
      <c r="E107" s="692">
        <f>'NUHM-Non Metro Abst'!N107</f>
        <v>0</v>
      </c>
      <c r="F107" s="692">
        <f>'NUHM-Non Metro Abst'!Q107</f>
        <v>0</v>
      </c>
      <c r="G107" s="692">
        <f>'NUHM Metro Abst'!N107</f>
        <v>0</v>
      </c>
      <c r="H107" s="692">
        <f>'NUHM Metro Abst'!Q107</f>
        <v>0</v>
      </c>
      <c r="I107" s="328">
        <f t="shared" si="4"/>
        <v>0</v>
      </c>
      <c r="J107" s="692">
        <f t="shared" si="5"/>
        <v>0</v>
      </c>
    </row>
    <row r="108" spans="1:10" s="856" customFormat="1" x14ac:dyDescent="0.2">
      <c r="A108" s="859" t="s">
        <v>3192</v>
      </c>
      <c r="B108" s="859"/>
      <c r="C108" s="860" t="s">
        <v>1791</v>
      </c>
      <c r="D108" s="860"/>
      <c r="E108" s="861">
        <f>'NUHM-Non Metro Abst'!N108</f>
        <v>0</v>
      </c>
      <c r="F108" s="861">
        <f>'NUHM-Non Metro Abst'!Q108</f>
        <v>0</v>
      </c>
      <c r="G108" s="861">
        <f>'NUHM Metro Abst'!N108</f>
        <v>0</v>
      </c>
      <c r="H108" s="861">
        <f>'NUHM Metro Abst'!Q108</f>
        <v>0</v>
      </c>
      <c r="I108" s="862">
        <f t="shared" si="4"/>
        <v>0</v>
      </c>
      <c r="J108" s="861">
        <f t="shared" si="5"/>
        <v>0</v>
      </c>
    </row>
    <row r="109" spans="1:10" x14ac:dyDescent="0.2">
      <c r="A109" s="103" t="s">
        <v>4578</v>
      </c>
      <c r="B109" s="103" t="s">
        <v>3009</v>
      </c>
      <c r="C109" s="103" t="s">
        <v>3010</v>
      </c>
      <c r="D109" s="103" t="s">
        <v>5350</v>
      </c>
      <c r="E109" s="692">
        <f>'NUHM-Non Metro Abst'!N109</f>
        <v>0</v>
      </c>
      <c r="F109" s="692">
        <f>'NUHM-Non Metro Abst'!Q109</f>
        <v>0</v>
      </c>
      <c r="G109" s="692">
        <f>'NUHM Metro Abst'!N109</f>
        <v>0</v>
      </c>
      <c r="H109" s="692">
        <f>'NUHM Metro Abst'!Q109</f>
        <v>0</v>
      </c>
      <c r="I109" s="328">
        <f t="shared" si="4"/>
        <v>0</v>
      </c>
      <c r="J109" s="692">
        <f t="shared" si="5"/>
        <v>0</v>
      </c>
    </row>
    <row r="110" spans="1:10" x14ac:dyDescent="0.2">
      <c r="A110" s="103" t="s">
        <v>4579</v>
      </c>
      <c r="B110" s="103" t="s">
        <v>3011</v>
      </c>
      <c r="C110" s="103" t="s">
        <v>5311</v>
      </c>
      <c r="D110" s="103" t="s">
        <v>5350</v>
      </c>
      <c r="E110" s="692">
        <f>'NUHM-Non Metro Abst'!N110</f>
        <v>0</v>
      </c>
      <c r="F110" s="692">
        <f>'NUHM-Non Metro Abst'!Q110</f>
        <v>0</v>
      </c>
      <c r="G110" s="692">
        <f>'NUHM Metro Abst'!N110</f>
        <v>0</v>
      </c>
      <c r="H110" s="692">
        <f>'NUHM Metro Abst'!Q110</f>
        <v>0</v>
      </c>
      <c r="I110" s="328">
        <f t="shared" si="4"/>
        <v>0</v>
      </c>
      <c r="J110" s="692">
        <f t="shared" si="5"/>
        <v>0</v>
      </c>
    </row>
    <row r="111" spans="1:10" s="856" customFormat="1" x14ac:dyDescent="0.2">
      <c r="A111" s="857" t="s">
        <v>3193</v>
      </c>
      <c r="B111" s="863" t="s">
        <v>3012</v>
      </c>
      <c r="C111" s="863" t="s">
        <v>1879</v>
      </c>
      <c r="D111" s="863" t="s">
        <v>5348</v>
      </c>
      <c r="E111" s="692">
        <f>'NUHM-Non Metro Abst'!N111</f>
        <v>0</v>
      </c>
      <c r="F111" s="692">
        <f>'NUHM-Non Metro Abst'!Q111</f>
        <v>0</v>
      </c>
      <c r="G111" s="692">
        <f>'NUHM Metro Abst'!N111</f>
        <v>0</v>
      </c>
      <c r="H111" s="692">
        <f>'NUHM Metro Abst'!Q111</f>
        <v>0</v>
      </c>
      <c r="I111" s="328">
        <f t="shared" si="4"/>
        <v>0</v>
      </c>
      <c r="J111" s="692">
        <f t="shared" si="5"/>
        <v>0</v>
      </c>
    </row>
    <row r="112" spans="1:10" s="828" customFormat="1" x14ac:dyDescent="0.2">
      <c r="A112" s="864" t="s">
        <v>3194</v>
      </c>
      <c r="B112" s="865"/>
      <c r="C112" s="866" t="s">
        <v>4582</v>
      </c>
      <c r="D112" s="866"/>
      <c r="E112" s="861">
        <f>'NUHM-Non Metro Abst'!N112</f>
        <v>0</v>
      </c>
      <c r="F112" s="861">
        <f>'NUHM-Non Metro Abst'!Q112</f>
        <v>0</v>
      </c>
      <c r="G112" s="861">
        <f>'NUHM Metro Abst'!N112</f>
        <v>0</v>
      </c>
      <c r="H112" s="861">
        <f>'NUHM Metro Abst'!Q112</f>
        <v>0</v>
      </c>
      <c r="I112" s="862">
        <f t="shared" si="4"/>
        <v>0</v>
      </c>
      <c r="J112" s="861">
        <f t="shared" si="5"/>
        <v>0</v>
      </c>
    </row>
    <row r="113" spans="1:10" s="828" customFormat="1" ht="30" x14ac:dyDescent="0.2">
      <c r="A113" s="857" t="s">
        <v>3195</v>
      </c>
      <c r="B113" s="123"/>
      <c r="C113" s="123" t="s">
        <v>4580</v>
      </c>
      <c r="D113" s="123" t="s">
        <v>5349</v>
      </c>
      <c r="E113" s="692">
        <f>'NUHM-Non Metro Abst'!N113</f>
        <v>0</v>
      </c>
      <c r="F113" s="692">
        <f>'NUHM-Non Metro Abst'!Q113</f>
        <v>0</v>
      </c>
      <c r="G113" s="692">
        <f>'NUHM Metro Abst'!N113</f>
        <v>0</v>
      </c>
      <c r="H113" s="692">
        <f>'NUHM Metro Abst'!Q113</f>
        <v>0</v>
      </c>
      <c r="I113" s="328">
        <f t="shared" si="4"/>
        <v>0</v>
      </c>
      <c r="J113" s="692">
        <f t="shared" si="5"/>
        <v>0</v>
      </c>
    </row>
    <row r="114" spans="1:10" s="828" customFormat="1" ht="30" x14ac:dyDescent="0.2">
      <c r="A114" s="857" t="s">
        <v>3196</v>
      </c>
      <c r="B114" s="123"/>
      <c r="C114" s="123" t="s">
        <v>4583</v>
      </c>
      <c r="D114" s="123" t="s">
        <v>5349</v>
      </c>
      <c r="E114" s="692">
        <f>'NUHM-Non Metro Abst'!N114</f>
        <v>0</v>
      </c>
      <c r="F114" s="692">
        <f>'NUHM-Non Metro Abst'!Q114</f>
        <v>0</v>
      </c>
      <c r="G114" s="692">
        <f>'NUHM Metro Abst'!N114</f>
        <v>0</v>
      </c>
      <c r="H114" s="692">
        <f>'NUHM Metro Abst'!Q114</f>
        <v>0</v>
      </c>
      <c r="I114" s="328">
        <f t="shared" si="4"/>
        <v>0</v>
      </c>
      <c r="J114" s="692">
        <f t="shared" si="5"/>
        <v>0</v>
      </c>
    </row>
    <row r="115" spans="1:10" s="867" customFormat="1" x14ac:dyDescent="0.2">
      <c r="A115" s="840" t="s">
        <v>3197</v>
      </c>
      <c r="B115" s="840" t="s">
        <v>3304</v>
      </c>
      <c r="C115" s="840" t="s">
        <v>4939</v>
      </c>
      <c r="D115" s="840"/>
      <c r="E115" s="841">
        <f>'NUHM-Non Metro Abst'!N115</f>
        <v>0</v>
      </c>
      <c r="F115" s="841">
        <f>'NUHM-Non Metro Abst'!Q115</f>
        <v>0</v>
      </c>
      <c r="G115" s="841">
        <f>'NUHM Metro Abst'!N115</f>
        <v>0</v>
      </c>
      <c r="H115" s="841">
        <f>'NUHM Metro Abst'!Q115</f>
        <v>0</v>
      </c>
      <c r="I115" s="225">
        <f t="shared" si="4"/>
        <v>0</v>
      </c>
      <c r="J115" s="841">
        <f t="shared" si="5"/>
        <v>0</v>
      </c>
    </row>
    <row r="116" spans="1:10" s="868" customFormat="1" ht="30" x14ac:dyDescent="0.2">
      <c r="A116" s="555" t="s">
        <v>4605</v>
      </c>
      <c r="B116" s="847" t="s">
        <v>3930</v>
      </c>
      <c r="C116" s="495" t="s">
        <v>3932</v>
      </c>
      <c r="D116" s="495" t="s">
        <v>5347</v>
      </c>
      <c r="E116" s="692">
        <f>'NUHM-Non Metro Abst'!N116</f>
        <v>0</v>
      </c>
      <c r="F116" s="692">
        <f>'NUHM-Non Metro Abst'!Q116</f>
        <v>0</v>
      </c>
      <c r="G116" s="692">
        <f>'NUHM Metro Abst'!N116</f>
        <v>0</v>
      </c>
      <c r="H116" s="692">
        <f>'NUHM Metro Abst'!Q116</f>
        <v>0</v>
      </c>
      <c r="I116" s="328">
        <f t="shared" si="4"/>
        <v>0</v>
      </c>
      <c r="J116" s="692">
        <f t="shared" si="5"/>
        <v>0</v>
      </c>
    </row>
    <row r="117" spans="1:10" s="868" customFormat="1" x14ac:dyDescent="0.2">
      <c r="A117" s="555" t="s">
        <v>5316</v>
      </c>
      <c r="B117" s="847" t="s">
        <v>3931</v>
      </c>
      <c r="C117" s="103" t="s">
        <v>1310</v>
      </c>
      <c r="D117" s="103" t="s">
        <v>3303</v>
      </c>
      <c r="E117" s="692">
        <f>'NUHM-Non Metro Abst'!N117</f>
        <v>0</v>
      </c>
      <c r="F117" s="692">
        <f>'NUHM-Non Metro Abst'!Q117</f>
        <v>0</v>
      </c>
      <c r="G117" s="692">
        <f>'NUHM Metro Abst'!N117</f>
        <v>0</v>
      </c>
      <c r="H117" s="692">
        <f>'NUHM Metro Abst'!Q117</f>
        <v>0</v>
      </c>
      <c r="I117" s="328">
        <f t="shared" si="4"/>
        <v>0</v>
      </c>
      <c r="J117" s="692">
        <f t="shared" si="5"/>
        <v>0</v>
      </c>
    </row>
    <row r="118" spans="1:10" x14ac:dyDescent="0.2">
      <c r="A118" s="184" t="s">
        <v>3199</v>
      </c>
      <c r="B118" s="184"/>
      <c r="C118" s="184" t="s">
        <v>20</v>
      </c>
      <c r="D118" s="184"/>
      <c r="E118" s="838">
        <f>'NUHM-Non Metro Abst'!N118</f>
        <v>0</v>
      </c>
      <c r="F118" s="838">
        <f>'NUHM-Non Metro Abst'!Q118</f>
        <v>0</v>
      </c>
      <c r="G118" s="838">
        <f>'NUHM Metro Abst'!N118</f>
        <v>0</v>
      </c>
      <c r="H118" s="838">
        <f>'NUHM Metro Abst'!Q118</f>
        <v>0</v>
      </c>
      <c r="I118" s="224">
        <f t="shared" si="4"/>
        <v>0</v>
      </c>
      <c r="J118" s="838">
        <f t="shared" si="5"/>
        <v>0</v>
      </c>
    </row>
    <row r="119" spans="1:10" x14ac:dyDescent="0.2">
      <c r="A119" s="103" t="s">
        <v>3200</v>
      </c>
      <c r="B119" s="103"/>
      <c r="C119" s="103" t="s">
        <v>4454</v>
      </c>
      <c r="D119" s="103" t="s">
        <v>5348</v>
      </c>
      <c r="E119" s="692">
        <f>'NUHM-Non Metro Abst'!N119</f>
        <v>0</v>
      </c>
      <c r="F119" s="692">
        <f>'NUHM-Non Metro Abst'!Q119</f>
        <v>0</v>
      </c>
      <c r="G119" s="692">
        <f>'NUHM Metro Abst'!N119</f>
        <v>0</v>
      </c>
      <c r="H119" s="692">
        <f>'NUHM Metro Abst'!Q119</f>
        <v>0</v>
      </c>
      <c r="I119" s="328">
        <f t="shared" si="4"/>
        <v>0</v>
      </c>
      <c r="J119" s="692">
        <f t="shared" si="5"/>
        <v>0</v>
      </c>
    </row>
    <row r="120" spans="1:10" x14ac:dyDescent="0.2">
      <c r="A120" s="184" t="s">
        <v>3201</v>
      </c>
      <c r="B120" s="184"/>
      <c r="C120" s="184" t="s">
        <v>21</v>
      </c>
      <c r="D120" s="184"/>
      <c r="E120" s="838">
        <f>'NUHM-Non Metro Abst'!N120</f>
        <v>1760.4720000000002</v>
      </c>
      <c r="F120" s="838">
        <f>'NUHM-Non Metro Abst'!Q120</f>
        <v>0</v>
      </c>
      <c r="G120" s="838">
        <f>'NUHM Metro Abst'!N120</f>
        <v>1033.63662</v>
      </c>
      <c r="H120" s="838">
        <f>'NUHM Metro Abst'!Q120</f>
        <v>0</v>
      </c>
      <c r="I120" s="224">
        <f t="shared" si="4"/>
        <v>2794.10862</v>
      </c>
      <c r="J120" s="838">
        <f t="shared" si="5"/>
        <v>0</v>
      </c>
    </row>
    <row r="121" spans="1:10" x14ac:dyDescent="0.2">
      <c r="A121" s="840" t="s">
        <v>3202</v>
      </c>
      <c r="B121" s="840"/>
      <c r="C121" s="840" t="s">
        <v>41</v>
      </c>
      <c r="D121" s="840"/>
      <c r="E121" s="841">
        <f>'NUHM-Non Metro Abst'!N121</f>
        <v>1760.4720000000002</v>
      </c>
      <c r="F121" s="841">
        <f>'NUHM-Non Metro Abst'!Q121</f>
        <v>0</v>
      </c>
      <c r="G121" s="841">
        <f>'NUHM Metro Abst'!N121</f>
        <v>1033.63662</v>
      </c>
      <c r="H121" s="841">
        <f>'NUHM Metro Abst'!Q121</f>
        <v>0</v>
      </c>
      <c r="I121" s="225">
        <f t="shared" si="4"/>
        <v>2794.10862</v>
      </c>
      <c r="J121" s="841">
        <f t="shared" si="5"/>
        <v>0</v>
      </c>
    </row>
    <row r="122" spans="1:10" x14ac:dyDescent="0.2">
      <c r="A122" s="848" t="s">
        <v>3203</v>
      </c>
      <c r="B122" s="848" t="s">
        <v>3014</v>
      </c>
      <c r="C122" s="848" t="s">
        <v>3015</v>
      </c>
      <c r="D122" s="848"/>
      <c r="E122" s="849">
        <f>'NUHM-Non Metro Abst'!N122</f>
        <v>382.95</v>
      </c>
      <c r="F122" s="849">
        <f>'NUHM-Non Metro Abst'!Q122</f>
        <v>0</v>
      </c>
      <c r="G122" s="849">
        <f>'NUHM Metro Abst'!N122</f>
        <v>172.8</v>
      </c>
      <c r="H122" s="849">
        <f>'NUHM Metro Abst'!Q122</f>
        <v>0</v>
      </c>
      <c r="I122" s="233">
        <f t="shared" si="4"/>
        <v>555.75</v>
      </c>
      <c r="J122" s="849">
        <f t="shared" si="5"/>
        <v>0</v>
      </c>
    </row>
    <row r="123" spans="1:10" x14ac:dyDescent="0.2">
      <c r="A123" s="103" t="s">
        <v>3204</v>
      </c>
      <c r="B123" s="103" t="s">
        <v>3016</v>
      </c>
      <c r="C123" s="103" t="s">
        <v>2992</v>
      </c>
      <c r="D123" s="103" t="s">
        <v>5352</v>
      </c>
      <c r="E123" s="692">
        <f>'NUHM-Non Metro Abst'!N123</f>
        <v>382.95</v>
      </c>
      <c r="F123" s="692">
        <f>'NUHM-Non Metro Abst'!Q123</f>
        <v>0</v>
      </c>
      <c r="G123" s="692">
        <f>'NUHM Metro Abst'!N123</f>
        <v>171.9</v>
      </c>
      <c r="H123" s="692">
        <f>'NUHM Metro Abst'!Q123</f>
        <v>0</v>
      </c>
      <c r="I123" s="328">
        <f t="shared" si="4"/>
        <v>554.85</v>
      </c>
      <c r="J123" s="692">
        <f t="shared" si="5"/>
        <v>0</v>
      </c>
    </row>
    <row r="124" spans="1:10" x14ac:dyDescent="0.2">
      <c r="A124" s="103" t="s">
        <v>3205</v>
      </c>
      <c r="B124" s="103" t="s">
        <v>3017</v>
      </c>
      <c r="C124" s="103" t="s">
        <v>2994</v>
      </c>
      <c r="D124" s="103" t="s">
        <v>5352</v>
      </c>
      <c r="E124" s="692">
        <f>'NUHM-Non Metro Abst'!N124</f>
        <v>0</v>
      </c>
      <c r="F124" s="692">
        <f>'NUHM-Non Metro Abst'!Q124</f>
        <v>0</v>
      </c>
      <c r="G124" s="692">
        <f>'NUHM Metro Abst'!N124</f>
        <v>0.9</v>
      </c>
      <c r="H124" s="692">
        <f>'NUHM Metro Abst'!Q124</f>
        <v>0</v>
      </c>
      <c r="I124" s="328">
        <f t="shared" si="4"/>
        <v>0.9</v>
      </c>
      <c r="J124" s="692">
        <f t="shared" si="5"/>
        <v>0</v>
      </c>
    </row>
    <row r="125" spans="1:10" x14ac:dyDescent="0.2">
      <c r="A125" s="103" t="s">
        <v>3206</v>
      </c>
      <c r="B125" s="103" t="s">
        <v>3018</v>
      </c>
      <c r="C125" s="103" t="s">
        <v>2995</v>
      </c>
      <c r="D125" s="103" t="s">
        <v>5352</v>
      </c>
      <c r="E125" s="692">
        <f>'NUHM-Non Metro Abst'!N125</f>
        <v>0</v>
      </c>
      <c r="F125" s="692">
        <f>'NUHM-Non Metro Abst'!Q125</f>
        <v>0</v>
      </c>
      <c r="G125" s="692">
        <f>'NUHM Metro Abst'!N125</f>
        <v>0</v>
      </c>
      <c r="H125" s="692">
        <f>'NUHM Metro Abst'!Q125</f>
        <v>0</v>
      </c>
      <c r="I125" s="328">
        <f t="shared" si="4"/>
        <v>0</v>
      </c>
      <c r="J125" s="692">
        <f t="shared" si="5"/>
        <v>0</v>
      </c>
    </row>
    <row r="126" spans="1:10" x14ac:dyDescent="0.2">
      <c r="A126" s="848" t="s">
        <v>3207</v>
      </c>
      <c r="B126" s="848" t="s">
        <v>3019</v>
      </c>
      <c r="C126" s="848" t="s">
        <v>3020</v>
      </c>
      <c r="D126" s="848"/>
      <c r="E126" s="849">
        <f>'NUHM-Non Metro Abst'!N126</f>
        <v>785.86200000000008</v>
      </c>
      <c r="F126" s="849">
        <f>'NUHM-Non Metro Abst'!Q126</f>
        <v>0</v>
      </c>
      <c r="G126" s="849">
        <f>'NUHM Metro Abst'!N126</f>
        <v>298.8</v>
      </c>
      <c r="H126" s="849">
        <f>'NUHM Metro Abst'!Q126</f>
        <v>0</v>
      </c>
      <c r="I126" s="233">
        <f t="shared" si="4"/>
        <v>1084.662</v>
      </c>
      <c r="J126" s="849">
        <f t="shared" si="5"/>
        <v>0</v>
      </c>
    </row>
    <row r="127" spans="1:10" x14ac:dyDescent="0.2">
      <c r="A127" s="103" t="s">
        <v>3208</v>
      </c>
      <c r="B127" s="103" t="s">
        <v>3021</v>
      </c>
      <c r="C127" s="103" t="s">
        <v>2992</v>
      </c>
      <c r="D127" s="103" t="s">
        <v>5352</v>
      </c>
      <c r="E127" s="692">
        <f>'NUHM-Non Metro Abst'!N127</f>
        <v>773.26200000000006</v>
      </c>
      <c r="F127" s="692">
        <f>'NUHM-Non Metro Abst'!Q127</f>
        <v>0</v>
      </c>
      <c r="G127" s="692">
        <f>'NUHM Metro Abst'!N127</f>
        <v>237.6</v>
      </c>
      <c r="H127" s="692">
        <f>'NUHM Metro Abst'!Q127</f>
        <v>0</v>
      </c>
      <c r="I127" s="328">
        <f t="shared" si="4"/>
        <v>1010.8620000000001</v>
      </c>
      <c r="J127" s="692">
        <f t="shared" si="5"/>
        <v>0</v>
      </c>
    </row>
    <row r="128" spans="1:10" x14ac:dyDescent="0.2">
      <c r="A128" s="103" t="s">
        <v>3209</v>
      </c>
      <c r="B128" s="103" t="s">
        <v>3022</v>
      </c>
      <c r="C128" s="103" t="s">
        <v>2994</v>
      </c>
      <c r="D128" s="103" t="s">
        <v>5352</v>
      </c>
      <c r="E128" s="692">
        <f>'NUHM-Non Metro Abst'!N128</f>
        <v>12.6</v>
      </c>
      <c r="F128" s="692">
        <f>'NUHM-Non Metro Abst'!Q128</f>
        <v>0</v>
      </c>
      <c r="G128" s="692">
        <f>'NUHM Metro Abst'!N128</f>
        <v>57.599999999999994</v>
      </c>
      <c r="H128" s="692">
        <f>'NUHM Metro Abst'!Q128</f>
        <v>0</v>
      </c>
      <c r="I128" s="328">
        <f t="shared" si="4"/>
        <v>70.199999999999989</v>
      </c>
      <c r="J128" s="692">
        <f t="shared" si="5"/>
        <v>0</v>
      </c>
    </row>
    <row r="129" spans="1:10" x14ac:dyDescent="0.2">
      <c r="A129" s="103" t="s">
        <v>3210</v>
      </c>
      <c r="B129" s="103" t="s">
        <v>3023</v>
      </c>
      <c r="C129" s="103" t="s">
        <v>2995</v>
      </c>
      <c r="D129" s="103" t="s">
        <v>5352</v>
      </c>
      <c r="E129" s="692">
        <f>'NUHM-Non Metro Abst'!N129</f>
        <v>0</v>
      </c>
      <c r="F129" s="692">
        <f>'NUHM-Non Metro Abst'!Q129</f>
        <v>0</v>
      </c>
      <c r="G129" s="692">
        <f>'NUHM Metro Abst'!N129</f>
        <v>3.5999999999999996</v>
      </c>
      <c r="H129" s="692">
        <f>'NUHM Metro Abst'!Q129</f>
        <v>0</v>
      </c>
      <c r="I129" s="328">
        <f t="shared" si="4"/>
        <v>3.5999999999999996</v>
      </c>
      <c r="J129" s="692">
        <f t="shared" si="5"/>
        <v>0</v>
      </c>
    </row>
    <row r="130" spans="1:10" x14ac:dyDescent="0.2">
      <c r="A130" s="848" t="s">
        <v>3211</v>
      </c>
      <c r="B130" s="848" t="s">
        <v>3024</v>
      </c>
      <c r="C130" s="848" t="s">
        <v>3025</v>
      </c>
      <c r="D130" s="848"/>
      <c r="E130" s="849">
        <f>'NUHM-Non Metro Abst'!N130</f>
        <v>128.25</v>
      </c>
      <c r="F130" s="849">
        <f>'NUHM-Non Metro Abst'!Q130</f>
        <v>0</v>
      </c>
      <c r="G130" s="849">
        <f>'NUHM Metro Abst'!N130</f>
        <v>49.95</v>
      </c>
      <c r="H130" s="849">
        <f>'NUHM Metro Abst'!Q130</f>
        <v>0</v>
      </c>
      <c r="I130" s="233">
        <f t="shared" si="4"/>
        <v>178.2</v>
      </c>
      <c r="J130" s="849">
        <f t="shared" si="5"/>
        <v>0</v>
      </c>
    </row>
    <row r="131" spans="1:10" x14ac:dyDescent="0.2">
      <c r="A131" s="103" t="s">
        <v>3212</v>
      </c>
      <c r="B131" s="103" t="s">
        <v>3026</v>
      </c>
      <c r="C131" s="103" t="s">
        <v>2992</v>
      </c>
      <c r="D131" s="103" t="s">
        <v>5352</v>
      </c>
      <c r="E131" s="692">
        <f>'NUHM-Non Metro Abst'!N131</f>
        <v>128.25</v>
      </c>
      <c r="F131" s="692">
        <f>'NUHM-Non Metro Abst'!Q131</f>
        <v>0</v>
      </c>
      <c r="G131" s="692">
        <f>'NUHM Metro Abst'!N131</f>
        <v>36</v>
      </c>
      <c r="H131" s="692">
        <f>'NUHM Metro Abst'!Q131</f>
        <v>0</v>
      </c>
      <c r="I131" s="328">
        <f t="shared" si="4"/>
        <v>164.25</v>
      </c>
      <c r="J131" s="692">
        <f t="shared" si="5"/>
        <v>0</v>
      </c>
    </row>
    <row r="132" spans="1:10" x14ac:dyDescent="0.2">
      <c r="A132" s="103" t="s">
        <v>3213</v>
      </c>
      <c r="B132" s="103" t="s">
        <v>3027</v>
      </c>
      <c r="C132" s="103" t="s">
        <v>2994</v>
      </c>
      <c r="D132" s="103" t="s">
        <v>5352</v>
      </c>
      <c r="E132" s="692">
        <f>'NUHM-Non Metro Abst'!N132</f>
        <v>0</v>
      </c>
      <c r="F132" s="692">
        <f>'NUHM-Non Metro Abst'!Q132</f>
        <v>0</v>
      </c>
      <c r="G132" s="692">
        <f>'NUHM Metro Abst'!N132</f>
        <v>12.6</v>
      </c>
      <c r="H132" s="692">
        <f>'NUHM Metro Abst'!Q132</f>
        <v>0</v>
      </c>
      <c r="I132" s="328">
        <f t="shared" si="4"/>
        <v>12.6</v>
      </c>
      <c r="J132" s="692">
        <f t="shared" si="5"/>
        <v>0</v>
      </c>
    </row>
    <row r="133" spans="1:10" x14ac:dyDescent="0.2">
      <c r="A133" s="103" t="s">
        <v>3214</v>
      </c>
      <c r="B133" s="103" t="s">
        <v>3028</v>
      </c>
      <c r="C133" s="103" t="s">
        <v>2995</v>
      </c>
      <c r="D133" s="103" t="s">
        <v>5352</v>
      </c>
      <c r="E133" s="692">
        <f>'NUHM-Non Metro Abst'!N133</f>
        <v>0</v>
      </c>
      <c r="F133" s="692">
        <f>'NUHM-Non Metro Abst'!Q133</f>
        <v>0</v>
      </c>
      <c r="G133" s="692">
        <f>'NUHM Metro Abst'!N133</f>
        <v>1.35</v>
      </c>
      <c r="H133" s="692">
        <f>'NUHM Metro Abst'!Q133</f>
        <v>0</v>
      </c>
      <c r="I133" s="328">
        <f t="shared" si="4"/>
        <v>1.35</v>
      </c>
      <c r="J133" s="692">
        <f t="shared" si="5"/>
        <v>0</v>
      </c>
    </row>
    <row r="134" spans="1:10" x14ac:dyDescent="0.2">
      <c r="A134" s="848" t="s">
        <v>3215</v>
      </c>
      <c r="B134" s="848" t="s">
        <v>3029</v>
      </c>
      <c r="C134" s="848" t="s">
        <v>552</v>
      </c>
      <c r="D134" s="848"/>
      <c r="E134" s="849">
        <f>'NUHM-Non Metro Abst'!N134</f>
        <v>112.5</v>
      </c>
      <c r="F134" s="849">
        <f>'NUHM-Non Metro Abst'!Q134</f>
        <v>0</v>
      </c>
      <c r="G134" s="849">
        <f>'NUHM Metro Abst'!N134</f>
        <v>44.550000000000004</v>
      </c>
      <c r="H134" s="849">
        <f>'NUHM Metro Abst'!Q134</f>
        <v>0</v>
      </c>
      <c r="I134" s="233">
        <f t="shared" si="4"/>
        <v>157.05000000000001</v>
      </c>
      <c r="J134" s="849">
        <f t="shared" si="5"/>
        <v>0</v>
      </c>
    </row>
    <row r="135" spans="1:10" x14ac:dyDescent="0.2">
      <c r="A135" s="103" t="s">
        <v>3216</v>
      </c>
      <c r="B135" s="103" t="s">
        <v>3030</v>
      </c>
      <c r="C135" s="103" t="s">
        <v>2992</v>
      </c>
      <c r="D135" s="103" t="s">
        <v>5352</v>
      </c>
      <c r="E135" s="692">
        <f>'NUHM-Non Metro Abst'!N135</f>
        <v>112.5</v>
      </c>
      <c r="F135" s="692">
        <f>'NUHM-Non Metro Abst'!Q135</f>
        <v>0</v>
      </c>
      <c r="G135" s="692">
        <f>'NUHM Metro Abst'!N135</f>
        <v>37.35</v>
      </c>
      <c r="H135" s="692">
        <f>'NUHM Metro Abst'!Q135</f>
        <v>0</v>
      </c>
      <c r="I135" s="328">
        <f t="shared" si="4"/>
        <v>149.85</v>
      </c>
      <c r="J135" s="692">
        <f t="shared" si="5"/>
        <v>0</v>
      </c>
    </row>
    <row r="136" spans="1:10" x14ac:dyDescent="0.2">
      <c r="A136" s="103" t="s">
        <v>3217</v>
      </c>
      <c r="B136" s="103" t="s">
        <v>3031</v>
      </c>
      <c r="C136" s="103" t="s">
        <v>2994</v>
      </c>
      <c r="D136" s="103" t="s">
        <v>5352</v>
      </c>
      <c r="E136" s="692">
        <f>'NUHM-Non Metro Abst'!N136</f>
        <v>0</v>
      </c>
      <c r="F136" s="692">
        <f>'NUHM-Non Metro Abst'!Q136</f>
        <v>0</v>
      </c>
      <c r="G136" s="692">
        <f>'NUHM Metro Abst'!N136</f>
        <v>7.2</v>
      </c>
      <c r="H136" s="692">
        <f>'NUHM Metro Abst'!Q136</f>
        <v>0</v>
      </c>
      <c r="I136" s="328">
        <f t="shared" si="4"/>
        <v>7.2</v>
      </c>
      <c r="J136" s="692">
        <f t="shared" si="5"/>
        <v>0</v>
      </c>
    </row>
    <row r="137" spans="1:10" x14ac:dyDescent="0.2">
      <c r="A137" s="103" t="s">
        <v>3218</v>
      </c>
      <c r="B137" s="103" t="s">
        <v>3032</v>
      </c>
      <c r="C137" s="103" t="s">
        <v>2995</v>
      </c>
      <c r="D137" s="103" t="s">
        <v>5352</v>
      </c>
      <c r="E137" s="692">
        <f>'NUHM-Non Metro Abst'!N137</f>
        <v>0</v>
      </c>
      <c r="F137" s="692">
        <f>'NUHM-Non Metro Abst'!Q137</f>
        <v>0</v>
      </c>
      <c r="G137" s="692">
        <f>'NUHM Metro Abst'!N137</f>
        <v>0</v>
      </c>
      <c r="H137" s="692">
        <f>'NUHM Metro Abst'!Q137</f>
        <v>0</v>
      </c>
      <c r="I137" s="328">
        <f t="shared" si="4"/>
        <v>0</v>
      </c>
      <c r="J137" s="692">
        <f t="shared" si="5"/>
        <v>0</v>
      </c>
    </row>
    <row r="138" spans="1:10" x14ac:dyDescent="0.2">
      <c r="A138" s="848" t="s">
        <v>3219</v>
      </c>
      <c r="B138" s="848" t="s">
        <v>3033</v>
      </c>
      <c r="C138" s="848" t="s">
        <v>3034</v>
      </c>
      <c r="D138" s="848"/>
      <c r="E138" s="849">
        <f>'NUHM-Non Metro Abst'!N138</f>
        <v>0</v>
      </c>
      <c r="F138" s="849">
        <f>'NUHM-Non Metro Abst'!Q138</f>
        <v>0</v>
      </c>
      <c r="G138" s="849">
        <f>'NUHM Metro Abst'!N138</f>
        <v>11.327999999999999</v>
      </c>
      <c r="H138" s="849">
        <f>'NUHM Metro Abst'!Q138</f>
        <v>0</v>
      </c>
      <c r="I138" s="233">
        <f t="shared" si="4"/>
        <v>11.327999999999999</v>
      </c>
      <c r="J138" s="849">
        <f t="shared" si="5"/>
        <v>0</v>
      </c>
    </row>
    <row r="139" spans="1:10" x14ac:dyDescent="0.2">
      <c r="A139" s="103" t="s">
        <v>3220</v>
      </c>
      <c r="B139" s="103" t="s">
        <v>3035</v>
      </c>
      <c r="C139" s="103" t="s">
        <v>3036</v>
      </c>
      <c r="D139" s="103" t="s">
        <v>5352</v>
      </c>
      <c r="E139" s="692">
        <f>'NUHM-Non Metro Abst'!N139</f>
        <v>0</v>
      </c>
      <c r="F139" s="692">
        <f>'NUHM-Non Metro Abst'!Q139</f>
        <v>0</v>
      </c>
      <c r="G139" s="692">
        <f>'NUHM Metro Abst'!N139</f>
        <v>5.76</v>
      </c>
      <c r="H139" s="692">
        <f>'NUHM Metro Abst'!Q139</f>
        <v>0</v>
      </c>
      <c r="I139" s="328">
        <f t="shared" si="4"/>
        <v>5.76</v>
      </c>
      <c r="J139" s="692">
        <f t="shared" si="5"/>
        <v>0</v>
      </c>
    </row>
    <row r="140" spans="1:10" x14ac:dyDescent="0.2">
      <c r="A140" s="103" t="s">
        <v>3221</v>
      </c>
      <c r="B140" s="103" t="s">
        <v>3037</v>
      </c>
      <c r="C140" s="103" t="s">
        <v>639</v>
      </c>
      <c r="D140" s="103" t="s">
        <v>5352</v>
      </c>
      <c r="E140" s="692">
        <f>'NUHM-Non Metro Abst'!N140</f>
        <v>0</v>
      </c>
      <c r="F140" s="692">
        <f>'NUHM-Non Metro Abst'!Q140</f>
        <v>0</v>
      </c>
      <c r="G140" s="692">
        <f>'NUHM Metro Abst'!N140</f>
        <v>2.2679999999999998</v>
      </c>
      <c r="H140" s="692">
        <f>'NUHM Metro Abst'!Q140</f>
        <v>0</v>
      </c>
      <c r="I140" s="328">
        <f t="shared" si="4"/>
        <v>2.2679999999999998</v>
      </c>
      <c r="J140" s="692">
        <f t="shared" si="5"/>
        <v>0</v>
      </c>
    </row>
    <row r="141" spans="1:10" x14ac:dyDescent="0.2">
      <c r="A141" s="103" t="s">
        <v>3222</v>
      </c>
      <c r="B141" s="103" t="s">
        <v>3038</v>
      </c>
      <c r="C141" s="103" t="s">
        <v>1310</v>
      </c>
      <c r="D141" s="103" t="s">
        <v>5352</v>
      </c>
      <c r="E141" s="692">
        <f>'NUHM-Non Metro Abst'!N141</f>
        <v>0</v>
      </c>
      <c r="F141" s="692">
        <f>'NUHM-Non Metro Abst'!Q141</f>
        <v>0</v>
      </c>
      <c r="G141" s="692">
        <f>'NUHM Metro Abst'!N141</f>
        <v>3.3</v>
      </c>
      <c r="H141" s="692">
        <f>'NUHM Metro Abst'!Q141</f>
        <v>0</v>
      </c>
      <c r="I141" s="328">
        <f t="shared" si="4"/>
        <v>3.3</v>
      </c>
      <c r="J141" s="692">
        <f t="shared" si="5"/>
        <v>0</v>
      </c>
    </row>
    <row r="142" spans="1:10" x14ac:dyDescent="0.2">
      <c r="A142" s="848" t="s">
        <v>3223</v>
      </c>
      <c r="B142" s="848" t="s">
        <v>3039</v>
      </c>
      <c r="C142" s="848" t="s">
        <v>3040</v>
      </c>
      <c r="D142" s="848"/>
      <c r="E142" s="849">
        <f>'NUHM-Non Metro Abst'!N142</f>
        <v>0</v>
      </c>
      <c r="F142" s="849">
        <f>'NUHM-Non Metro Abst'!Q142</f>
        <v>0</v>
      </c>
      <c r="G142" s="849">
        <f>'NUHM Metro Abst'!N142</f>
        <v>199.79999999999998</v>
      </c>
      <c r="H142" s="849">
        <f>'NUHM Metro Abst'!Q142</f>
        <v>0</v>
      </c>
      <c r="I142" s="233">
        <f t="shared" ref="I142:I205" si="6">E142+G142</f>
        <v>199.79999999999998</v>
      </c>
      <c r="J142" s="849">
        <f t="shared" ref="J142:J205" si="7">F142+H142</f>
        <v>0</v>
      </c>
    </row>
    <row r="143" spans="1:10" x14ac:dyDescent="0.2">
      <c r="A143" s="103" t="s">
        <v>3224</v>
      </c>
      <c r="B143" s="103" t="s">
        <v>3041</v>
      </c>
      <c r="C143" s="103" t="s">
        <v>3042</v>
      </c>
      <c r="D143" s="103" t="s">
        <v>5352</v>
      </c>
      <c r="E143" s="692">
        <f>'NUHM-Non Metro Abst'!N143</f>
        <v>0</v>
      </c>
      <c r="F143" s="692">
        <f>'NUHM-Non Metro Abst'!Q143</f>
        <v>0</v>
      </c>
      <c r="G143" s="692">
        <f>'NUHM Metro Abst'!N143</f>
        <v>56.7</v>
      </c>
      <c r="H143" s="692">
        <f>'NUHM Metro Abst'!Q143</f>
        <v>0</v>
      </c>
      <c r="I143" s="328">
        <f t="shared" si="6"/>
        <v>56.7</v>
      </c>
      <c r="J143" s="692">
        <f t="shared" si="7"/>
        <v>0</v>
      </c>
    </row>
    <row r="144" spans="1:10" x14ac:dyDescent="0.2">
      <c r="A144" s="103" t="s">
        <v>3225</v>
      </c>
      <c r="B144" s="103" t="s">
        <v>3043</v>
      </c>
      <c r="C144" s="103" t="s">
        <v>556</v>
      </c>
      <c r="D144" s="103" t="s">
        <v>5352</v>
      </c>
      <c r="E144" s="692">
        <f>'NUHM-Non Metro Abst'!N144</f>
        <v>0</v>
      </c>
      <c r="F144" s="692">
        <f>'NUHM-Non Metro Abst'!Q144</f>
        <v>0</v>
      </c>
      <c r="G144" s="692">
        <f>'NUHM Metro Abst'!N144</f>
        <v>51.300000000000004</v>
      </c>
      <c r="H144" s="692">
        <f>'NUHM Metro Abst'!Q144</f>
        <v>0</v>
      </c>
      <c r="I144" s="328">
        <f t="shared" si="6"/>
        <v>51.300000000000004</v>
      </c>
      <c r="J144" s="692">
        <f t="shared" si="7"/>
        <v>0</v>
      </c>
    </row>
    <row r="145" spans="1:10" x14ac:dyDescent="0.2">
      <c r="A145" s="103" t="s">
        <v>3226</v>
      </c>
      <c r="B145" s="103" t="s">
        <v>3044</v>
      </c>
      <c r="C145" s="103" t="s">
        <v>3045</v>
      </c>
      <c r="D145" s="103" t="s">
        <v>5352</v>
      </c>
      <c r="E145" s="692">
        <f>'NUHM-Non Metro Abst'!N145</f>
        <v>0</v>
      </c>
      <c r="F145" s="692">
        <f>'NUHM-Non Metro Abst'!Q145</f>
        <v>0</v>
      </c>
      <c r="G145" s="692">
        <f>'NUHM Metro Abst'!N145</f>
        <v>0</v>
      </c>
      <c r="H145" s="692">
        <f>'NUHM Metro Abst'!Q145</f>
        <v>0</v>
      </c>
      <c r="I145" s="328">
        <f t="shared" si="6"/>
        <v>0</v>
      </c>
      <c r="J145" s="692">
        <f t="shared" si="7"/>
        <v>0</v>
      </c>
    </row>
    <row r="146" spans="1:10" x14ac:dyDescent="0.2">
      <c r="A146" s="103" t="s">
        <v>3227</v>
      </c>
      <c r="B146" s="103" t="s">
        <v>3046</v>
      </c>
      <c r="C146" s="103" t="s">
        <v>3047</v>
      </c>
      <c r="D146" s="103" t="s">
        <v>5352</v>
      </c>
      <c r="E146" s="692">
        <f>'NUHM-Non Metro Abst'!N146</f>
        <v>0</v>
      </c>
      <c r="F146" s="692">
        <f>'NUHM-Non Metro Abst'!Q146</f>
        <v>0</v>
      </c>
      <c r="G146" s="692">
        <f>'NUHM Metro Abst'!N146</f>
        <v>43.2</v>
      </c>
      <c r="H146" s="692">
        <f>'NUHM Metro Abst'!Q146</f>
        <v>0</v>
      </c>
      <c r="I146" s="328">
        <f t="shared" si="6"/>
        <v>43.2</v>
      </c>
      <c r="J146" s="692">
        <f t="shared" si="7"/>
        <v>0</v>
      </c>
    </row>
    <row r="147" spans="1:10" x14ac:dyDescent="0.2">
      <c r="A147" s="103" t="s">
        <v>3228</v>
      </c>
      <c r="B147" s="103" t="s">
        <v>3048</v>
      </c>
      <c r="C147" s="103" t="s">
        <v>3049</v>
      </c>
      <c r="D147" s="103" t="s">
        <v>5352</v>
      </c>
      <c r="E147" s="692">
        <f>'NUHM-Non Metro Abst'!N147</f>
        <v>0</v>
      </c>
      <c r="F147" s="692">
        <f>'NUHM-Non Metro Abst'!Q147</f>
        <v>0</v>
      </c>
      <c r="G147" s="692">
        <f>'NUHM Metro Abst'!N147</f>
        <v>0</v>
      </c>
      <c r="H147" s="692">
        <f>'NUHM Metro Abst'!Q147</f>
        <v>0</v>
      </c>
      <c r="I147" s="328">
        <f t="shared" si="6"/>
        <v>0</v>
      </c>
      <c r="J147" s="692">
        <f t="shared" si="7"/>
        <v>0</v>
      </c>
    </row>
    <row r="148" spans="1:10" x14ac:dyDescent="0.2">
      <c r="A148" s="103" t="s">
        <v>3229</v>
      </c>
      <c r="B148" s="103" t="s">
        <v>3050</v>
      </c>
      <c r="C148" s="103" t="s">
        <v>3051</v>
      </c>
      <c r="D148" s="103" t="s">
        <v>5352</v>
      </c>
      <c r="E148" s="692">
        <f>'NUHM-Non Metro Abst'!N148</f>
        <v>0</v>
      </c>
      <c r="F148" s="692">
        <f>'NUHM-Non Metro Abst'!Q148</f>
        <v>0</v>
      </c>
      <c r="G148" s="692">
        <f>'NUHM Metro Abst'!N148</f>
        <v>0</v>
      </c>
      <c r="H148" s="692">
        <f>'NUHM Metro Abst'!Q148</f>
        <v>0</v>
      </c>
      <c r="I148" s="328">
        <f t="shared" si="6"/>
        <v>0</v>
      </c>
      <c r="J148" s="692">
        <f t="shared" si="7"/>
        <v>0</v>
      </c>
    </row>
    <row r="149" spans="1:10" x14ac:dyDescent="0.2">
      <c r="A149" s="103" t="s">
        <v>3230</v>
      </c>
      <c r="B149" s="103" t="s">
        <v>3052</v>
      </c>
      <c r="C149" s="103" t="s">
        <v>478</v>
      </c>
      <c r="D149" s="103" t="s">
        <v>5352</v>
      </c>
      <c r="E149" s="692">
        <f>'NUHM-Non Metro Abst'!N149</f>
        <v>0</v>
      </c>
      <c r="F149" s="692">
        <f>'NUHM-Non Metro Abst'!Q149</f>
        <v>0</v>
      </c>
      <c r="G149" s="692">
        <f>'NUHM Metro Abst'!N149</f>
        <v>48.6</v>
      </c>
      <c r="H149" s="692">
        <f>'NUHM Metro Abst'!Q149</f>
        <v>0</v>
      </c>
      <c r="I149" s="328">
        <f t="shared" si="6"/>
        <v>48.6</v>
      </c>
      <c r="J149" s="692">
        <f t="shared" si="7"/>
        <v>0</v>
      </c>
    </row>
    <row r="150" spans="1:10" x14ac:dyDescent="0.2">
      <c r="A150" s="848" t="s">
        <v>3231</v>
      </c>
      <c r="B150" s="848"/>
      <c r="C150" s="848" t="s">
        <v>505</v>
      </c>
      <c r="D150" s="848"/>
      <c r="E150" s="849">
        <f>'NUHM-Non Metro Abst'!N150</f>
        <v>0</v>
      </c>
      <c r="F150" s="849">
        <f>'NUHM-Non Metro Abst'!Q150</f>
        <v>0</v>
      </c>
      <c r="G150" s="849">
        <f>'NUHM Metro Abst'!N150</f>
        <v>16.32</v>
      </c>
      <c r="H150" s="849">
        <f>'NUHM Metro Abst'!Q150</f>
        <v>0</v>
      </c>
      <c r="I150" s="233">
        <f t="shared" si="6"/>
        <v>16.32</v>
      </c>
      <c r="J150" s="849">
        <f t="shared" si="7"/>
        <v>0</v>
      </c>
    </row>
    <row r="151" spans="1:10" x14ac:dyDescent="0.2">
      <c r="A151" s="103" t="s">
        <v>3232</v>
      </c>
      <c r="B151" s="103" t="s">
        <v>3052</v>
      </c>
      <c r="C151" s="103" t="s">
        <v>3053</v>
      </c>
      <c r="D151" s="103" t="s">
        <v>5352</v>
      </c>
      <c r="E151" s="692">
        <f>'NUHM-Non Metro Abst'!N151</f>
        <v>0</v>
      </c>
      <c r="F151" s="692">
        <f>'NUHM-Non Metro Abst'!Q151</f>
        <v>0</v>
      </c>
      <c r="G151" s="692">
        <f>'NUHM Metro Abst'!N151</f>
        <v>16.32</v>
      </c>
      <c r="H151" s="692">
        <f>'NUHM Metro Abst'!Q151</f>
        <v>0</v>
      </c>
      <c r="I151" s="328">
        <f t="shared" si="6"/>
        <v>16.32</v>
      </c>
      <c r="J151" s="692">
        <f t="shared" si="7"/>
        <v>0</v>
      </c>
    </row>
    <row r="152" spans="1:10" x14ac:dyDescent="0.2">
      <c r="A152" s="848" t="s">
        <v>3233</v>
      </c>
      <c r="B152" s="848"/>
      <c r="C152" s="848" t="s">
        <v>524</v>
      </c>
      <c r="D152" s="848"/>
      <c r="E152" s="849">
        <f>'NUHM-Non Metro Abst'!N152</f>
        <v>246</v>
      </c>
      <c r="F152" s="849">
        <f>'NUHM-Non Metro Abst'!Q152</f>
        <v>0</v>
      </c>
      <c r="G152" s="849">
        <f>'NUHM Metro Abst'!N152</f>
        <v>134.4</v>
      </c>
      <c r="H152" s="849">
        <f>'NUHM Metro Abst'!Q152</f>
        <v>0</v>
      </c>
      <c r="I152" s="233">
        <f t="shared" si="6"/>
        <v>380.4</v>
      </c>
      <c r="J152" s="849">
        <f t="shared" si="7"/>
        <v>0</v>
      </c>
    </row>
    <row r="153" spans="1:10" s="856" customFormat="1" x14ac:dyDescent="0.2">
      <c r="A153" s="863" t="s">
        <v>3234</v>
      </c>
      <c r="B153" s="869" t="s">
        <v>3054</v>
      </c>
      <c r="C153" s="869" t="s">
        <v>3055</v>
      </c>
      <c r="D153" s="869"/>
      <c r="E153" s="692">
        <f>'NUHM-Non Metro Abst'!N153</f>
        <v>178.79999999999998</v>
      </c>
      <c r="F153" s="692">
        <f>'NUHM-Non Metro Abst'!Q153</f>
        <v>0</v>
      </c>
      <c r="G153" s="692">
        <f>'NUHM Metro Abst'!N153</f>
        <v>106.8</v>
      </c>
      <c r="H153" s="692">
        <f>'NUHM Metro Abst'!Q153</f>
        <v>0</v>
      </c>
      <c r="I153" s="328">
        <f t="shared" si="6"/>
        <v>285.59999999999997</v>
      </c>
      <c r="J153" s="692">
        <f t="shared" si="7"/>
        <v>0</v>
      </c>
    </row>
    <row r="154" spans="1:10" x14ac:dyDescent="0.2">
      <c r="A154" s="103" t="s">
        <v>3235</v>
      </c>
      <c r="B154" s="103" t="s">
        <v>3056</v>
      </c>
      <c r="C154" s="103" t="s">
        <v>3057</v>
      </c>
      <c r="D154" s="103" t="s">
        <v>5352</v>
      </c>
      <c r="E154" s="692">
        <f>'NUHM-Non Metro Abst'!N154</f>
        <v>178.79999999999998</v>
      </c>
      <c r="F154" s="692">
        <f>'NUHM-Non Metro Abst'!Q154</f>
        <v>0</v>
      </c>
      <c r="G154" s="692">
        <f>'NUHM Metro Abst'!N154</f>
        <v>106.8</v>
      </c>
      <c r="H154" s="692">
        <f>'NUHM Metro Abst'!Q154</f>
        <v>0</v>
      </c>
      <c r="I154" s="328">
        <f t="shared" si="6"/>
        <v>285.59999999999997</v>
      </c>
      <c r="J154" s="692">
        <f t="shared" si="7"/>
        <v>0</v>
      </c>
    </row>
    <row r="155" spans="1:10" x14ac:dyDescent="0.2">
      <c r="A155" s="103" t="s">
        <v>3236</v>
      </c>
      <c r="B155" s="103" t="s">
        <v>3058</v>
      </c>
      <c r="C155" s="103" t="s">
        <v>3059</v>
      </c>
      <c r="D155" s="103" t="s">
        <v>5352</v>
      </c>
      <c r="E155" s="692">
        <f>'NUHM-Non Metro Abst'!N155</f>
        <v>0</v>
      </c>
      <c r="F155" s="692">
        <f>'NUHM-Non Metro Abst'!Q155</f>
        <v>0</v>
      </c>
      <c r="G155" s="692">
        <f>'NUHM Metro Abst'!N155</f>
        <v>0</v>
      </c>
      <c r="H155" s="692">
        <f>'NUHM Metro Abst'!Q155</f>
        <v>0</v>
      </c>
      <c r="I155" s="328">
        <f t="shared" si="6"/>
        <v>0</v>
      </c>
      <c r="J155" s="692">
        <f t="shared" si="7"/>
        <v>0</v>
      </c>
    </row>
    <row r="156" spans="1:10" s="856" customFormat="1" x14ac:dyDescent="0.2">
      <c r="A156" s="863" t="s">
        <v>3237</v>
      </c>
      <c r="B156" s="869" t="s">
        <v>3060</v>
      </c>
      <c r="C156" s="869" t="s">
        <v>3061</v>
      </c>
      <c r="D156" s="869"/>
      <c r="E156" s="692">
        <f>'NUHM-Non Metro Abst'!N156</f>
        <v>0</v>
      </c>
      <c r="F156" s="692">
        <f>'NUHM-Non Metro Abst'!Q156</f>
        <v>0</v>
      </c>
      <c r="G156" s="692">
        <f>'NUHM Metro Abst'!N156</f>
        <v>0</v>
      </c>
      <c r="H156" s="692">
        <f>'NUHM Metro Abst'!Q156</f>
        <v>0</v>
      </c>
      <c r="I156" s="328">
        <f t="shared" si="6"/>
        <v>0</v>
      </c>
      <c r="J156" s="692">
        <f t="shared" si="7"/>
        <v>0</v>
      </c>
    </row>
    <row r="157" spans="1:10" x14ac:dyDescent="0.2">
      <c r="A157" s="103" t="s">
        <v>3238</v>
      </c>
      <c r="B157" s="103" t="s">
        <v>3062</v>
      </c>
      <c r="C157" s="103" t="s">
        <v>3057</v>
      </c>
      <c r="D157" s="103" t="s">
        <v>5352</v>
      </c>
      <c r="E157" s="692">
        <f>'NUHM-Non Metro Abst'!N157</f>
        <v>0</v>
      </c>
      <c r="F157" s="692">
        <f>'NUHM-Non Metro Abst'!Q157</f>
        <v>0</v>
      </c>
      <c r="G157" s="692">
        <f>'NUHM Metro Abst'!N157</f>
        <v>0</v>
      </c>
      <c r="H157" s="692">
        <f>'NUHM Metro Abst'!Q157</f>
        <v>0</v>
      </c>
      <c r="I157" s="328">
        <f t="shared" si="6"/>
        <v>0</v>
      </c>
      <c r="J157" s="692">
        <f t="shared" si="7"/>
        <v>0</v>
      </c>
    </row>
    <row r="158" spans="1:10" x14ac:dyDescent="0.2">
      <c r="A158" s="103" t="s">
        <v>3239</v>
      </c>
      <c r="B158" s="103" t="s">
        <v>3063</v>
      </c>
      <c r="C158" s="103" t="s">
        <v>3059</v>
      </c>
      <c r="D158" s="103" t="s">
        <v>5352</v>
      </c>
      <c r="E158" s="692">
        <f>'NUHM-Non Metro Abst'!N158</f>
        <v>0</v>
      </c>
      <c r="F158" s="692">
        <f>'NUHM-Non Metro Abst'!Q158</f>
        <v>0</v>
      </c>
      <c r="G158" s="692">
        <f>'NUHM Metro Abst'!N158</f>
        <v>0</v>
      </c>
      <c r="H158" s="692">
        <f>'NUHM Metro Abst'!Q158</f>
        <v>0</v>
      </c>
      <c r="I158" s="328">
        <f t="shared" si="6"/>
        <v>0</v>
      </c>
      <c r="J158" s="692">
        <f t="shared" si="7"/>
        <v>0</v>
      </c>
    </row>
    <row r="159" spans="1:10" s="856" customFormat="1" x14ac:dyDescent="0.2">
      <c r="A159" s="863" t="s">
        <v>3240</v>
      </c>
      <c r="B159" s="869" t="s">
        <v>3064</v>
      </c>
      <c r="C159" s="869" t="s">
        <v>3065</v>
      </c>
      <c r="D159" s="869"/>
      <c r="E159" s="692">
        <f>'NUHM-Non Metro Abst'!N159</f>
        <v>67.2</v>
      </c>
      <c r="F159" s="692">
        <f>'NUHM-Non Metro Abst'!Q159</f>
        <v>0</v>
      </c>
      <c r="G159" s="692">
        <f>'NUHM Metro Abst'!N159</f>
        <v>27.599999999999998</v>
      </c>
      <c r="H159" s="692">
        <f>'NUHM Metro Abst'!Q159</f>
        <v>0</v>
      </c>
      <c r="I159" s="328">
        <f t="shared" si="6"/>
        <v>94.8</v>
      </c>
      <c r="J159" s="692">
        <f t="shared" si="7"/>
        <v>0</v>
      </c>
    </row>
    <row r="160" spans="1:10" x14ac:dyDescent="0.2">
      <c r="A160" s="103" t="s">
        <v>3241</v>
      </c>
      <c r="B160" s="103" t="s">
        <v>3066</v>
      </c>
      <c r="C160" s="103" t="s">
        <v>3057</v>
      </c>
      <c r="D160" s="103" t="s">
        <v>5352</v>
      </c>
      <c r="E160" s="692">
        <f>'NUHM-Non Metro Abst'!N160</f>
        <v>67.2</v>
      </c>
      <c r="F160" s="692">
        <f>'NUHM-Non Metro Abst'!Q160</f>
        <v>0</v>
      </c>
      <c r="G160" s="692">
        <f>'NUHM Metro Abst'!N160</f>
        <v>27.599999999999998</v>
      </c>
      <c r="H160" s="692">
        <f>'NUHM Metro Abst'!Q160</f>
        <v>0</v>
      </c>
      <c r="I160" s="328">
        <f t="shared" si="6"/>
        <v>94.8</v>
      </c>
      <c r="J160" s="692">
        <f t="shared" si="7"/>
        <v>0</v>
      </c>
    </row>
    <row r="161" spans="1:10" x14ac:dyDescent="0.2">
      <c r="A161" s="103" t="s">
        <v>3242</v>
      </c>
      <c r="B161" s="103" t="s">
        <v>3066</v>
      </c>
      <c r="C161" s="103" t="s">
        <v>3059</v>
      </c>
      <c r="D161" s="103" t="s">
        <v>5352</v>
      </c>
      <c r="E161" s="692">
        <f>'NUHM-Non Metro Abst'!N161</f>
        <v>0</v>
      </c>
      <c r="F161" s="692">
        <f>'NUHM-Non Metro Abst'!Q161</f>
        <v>0</v>
      </c>
      <c r="G161" s="692">
        <f>'NUHM Metro Abst'!N161</f>
        <v>0</v>
      </c>
      <c r="H161" s="692">
        <f>'NUHM Metro Abst'!Q161</f>
        <v>0</v>
      </c>
      <c r="I161" s="328">
        <f t="shared" si="6"/>
        <v>0</v>
      </c>
      <c r="J161" s="692">
        <f t="shared" si="7"/>
        <v>0</v>
      </c>
    </row>
    <row r="162" spans="1:10" x14ac:dyDescent="0.2">
      <c r="A162" s="848" t="s">
        <v>3243</v>
      </c>
      <c r="B162" s="848"/>
      <c r="C162" s="848" t="s">
        <v>673</v>
      </c>
      <c r="D162" s="848"/>
      <c r="E162" s="849">
        <f>'NUHM-Non Metro Abst'!N162</f>
        <v>7.5</v>
      </c>
      <c r="F162" s="849">
        <f>'NUHM-Non Metro Abst'!Q162</f>
        <v>0</v>
      </c>
      <c r="G162" s="849">
        <f>'NUHM Metro Abst'!N162</f>
        <v>8.4</v>
      </c>
      <c r="H162" s="849">
        <f>'NUHM Metro Abst'!Q162</f>
        <v>0</v>
      </c>
      <c r="I162" s="233">
        <f t="shared" si="6"/>
        <v>15.9</v>
      </c>
      <c r="J162" s="849">
        <f t="shared" si="7"/>
        <v>0</v>
      </c>
    </row>
    <row r="163" spans="1:10" s="856" customFormat="1" x14ac:dyDescent="0.2">
      <c r="A163" s="863" t="s">
        <v>3244</v>
      </c>
      <c r="B163" s="869" t="s">
        <v>3067</v>
      </c>
      <c r="C163" s="869" t="s">
        <v>3068</v>
      </c>
      <c r="D163" s="869"/>
      <c r="E163" s="692">
        <f>'NUHM-Non Metro Abst'!N163</f>
        <v>7.5</v>
      </c>
      <c r="F163" s="692">
        <f>'NUHM-Non Metro Abst'!Q163</f>
        <v>0</v>
      </c>
      <c r="G163" s="692">
        <f>'NUHM Metro Abst'!N163</f>
        <v>8.4</v>
      </c>
      <c r="H163" s="692">
        <f>'NUHM Metro Abst'!Q163</f>
        <v>0</v>
      </c>
      <c r="I163" s="328">
        <f t="shared" si="6"/>
        <v>15.9</v>
      </c>
      <c r="J163" s="692">
        <f t="shared" si="7"/>
        <v>0</v>
      </c>
    </row>
    <row r="164" spans="1:10" x14ac:dyDescent="0.2">
      <c r="A164" s="103" t="s">
        <v>3245</v>
      </c>
      <c r="B164" s="103" t="s">
        <v>3069</v>
      </c>
      <c r="C164" s="103" t="s">
        <v>2992</v>
      </c>
      <c r="D164" s="103" t="s">
        <v>5352</v>
      </c>
      <c r="E164" s="692">
        <f>'NUHM-Non Metro Abst'!N164</f>
        <v>7.5</v>
      </c>
      <c r="F164" s="692">
        <f>'NUHM-Non Metro Abst'!Q164</f>
        <v>0</v>
      </c>
      <c r="G164" s="692">
        <f>'NUHM Metro Abst'!N164</f>
        <v>0</v>
      </c>
      <c r="H164" s="692">
        <f>'NUHM Metro Abst'!Q164</f>
        <v>0</v>
      </c>
      <c r="I164" s="328">
        <f t="shared" si="6"/>
        <v>7.5</v>
      </c>
      <c r="J164" s="692">
        <f t="shared" si="7"/>
        <v>0</v>
      </c>
    </row>
    <row r="165" spans="1:10" x14ac:dyDescent="0.2">
      <c r="A165" s="103" t="s">
        <v>3246</v>
      </c>
      <c r="B165" s="103" t="s">
        <v>3037</v>
      </c>
      <c r="C165" s="103" t="s">
        <v>2994</v>
      </c>
      <c r="D165" s="103" t="s">
        <v>5352</v>
      </c>
      <c r="E165" s="692">
        <f>'NUHM-Non Metro Abst'!N165</f>
        <v>0</v>
      </c>
      <c r="F165" s="692">
        <f>'NUHM-Non Metro Abst'!Q165</f>
        <v>0</v>
      </c>
      <c r="G165" s="692">
        <f>'NUHM Metro Abst'!N165</f>
        <v>8.4</v>
      </c>
      <c r="H165" s="692">
        <f>'NUHM Metro Abst'!Q165</f>
        <v>0</v>
      </c>
      <c r="I165" s="328">
        <f t="shared" si="6"/>
        <v>8.4</v>
      </c>
      <c r="J165" s="692">
        <f t="shared" si="7"/>
        <v>0</v>
      </c>
    </row>
    <row r="166" spans="1:10" x14ac:dyDescent="0.2">
      <c r="A166" s="848" t="s">
        <v>3247</v>
      </c>
      <c r="B166" s="848"/>
      <c r="C166" s="848" t="s">
        <v>2436</v>
      </c>
      <c r="D166" s="848"/>
      <c r="E166" s="849">
        <f>'NUHM-Non Metro Abst'!N166</f>
        <v>97.41</v>
      </c>
      <c r="F166" s="849">
        <f>'NUHM-Non Metro Abst'!Q166</f>
        <v>0</v>
      </c>
      <c r="G166" s="849">
        <f>'NUHM Metro Abst'!N166</f>
        <v>97.288619999999995</v>
      </c>
      <c r="H166" s="849">
        <f>'NUHM Metro Abst'!Q166</f>
        <v>0</v>
      </c>
      <c r="I166" s="233">
        <f t="shared" si="6"/>
        <v>194.69862000000001</v>
      </c>
      <c r="J166" s="849">
        <f t="shared" si="7"/>
        <v>0</v>
      </c>
    </row>
    <row r="167" spans="1:10" x14ac:dyDescent="0.2">
      <c r="A167" s="103" t="s">
        <v>3248</v>
      </c>
      <c r="B167" s="103" t="s">
        <v>3070</v>
      </c>
      <c r="C167" s="103" t="s">
        <v>3071</v>
      </c>
      <c r="D167" s="103" t="s">
        <v>5352</v>
      </c>
      <c r="E167" s="692">
        <f>'NUHM-Non Metro Abst'!N167</f>
        <v>97.41</v>
      </c>
      <c r="F167" s="692">
        <f>'NUHM-Non Metro Abst'!Q167</f>
        <v>0</v>
      </c>
      <c r="G167" s="692">
        <f>'NUHM Metro Abst'!N167</f>
        <v>97.288619999999995</v>
      </c>
      <c r="H167" s="692">
        <f>'NUHM Metro Abst'!Q167</f>
        <v>0</v>
      </c>
      <c r="I167" s="328">
        <f t="shared" si="6"/>
        <v>194.69862000000001</v>
      </c>
      <c r="J167" s="692">
        <f t="shared" si="7"/>
        <v>0</v>
      </c>
    </row>
    <row r="168" spans="1:10" x14ac:dyDescent="0.2">
      <c r="A168" s="103" t="s">
        <v>3249</v>
      </c>
      <c r="B168" s="103" t="s">
        <v>3072</v>
      </c>
      <c r="C168" s="103" t="s">
        <v>3073</v>
      </c>
      <c r="D168" s="103" t="s">
        <v>5352</v>
      </c>
      <c r="E168" s="692">
        <f>'NUHM-Non Metro Abst'!N168</f>
        <v>0</v>
      </c>
      <c r="F168" s="692">
        <f>'NUHM-Non Metro Abst'!Q168</f>
        <v>0</v>
      </c>
      <c r="G168" s="692">
        <f>'NUHM Metro Abst'!N168</f>
        <v>0</v>
      </c>
      <c r="H168" s="692">
        <f>'NUHM Metro Abst'!Q168</f>
        <v>0</v>
      </c>
      <c r="I168" s="328">
        <f t="shared" si="6"/>
        <v>0</v>
      </c>
      <c r="J168" s="692">
        <f t="shared" si="7"/>
        <v>0</v>
      </c>
    </row>
    <row r="169" spans="1:10" x14ac:dyDescent="0.2">
      <c r="A169" s="840" t="s">
        <v>3250</v>
      </c>
      <c r="B169" s="840"/>
      <c r="C169" s="840" t="s">
        <v>716</v>
      </c>
      <c r="D169" s="103" t="s">
        <v>5352</v>
      </c>
      <c r="E169" s="841">
        <f>'NUHM-Non Metro Abst'!N169</f>
        <v>0</v>
      </c>
      <c r="F169" s="841">
        <f>'NUHM-Non Metro Abst'!Q169</f>
        <v>0</v>
      </c>
      <c r="G169" s="841">
        <f>'NUHM Metro Abst'!N169</f>
        <v>0</v>
      </c>
      <c r="H169" s="841">
        <f>'NUHM Metro Abst'!Q169</f>
        <v>0</v>
      </c>
      <c r="I169" s="225">
        <f t="shared" si="6"/>
        <v>0</v>
      </c>
      <c r="J169" s="841">
        <f t="shared" si="7"/>
        <v>0</v>
      </c>
    </row>
    <row r="170" spans="1:10" ht="30" x14ac:dyDescent="0.2">
      <c r="A170" s="840" t="s">
        <v>3251</v>
      </c>
      <c r="B170" s="840"/>
      <c r="C170" s="840" t="s">
        <v>718</v>
      </c>
      <c r="D170" s="103" t="s">
        <v>5352</v>
      </c>
      <c r="E170" s="841">
        <f>'NUHM-Non Metro Abst'!N170</f>
        <v>0</v>
      </c>
      <c r="F170" s="841">
        <f>'NUHM-Non Metro Abst'!Q170</f>
        <v>0</v>
      </c>
      <c r="G170" s="841">
        <f>'NUHM Metro Abst'!N170</f>
        <v>0</v>
      </c>
      <c r="H170" s="841">
        <f>'NUHM Metro Abst'!Q170</f>
        <v>0</v>
      </c>
      <c r="I170" s="225">
        <f t="shared" si="6"/>
        <v>0</v>
      </c>
      <c r="J170" s="841">
        <f t="shared" si="7"/>
        <v>0</v>
      </c>
    </row>
    <row r="171" spans="1:10" x14ac:dyDescent="0.2">
      <c r="A171" s="840" t="s">
        <v>3252</v>
      </c>
      <c r="B171" s="840"/>
      <c r="C171" s="840" t="s">
        <v>3074</v>
      </c>
      <c r="D171" s="840"/>
      <c r="E171" s="841">
        <f>'NUHM-Non Metro Abst'!N171</f>
        <v>0</v>
      </c>
      <c r="F171" s="841">
        <f>'NUHM-Non Metro Abst'!Q171</f>
        <v>0</v>
      </c>
      <c r="G171" s="841">
        <f>'NUHM Metro Abst'!N171</f>
        <v>0</v>
      </c>
      <c r="H171" s="841">
        <f>'NUHM Metro Abst'!Q171</f>
        <v>0</v>
      </c>
      <c r="I171" s="225">
        <f t="shared" si="6"/>
        <v>0</v>
      </c>
      <c r="J171" s="841">
        <f t="shared" si="7"/>
        <v>0</v>
      </c>
    </row>
    <row r="172" spans="1:10" ht="45" x14ac:dyDescent="0.2">
      <c r="A172" s="103" t="s">
        <v>3253</v>
      </c>
      <c r="B172" s="174"/>
      <c r="C172" s="842" t="s">
        <v>5325</v>
      </c>
      <c r="D172" s="842" t="s">
        <v>5349</v>
      </c>
      <c r="E172" s="692">
        <f>'NUHM-Non Metro Abst'!N172</f>
        <v>0</v>
      </c>
      <c r="F172" s="692">
        <f>'NUHM-Non Metro Abst'!Q172</f>
        <v>0</v>
      </c>
      <c r="G172" s="692">
        <f>'NUHM Metro Abst'!N172</f>
        <v>0</v>
      </c>
      <c r="H172" s="692">
        <f>'NUHM Metro Abst'!Q172</f>
        <v>0</v>
      </c>
      <c r="I172" s="328">
        <f t="shared" si="6"/>
        <v>0</v>
      </c>
      <c r="J172" s="692">
        <f t="shared" si="7"/>
        <v>0</v>
      </c>
    </row>
    <row r="173" spans="1:10" x14ac:dyDescent="0.2">
      <c r="A173" s="103" t="s">
        <v>3937</v>
      </c>
      <c r="B173" s="174"/>
      <c r="C173" s="842" t="s">
        <v>606</v>
      </c>
      <c r="D173" s="842" t="s">
        <v>3303</v>
      </c>
      <c r="E173" s="692">
        <f>'NUHM-Non Metro Abst'!N173</f>
        <v>0</v>
      </c>
      <c r="F173" s="692">
        <f>'NUHM-Non Metro Abst'!Q173</f>
        <v>662.58925999999997</v>
      </c>
      <c r="G173" s="692">
        <f>'NUHM Metro Abst'!N173</f>
        <v>0</v>
      </c>
      <c r="H173" s="692">
        <f>'NUHM Metro Abst'!Q173</f>
        <v>0</v>
      </c>
      <c r="I173" s="328">
        <f t="shared" si="6"/>
        <v>0</v>
      </c>
      <c r="J173" s="692">
        <f t="shared" si="7"/>
        <v>662.58925999999997</v>
      </c>
    </row>
    <row r="174" spans="1:10" x14ac:dyDescent="0.2">
      <c r="A174" s="184" t="s">
        <v>3254</v>
      </c>
      <c r="B174" s="184"/>
      <c r="C174" s="184" t="s">
        <v>52</v>
      </c>
      <c r="D174" s="184"/>
      <c r="E174" s="838">
        <f>'NUHM-Non Metro Abst'!N174</f>
        <v>0</v>
      </c>
      <c r="F174" s="838">
        <f>'NUHM-Non Metro Abst'!Q174</f>
        <v>0</v>
      </c>
      <c r="G174" s="838">
        <f>'NUHM Metro Abst'!N174</f>
        <v>0</v>
      </c>
      <c r="H174" s="838">
        <f>'NUHM Metro Abst'!Q174</f>
        <v>0</v>
      </c>
      <c r="I174" s="224">
        <f t="shared" si="6"/>
        <v>0</v>
      </c>
      <c r="J174" s="838">
        <f t="shared" si="7"/>
        <v>0</v>
      </c>
    </row>
    <row r="175" spans="1:10" ht="30" x14ac:dyDescent="0.2">
      <c r="A175" s="840" t="s">
        <v>3255</v>
      </c>
      <c r="B175" s="840"/>
      <c r="C175" s="840" t="s">
        <v>22</v>
      </c>
      <c r="D175" s="840"/>
      <c r="E175" s="841">
        <f>'NUHM-Non Metro Abst'!N175</f>
        <v>0</v>
      </c>
      <c r="F175" s="841">
        <f>'NUHM-Non Metro Abst'!Q175</f>
        <v>0</v>
      </c>
      <c r="G175" s="841">
        <f>'NUHM Metro Abst'!N175</f>
        <v>0</v>
      </c>
      <c r="H175" s="841">
        <f>'NUHM Metro Abst'!Q175</f>
        <v>0</v>
      </c>
      <c r="I175" s="225">
        <f t="shared" si="6"/>
        <v>0</v>
      </c>
      <c r="J175" s="841">
        <f t="shared" si="7"/>
        <v>0</v>
      </c>
    </row>
    <row r="176" spans="1:10" x14ac:dyDescent="0.2">
      <c r="A176" s="103" t="s">
        <v>3256</v>
      </c>
      <c r="B176" s="174" t="s">
        <v>3075</v>
      </c>
      <c r="C176" s="870" t="s">
        <v>3076</v>
      </c>
      <c r="D176" s="870" t="s">
        <v>5348</v>
      </c>
      <c r="E176" s="692">
        <f>'NUHM-Non Metro Abst'!N176</f>
        <v>0</v>
      </c>
      <c r="F176" s="692">
        <f>'NUHM-Non Metro Abst'!Q176</f>
        <v>0</v>
      </c>
      <c r="G176" s="692">
        <f>'NUHM Metro Abst'!N176</f>
        <v>0</v>
      </c>
      <c r="H176" s="692">
        <f>'NUHM Metro Abst'!Q176</f>
        <v>0</v>
      </c>
      <c r="I176" s="328">
        <f t="shared" si="6"/>
        <v>0</v>
      </c>
      <c r="J176" s="692">
        <f t="shared" si="7"/>
        <v>0</v>
      </c>
    </row>
    <row r="177" spans="1:10" x14ac:dyDescent="0.2">
      <c r="A177" s="103" t="s">
        <v>3257</v>
      </c>
      <c r="B177" s="174"/>
      <c r="C177" s="870" t="s">
        <v>2977</v>
      </c>
      <c r="D177" s="870" t="s">
        <v>5348</v>
      </c>
      <c r="E177" s="692">
        <f>'NUHM-Non Metro Abst'!N177</f>
        <v>0</v>
      </c>
      <c r="F177" s="692">
        <f>'NUHM-Non Metro Abst'!Q177</f>
        <v>0</v>
      </c>
      <c r="G177" s="692">
        <f>'NUHM Metro Abst'!N177</f>
        <v>0</v>
      </c>
      <c r="H177" s="692">
        <f>'NUHM Metro Abst'!Q177</f>
        <v>0</v>
      </c>
      <c r="I177" s="328">
        <f t="shared" si="6"/>
        <v>0</v>
      </c>
      <c r="J177" s="692">
        <f t="shared" si="7"/>
        <v>0</v>
      </c>
    </row>
    <row r="178" spans="1:10" x14ac:dyDescent="0.2">
      <c r="A178" s="840" t="s">
        <v>3258</v>
      </c>
      <c r="B178" s="840" t="s">
        <v>3259</v>
      </c>
      <c r="C178" s="840" t="s">
        <v>5317</v>
      </c>
      <c r="D178" s="840"/>
      <c r="E178" s="841">
        <f>'NUHM-Non Metro Abst'!N178</f>
        <v>0</v>
      </c>
      <c r="F178" s="841">
        <f>'NUHM-Non Metro Abst'!Q178</f>
        <v>0</v>
      </c>
      <c r="G178" s="841">
        <f>'NUHM Metro Abst'!N178</f>
        <v>0</v>
      </c>
      <c r="H178" s="841">
        <f>'NUHM Metro Abst'!Q178</f>
        <v>0</v>
      </c>
      <c r="I178" s="225">
        <f t="shared" si="6"/>
        <v>0</v>
      </c>
      <c r="J178" s="841">
        <f t="shared" si="7"/>
        <v>0</v>
      </c>
    </row>
    <row r="179" spans="1:10" ht="30" x14ac:dyDescent="0.2">
      <c r="A179" s="103" t="s">
        <v>5329</v>
      </c>
      <c r="B179" s="103" t="s">
        <v>5318</v>
      </c>
      <c r="C179" s="103" t="s">
        <v>3077</v>
      </c>
      <c r="D179" s="870" t="s">
        <v>5348</v>
      </c>
      <c r="E179" s="692">
        <f>'NUHM-Non Metro Abst'!N179</f>
        <v>0</v>
      </c>
      <c r="F179" s="692">
        <f>'NUHM-Non Metro Abst'!Q179</f>
        <v>0</v>
      </c>
      <c r="G179" s="692">
        <f>'NUHM Metro Abst'!N179</f>
        <v>0</v>
      </c>
      <c r="H179" s="692">
        <f>'NUHM Metro Abst'!Q179</f>
        <v>0</v>
      </c>
      <c r="I179" s="328">
        <f t="shared" si="6"/>
        <v>0</v>
      </c>
      <c r="J179" s="692">
        <f t="shared" si="7"/>
        <v>0</v>
      </c>
    </row>
    <row r="180" spans="1:10" x14ac:dyDescent="0.2">
      <c r="A180" s="103" t="s">
        <v>5330</v>
      </c>
      <c r="B180" s="103" t="s">
        <v>5319</v>
      </c>
      <c r="C180" s="103" t="s">
        <v>3078</v>
      </c>
      <c r="D180" s="870" t="s">
        <v>5348</v>
      </c>
      <c r="E180" s="692">
        <f>'NUHM-Non Metro Abst'!N180</f>
        <v>0</v>
      </c>
      <c r="F180" s="692">
        <f>'NUHM-Non Metro Abst'!Q180</f>
        <v>0</v>
      </c>
      <c r="G180" s="692">
        <f>'NUHM Metro Abst'!N180</f>
        <v>0</v>
      </c>
      <c r="H180" s="692">
        <f>'NUHM Metro Abst'!Q180</f>
        <v>0</v>
      </c>
      <c r="I180" s="328">
        <f t="shared" si="6"/>
        <v>0</v>
      </c>
      <c r="J180" s="692">
        <f t="shared" si="7"/>
        <v>0</v>
      </c>
    </row>
    <row r="181" spans="1:10" x14ac:dyDescent="0.2">
      <c r="A181" s="103" t="s">
        <v>5331</v>
      </c>
      <c r="B181" s="103" t="s">
        <v>5320</v>
      </c>
      <c r="C181" s="103" t="s">
        <v>3079</v>
      </c>
      <c r="D181" s="870" t="s">
        <v>5348</v>
      </c>
      <c r="E181" s="692">
        <f>'NUHM-Non Metro Abst'!N181</f>
        <v>0</v>
      </c>
      <c r="F181" s="692">
        <f>'NUHM-Non Metro Abst'!Q181</f>
        <v>0</v>
      </c>
      <c r="G181" s="692">
        <f>'NUHM Metro Abst'!N181</f>
        <v>0</v>
      </c>
      <c r="H181" s="692">
        <f>'NUHM Metro Abst'!Q181</f>
        <v>0</v>
      </c>
      <c r="I181" s="328">
        <f t="shared" si="6"/>
        <v>0</v>
      </c>
      <c r="J181" s="692">
        <f t="shared" si="7"/>
        <v>0</v>
      </c>
    </row>
    <row r="182" spans="1:10" x14ac:dyDescent="0.2">
      <c r="A182" s="103" t="s">
        <v>5332</v>
      </c>
      <c r="B182" s="103" t="s">
        <v>5321</v>
      </c>
      <c r="C182" s="103" t="s">
        <v>3080</v>
      </c>
      <c r="D182" s="870" t="s">
        <v>5348</v>
      </c>
      <c r="E182" s="692">
        <f>'NUHM-Non Metro Abst'!N182</f>
        <v>0</v>
      </c>
      <c r="F182" s="692">
        <f>'NUHM-Non Metro Abst'!Q182</f>
        <v>0</v>
      </c>
      <c r="G182" s="692">
        <f>'NUHM Metro Abst'!N182</f>
        <v>0</v>
      </c>
      <c r="H182" s="692">
        <f>'NUHM Metro Abst'!Q182</f>
        <v>0</v>
      </c>
      <c r="I182" s="328">
        <f t="shared" si="6"/>
        <v>0</v>
      </c>
      <c r="J182" s="692">
        <f t="shared" si="7"/>
        <v>0</v>
      </c>
    </row>
    <row r="183" spans="1:10" ht="30" x14ac:dyDescent="0.2">
      <c r="A183" s="103" t="s">
        <v>5333</v>
      </c>
      <c r="B183" s="103" t="s">
        <v>5322</v>
      </c>
      <c r="C183" s="103" t="s">
        <v>5324</v>
      </c>
      <c r="D183" s="870" t="s">
        <v>5348</v>
      </c>
      <c r="E183" s="692">
        <f>'NUHM-Non Metro Abst'!N183</f>
        <v>0</v>
      </c>
      <c r="F183" s="692">
        <f>'NUHM-Non Metro Abst'!Q183</f>
        <v>0</v>
      </c>
      <c r="G183" s="692">
        <f>'NUHM Metro Abst'!N183</f>
        <v>0</v>
      </c>
      <c r="H183" s="692">
        <f>'NUHM Metro Abst'!Q183</f>
        <v>0</v>
      </c>
      <c r="I183" s="328">
        <f t="shared" si="6"/>
        <v>0</v>
      </c>
      <c r="J183" s="692">
        <f t="shared" si="7"/>
        <v>0</v>
      </c>
    </row>
    <row r="184" spans="1:10" x14ac:dyDescent="0.2">
      <c r="A184" s="103" t="s">
        <v>5334</v>
      </c>
      <c r="B184" s="103" t="s">
        <v>5323</v>
      </c>
      <c r="C184" s="103" t="s">
        <v>3082</v>
      </c>
      <c r="D184" s="870" t="s">
        <v>5353</v>
      </c>
      <c r="E184" s="692">
        <f>'NUHM-Non Metro Abst'!N184</f>
        <v>0</v>
      </c>
      <c r="F184" s="692">
        <f>'NUHM-Non Metro Abst'!Q184</f>
        <v>0</v>
      </c>
      <c r="G184" s="692">
        <f>'NUHM Metro Abst'!N184</f>
        <v>0</v>
      </c>
      <c r="H184" s="692">
        <f>'NUHM Metro Abst'!Q184</f>
        <v>0</v>
      </c>
      <c r="I184" s="328">
        <f t="shared" si="6"/>
        <v>0</v>
      </c>
      <c r="J184" s="692">
        <f t="shared" si="7"/>
        <v>0</v>
      </c>
    </row>
    <row r="185" spans="1:10" ht="30" x14ac:dyDescent="0.2">
      <c r="A185" s="103" t="s">
        <v>5335</v>
      </c>
      <c r="B185" s="103" t="s">
        <v>3260</v>
      </c>
      <c r="C185" s="103" t="s">
        <v>3928</v>
      </c>
      <c r="D185" s="103"/>
      <c r="E185" s="692">
        <f>'NUHM-Non Metro Abst'!N185</f>
        <v>0</v>
      </c>
      <c r="F185" s="692">
        <f>'NUHM-Non Metro Abst'!Q185</f>
        <v>0</v>
      </c>
      <c r="G185" s="692">
        <f>'NUHM Metro Abst'!N185</f>
        <v>0</v>
      </c>
      <c r="H185" s="692">
        <f>'NUHM Metro Abst'!Q185</f>
        <v>0</v>
      </c>
      <c r="I185" s="328">
        <f t="shared" si="6"/>
        <v>0</v>
      </c>
      <c r="J185" s="692">
        <f t="shared" si="7"/>
        <v>0</v>
      </c>
    </row>
    <row r="186" spans="1:10" x14ac:dyDescent="0.2">
      <c r="A186" s="103" t="s">
        <v>5336</v>
      </c>
      <c r="B186" s="103" t="s">
        <v>4597</v>
      </c>
      <c r="C186" s="103" t="s">
        <v>3927</v>
      </c>
      <c r="D186" s="103" t="s">
        <v>5349</v>
      </c>
      <c r="E186" s="692">
        <f>'NUHM-Non Metro Abst'!N186</f>
        <v>0</v>
      </c>
      <c r="F186" s="692">
        <f>'NUHM-Non Metro Abst'!Q186</f>
        <v>0</v>
      </c>
      <c r="G186" s="692">
        <f>'NUHM Metro Abst'!N186</f>
        <v>0</v>
      </c>
      <c r="H186" s="692">
        <f>'NUHM Metro Abst'!Q186</f>
        <v>0</v>
      </c>
      <c r="I186" s="328">
        <f t="shared" si="6"/>
        <v>0</v>
      </c>
      <c r="J186" s="692">
        <f t="shared" si="7"/>
        <v>0</v>
      </c>
    </row>
    <row r="187" spans="1:10" x14ac:dyDescent="0.2">
      <c r="A187" s="103" t="s">
        <v>5337</v>
      </c>
      <c r="B187" s="103" t="s">
        <v>4598</v>
      </c>
      <c r="C187" s="103" t="s">
        <v>4407</v>
      </c>
      <c r="D187" s="103" t="s">
        <v>5349</v>
      </c>
      <c r="E187" s="692">
        <f>'NUHM-Non Metro Abst'!N187</f>
        <v>0</v>
      </c>
      <c r="F187" s="692">
        <f>'NUHM-Non Metro Abst'!Q187</f>
        <v>0</v>
      </c>
      <c r="G187" s="692">
        <f>'NUHM Metro Abst'!N187</f>
        <v>0</v>
      </c>
      <c r="H187" s="692">
        <f>'NUHM Metro Abst'!Q187</f>
        <v>0</v>
      </c>
      <c r="I187" s="328">
        <f t="shared" si="6"/>
        <v>0</v>
      </c>
      <c r="J187" s="692">
        <f t="shared" si="7"/>
        <v>0</v>
      </c>
    </row>
    <row r="188" spans="1:10" x14ac:dyDescent="0.2">
      <c r="A188" s="103" t="s">
        <v>5338</v>
      </c>
      <c r="B188" s="103" t="s">
        <v>4599</v>
      </c>
      <c r="C188" s="103" t="s">
        <v>5326</v>
      </c>
      <c r="D188" s="103" t="s">
        <v>5349</v>
      </c>
      <c r="E188" s="692">
        <f>'NUHM-Non Metro Abst'!N188</f>
        <v>0</v>
      </c>
      <c r="F188" s="692">
        <f>'NUHM-Non Metro Abst'!Q188</f>
        <v>0</v>
      </c>
      <c r="G188" s="692">
        <f>'NUHM Metro Abst'!N188</f>
        <v>0</v>
      </c>
      <c r="H188" s="692">
        <f>'NUHM Metro Abst'!Q188</f>
        <v>0</v>
      </c>
      <c r="I188" s="328">
        <f t="shared" si="6"/>
        <v>0</v>
      </c>
      <c r="J188" s="692">
        <f t="shared" si="7"/>
        <v>0</v>
      </c>
    </row>
    <row r="189" spans="1:10" x14ac:dyDescent="0.2">
      <c r="A189" s="103" t="s">
        <v>5339</v>
      </c>
      <c r="B189" s="103" t="s">
        <v>5328</v>
      </c>
      <c r="C189" s="103" t="s">
        <v>5327</v>
      </c>
      <c r="D189" s="103" t="s">
        <v>5349</v>
      </c>
      <c r="E189" s="692">
        <f>'NUHM-Non Metro Abst'!N189</f>
        <v>0</v>
      </c>
      <c r="F189" s="692">
        <f>'NUHM-Non Metro Abst'!Q189</f>
        <v>0</v>
      </c>
      <c r="G189" s="692">
        <f>'NUHM Metro Abst'!N189</f>
        <v>0</v>
      </c>
      <c r="H189" s="692">
        <f>'NUHM Metro Abst'!Q189</f>
        <v>0</v>
      </c>
      <c r="I189" s="328">
        <f t="shared" si="6"/>
        <v>0</v>
      </c>
      <c r="J189" s="692">
        <f t="shared" si="7"/>
        <v>0</v>
      </c>
    </row>
    <row r="190" spans="1:10" x14ac:dyDescent="0.2">
      <c r="A190" s="103" t="s">
        <v>5340</v>
      </c>
      <c r="B190" s="103" t="s">
        <v>4600</v>
      </c>
      <c r="C190" s="123" t="s">
        <v>3081</v>
      </c>
      <c r="D190" s="123" t="s">
        <v>4730</v>
      </c>
      <c r="E190" s="692">
        <f>'NUHM-Non Metro Abst'!N190</f>
        <v>0</v>
      </c>
      <c r="F190" s="692">
        <f>'NUHM-Non Metro Abst'!Q190</f>
        <v>0</v>
      </c>
      <c r="G190" s="692">
        <f>'NUHM Metro Abst'!N190</f>
        <v>0</v>
      </c>
      <c r="H190" s="692">
        <f>'NUHM Metro Abst'!Q190</f>
        <v>0</v>
      </c>
      <c r="I190" s="328">
        <f t="shared" si="6"/>
        <v>0</v>
      </c>
      <c r="J190" s="692">
        <f t="shared" si="7"/>
        <v>0</v>
      </c>
    </row>
    <row r="191" spans="1:10" x14ac:dyDescent="0.2">
      <c r="A191" s="103" t="s">
        <v>5341</v>
      </c>
      <c r="B191" s="103" t="s">
        <v>4601</v>
      </c>
      <c r="C191" s="103" t="s">
        <v>4053</v>
      </c>
      <c r="D191" s="123" t="s">
        <v>4730</v>
      </c>
      <c r="E191" s="692">
        <f>'NUHM-Non Metro Abst'!N191</f>
        <v>0</v>
      </c>
      <c r="F191" s="692">
        <f>'NUHM-Non Metro Abst'!Q191</f>
        <v>0</v>
      </c>
      <c r="G191" s="692">
        <f>'NUHM Metro Abst'!N191</f>
        <v>0</v>
      </c>
      <c r="H191" s="692">
        <f>'NUHM Metro Abst'!Q191</f>
        <v>0</v>
      </c>
      <c r="I191" s="328">
        <f t="shared" si="6"/>
        <v>0</v>
      </c>
      <c r="J191" s="692">
        <f t="shared" si="7"/>
        <v>0</v>
      </c>
    </row>
    <row r="192" spans="1:10" x14ac:dyDescent="0.2">
      <c r="A192" s="103" t="s">
        <v>5342</v>
      </c>
      <c r="B192" s="103" t="s">
        <v>4602</v>
      </c>
      <c r="C192" s="103" t="s">
        <v>4054</v>
      </c>
      <c r="D192" s="123" t="s">
        <v>4730</v>
      </c>
      <c r="E192" s="692">
        <f>'NUHM-Non Metro Abst'!N192</f>
        <v>0</v>
      </c>
      <c r="F192" s="692">
        <f>'NUHM-Non Metro Abst'!Q192</f>
        <v>0</v>
      </c>
      <c r="G192" s="692">
        <f>'NUHM Metro Abst'!N192</f>
        <v>0</v>
      </c>
      <c r="H192" s="692">
        <f>'NUHM Metro Abst'!Q192</f>
        <v>0</v>
      </c>
      <c r="I192" s="328">
        <f t="shared" si="6"/>
        <v>0</v>
      </c>
      <c r="J192" s="692">
        <f t="shared" si="7"/>
        <v>0</v>
      </c>
    </row>
    <row r="193" spans="1:10" x14ac:dyDescent="0.2">
      <c r="A193" s="103" t="s">
        <v>5343</v>
      </c>
      <c r="B193" s="103" t="s">
        <v>4604</v>
      </c>
      <c r="C193" s="103" t="s">
        <v>4055</v>
      </c>
      <c r="D193" s="123" t="s">
        <v>4730</v>
      </c>
      <c r="E193" s="692">
        <f>'NUHM-Non Metro Abst'!N193</f>
        <v>0</v>
      </c>
      <c r="F193" s="692">
        <f>'NUHM-Non Metro Abst'!Q193</f>
        <v>0</v>
      </c>
      <c r="G193" s="692">
        <f>'NUHM Metro Abst'!N193</f>
        <v>0</v>
      </c>
      <c r="H193" s="692">
        <f>'NUHM Metro Abst'!Q193</f>
        <v>0</v>
      </c>
      <c r="I193" s="328">
        <f t="shared" si="6"/>
        <v>0</v>
      </c>
      <c r="J193" s="692">
        <f t="shared" si="7"/>
        <v>0</v>
      </c>
    </row>
    <row r="194" spans="1:10" x14ac:dyDescent="0.2">
      <c r="A194" s="103" t="s">
        <v>5344</v>
      </c>
      <c r="B194" s="103" t="s">
        <v>4603</v>
      </c>
      <c r="C194" s="103" t="s">
        <v>4052</v>
      </c>
      <c r="D194" s="123" t="s">
        <v>3303</v>
      </c>
      <c r="E194" s="692">
        <f>'NUHM-Non Metro Abst'!N194</f>
        <v>0</v>
      </c>
      <c r="F194" s="692">
        <f>'NUHM-Non Metro Abst'!Q194</f>
        <v>0</v>
      </c>
      <c r="G194" s="692">
        <f>'NUHM Metro Abst'!N194</f>
        <v>0</v>
      </c>
      <c r="H194" s="692">
        <f>'NUHM Metro Abst'!Q194</f>
        <v>0</v>
      </c>
      <c r="I194" s="328">
        <f t="shared" si="6"/>
        <v>0</v>
      </c>
      <c r="J194" s="692">
        <f t="shared" si="7"/>
        <v>0</v>
      </c>
    </row>
    <row r="195" spans="1:10" x14ac:dyDescent="0.2">
      <c r="A195" s="184" t="s">
        <v>3261</v>
      </c>
      <c r="B195" s="184"/>
      <c r="C195" s="184" t="s">
        <v>23</v>
      </c>
      <c r="D195" s="184"/>
      <c r="E195" s="838">
        <f>'NUHM-Non Metro Abst'!N195</f>
        <v>0</v>
      </c>
      <c r="F195" s="838">
        <f>'NUHM-Non Metro Abst'!Q195</f>
        <v>0</v>
      </c>
      <c r="G195" s="838">
        <f>'NUHM Metro Abst'!N195</f>
        <v>0</v>
      </c>
      <c r="H195" s="838">
        <f>'NUHM Metro Abst'!Q195</f>
        <v>0</v>
      </c>
      <c r="I195" s="224">
        <f t="shared" si="6"/>
        <v>0</v>
      </c>
      <c r="J195" s="838">
        <f t="shared" si="7"/>
        <v>0</v>
      </c>
    </row>
    <row r="196" spans="1:10" x14ac:dyDescent="0.2">
      <c r="A196" s="840" t="s">
        <v>3262</v>
      </c>
      <c r="B196" s="840"/>
      <c r="C196" s="840" t="s">
        <v>24</v>
      </c>
      <c r="D196" s="840"/>
      <c r="E196" s="841">
        <f>'NUHM-Non Metro Abst'!N196</f>
        <v>0</v>
      </c>
      <c r="F196" s="841">
        <f>'NUHM-Non Metro Abst'!Q196</f>
        <v>0</v>
      </c>
      <c r="G196" s="841">
        <f>'NUHM Metro Abst'!N196</f>
        <v>0</v>
      </c>
      <c r="H196" s="841">
        <f>'NUHM Metro Abst'!Q196</f>
        <v>0</v>
      </c>
      <c r="I196" s="225">
        <f t="shared" si="6"/>
        <v>0</v>
      </c>
      <c r="J196" s="841">
        <f t="shared" si="7"/>
        <v>0</v>
      </c>
    </row>
    <row r="197" spans="1:10" ht="30" x14ac:dyDescent="0.2">
      <c r="A197" s="103" t="s">
        <v>3263</v>
      </c>
      <c r="B197" s="871"/>
      <c r="C197" s="851" t="s">
        <v>1170</v>
      </c>
      <c r="D197" s="851" t="s">
        <v>118</v>
      </c>
      <c r="E197" s="692">
        <f>'NUHM-Non Metro Abst'!N197</f>
        <v>0</v>
      </c>
      <c r="F197" s="692">
        <f>'NUHM-Non Metro Abst'!Q197</f>
        <v>0</v>
      </c>
      <c r="G197" s="692">
        <f>'NUHM Metro Abst'!N197</f>
        <v>0</v>
      </c>
      <c r="H197" s="692">
        <f>'NUHM Metro Abst'!Q197</f>
        <v>0</v>
      </c>
      <c r="I197" s="328">
        <f t="shared" si="6"/>
        <v>0</v>
      </c>
      <c r="J197" s="692">
        <f t="shared" si="7"/>
        <v>0</v>
      </c>
    </row>
    <row r="198" spans="1:10" x14ac:dyDescent="0.2">
      <c r="A198" s="103" t="s">
        <v>3264</v>
      </c>
      <c r="B198" s="871"/>
      <c r="C198" s="851" t="s">
        <v>1171</v>
      </c>
      <c r="D198" s="851" t="s">
        <v>131</v>
      </c>
      <c r="E198" s="692">
        <f>'NUHM-Non Metro Abst'!N198</f>
        <v>0</v>
      </c>
      <c r="F198" s="692">
        <f>'NUHM-Non Metro Abst'!Q198</f>
        <v>0</v>
      </c>
      <c r="G198" s="692">
        <f>'NUHM Metro Abst'!N198</f>
        <v>0</v>
      </c>
      <c r="H198" s="692">
        <f>'NUHM Metro Abst'!Q198</f>
        <v>0</v>
      </c>
      <c r="I198" s="328">
        <f t="shared" si="6"/>
        <v>0</v>
      </c>
      <c r="J198" s="692">
        <f t="shared" si="7"/>
        <v>0</v>
      </c>
    </row>
    <row r="199" spans="1:10" x14ac:dyDescent="0.2">
      <c r="A199" s="840" t="s">
        <v>3265</v>
      </c>
      <c r="B199" s="840"/>
      <c r="C199" s="840" t="s">
        <v>25</v>
      </c>
      <c r="D199" s="840"/>
      <c r="E199" s="841">
        <f>'NUHM-Non Metro Abst'!N199</f>
        <v>0</v>
      </c>
      <c r="F199" s="841">
        <f>'NUHM-Non Metro Abst'!Q199</f>
        <v>0</v>
      </c>
      <c r="G199" s="841">
        <f>'NUHM Metro Abst'!N199</f>
        <v>0</v>
      </c>
      <c r="H199" s="841">
        <f>'NUHM Metro Abst'!Q199</f>
        <v>0</v>
      </c>
      <c r="I199" s="225">
        <f t="shared" si="6"/>
        <v>0</v>
      </c>
      <c r="J199" s="841">
        <f t="shared" si="7"/>
        <v>0</v>
      </c>
    </row>
    <row r="200" spans="1:10" x14ac:dyDescent="0.2">
      <c r="A200" s="103" t="s">
        <v>3266</v>
      </c>
      <c r="B200" s="103" t="s">
        <v>3083</v>
      </c>
      <c r="C200" s="103" t="s">
        <v>3084</v>
      </c>
      <c r="D200" s="103" t="s">
        <v>3303</v>
      </c>
      <c r="E200" s="692">
        <f>'NUHM-Non Metro Abst'!N200</f>
        <v>0</v>
      </c>
      <c r="F200" s="692">
        <f>'NUHM-Non Metro Abst'!Q200</f>
        <v>0</v>
      </c>
      <c r="G200" s="692">
        <f>'NUHM Metro Abst'!N200</f>
        <v>0</v>
      </c>
      <c r="H200" s="692">
        <f>'NUHM Metro Abst'!Q200</f>
        <v>0</v>
      </c>
      <c r="I200" s="328">
        <f t="shared" si="6"/>
        <v>0</v>
      </c>
      <c r="J200" s="692">
        <f t="shared" si="7"/>
        <v>0</v>
      </c>
    </row>
    <row r="201" spans="1:10" x14ac:dyDescent="0.2">
      <c r="A201" s="103" t="s">
        <v>3267</v>
      </c>
      <c r="B201" s="103" t="s">
        <v>3267</v>
      </c>
      <c r="C201" s="103" t="s">
        <v>307</v>
      </c>
      <c r="D201" s="103" t="s">
        <v>3303</v>
      </c>
      <c r="E201" s="692">
        <f>'NUHM-Non Metro Abst'!N201</f>
        <v>0</v>
      </c>
      <c r="F201" s="692">
        <f>'NUHM-Non Metro Abst'!Q201</f>
        <v>0</v>
      </c>
      <c r="G201" s="692">
        <f>'NUHM Metro Abst'!N201</f>
        <v>0</v>
      </c>
      <c r="H201" s="692">
        <f>'NUHM Metro Abst'!Q201</f>
        <v>0</v>
      </c>
      <c r="I201" s="328">
        <f t="shared" si="6"/>
        <v>0</v>
      </c>
      <c r="J201" s="692">
        <f t="shared" si="7"/>
        <v>0</v>
      </c>
    </row>
    <row r="202" spans="1:10" x14ac:dyDescent="0.2">
      <c r="A202" s="555" t="s">
        <v>3268</v>
      </c>
      <c r="B202" s="847" t="s">
        <v>3268</v>
      </c>
      <c r="C202" s="495" t="s">
        <v>26</v>
      </c>
      <c r="D202" s="495"/>
      <c r="E202" s="692">
        <f>'NUHM-Non Metro Abst'!N202</f>
        <v>0</v>
      </c>
      <c r="F202" s="692">
        <f>'NUHM-Non Metro Abst'!Q202</f>
        <v>0</v>
      </c>
      <c r="G202" s="692">
        <f>'NUHM Metro Abst'!N202</f>
        <v>0</v>
      </c>
      <c r="H202" s="692">
        <f>'NUHM Metro Abst'!Q202</f>
        <v>0</v>
      </c>
      <c r="I202" s="328">
        <f t="shared" si="6"/>
        <v>0</v>
      </c>
      <c r="J202" s="692">
        <f t="shared" si="7"/>
        <v>0</v>
      </c>
    </row>
    <row r="203" spans="1:10" x14ac:dyDescent="0.2">
      <c r="A203" s="555" t="s">
        <v>3269</v>
      </c>
      <c r="B203" s="847" t="s">
        <v>3269</v>
      </c>
      <c r="C203" s="495" t="s">
        <v>27</v>
      </c>
      <c r="D203" s="495"/>
      <c r="E203" s="692">
        <f>'NUHM-Non Metro Abst'!N203</f>
        <v>0</v>
      </c>
      <c r="F203" s="692">
        <f>'NUHM-Non Metro Abst'!Q203</f>
        <v>0</v>
      </c>
      <c r="G203" s="692">
        <f>'NUHM Metro Abst'!N203</f>
        <v>0</v>
      </c>
      <c r="H203" s="692">
        <f>'NUHM Metro Abst'!Q203</f>
        <v>0</v>
      </c>
      <c r="I203" s="328">
        <f t="shared" si="6"/>
        <v>0</v>
      </c>
      <c r="J203" s="692">
        <f t="shared" si="7"/>
        <v>0</v>
      </c>
    </row>
    <row r="204" spans="1:10" x14ac:dyDescent="0.2">
      <c r="A204" s="184" t="s">
        <v>3270</v>
      </c>
      <c r="B204" s="184"/>
      <c r="C204" s="184" t="s">
        <v>28</v>
      </c>
      <c r="D204" s="184"/>
      <c r="E204" s="838">
        <f>'NUHM-Non Metro Abst'!N204</f>
        <v>0</v>
      </c>
      <c r="F204" s="838">
        <f>'NUHM-Non Metro Abst'!Q204</f>
        <v>0</v>
      </c>
      <c r="G204" s="838">
        <f>'NUHM Metro Abst'!N204</f>
        <v>0</v>
      </c>
      <c r="H204" s="838">
        <f>'NUHM Metro Abst'!Q204</f>
        <v>0</v>
      </c>
      <c r="I204" s="224">
        <f t="shared" si="6"/>
        <v>0</v>
      </c>
      <c r="J204" s="838">
        <f t="shared" si="7"/>
        <v>0</v>
      </c>
    </row>
    <row r="205" spans="1:10" x14ac:dyDescent="0.2">
      <c r="A205" s="103" t="s">
        <v>3271</v>
      </c>
      <c r="B205" s="103" t="s">
        <v>3087</v>
      </c>
      <c r="C205" s="103" t="s">
        <v>5345</v>
      </c>
      <c r="D205" s="103" t="s">
        <v>3303</v>
      </c>
      <c r="E205" s="692">
        <f>'NUHM-Non Metro Abst'!N205</f>
        <v>0</v>
      </c>
      <c r="F205" s="692">
        <f>'NUHM-Non Metro Abst'!Q205</f>
        <v>0</v>
      </c>
      <c r="G205" s="692">
        <f>'NUHM Metro Abst'!N205</f>
        <v>0</v>
      </c>
      <c r="H205" s="692">
        <f>'NUHM Metro Abst'!Q205</f>
        <v>0</v>
      </c>
      <c r="I205" s="328">
        <f t="shared" si="6"/>
        <v>0</v>
      </c>
      <c r="J205" s="692">
        <f t="shared" si="7"/>
        <v>0</v>
      </c>
    </row>
    <row r="206" spans="1:10" x14ac:dyDescent="0.2">
      <c r="A206" s="103" t="s">
        <v>3272</v>
      </c>
      <c r="B206" s="103" t="s">
        <v>3273</v>
      </c>
      <c r="C206" s="842" t="s">
        <v>3939</v>
      </c>
      <c r="D206" s="842" t="s">
        <v>5349</v>
      </c>
      <c r="E206" s="692">
        <f>'NUHM-Non Metro Abst'!N206</f>
        <v>0</v>
      </c>
      <c r="F206" s="692">
        <f>'NUHM-Non Metro Abst'!Q206</f>
        <v>0</v>
      </c>
      <c r="G206" s="692">
        <f>'NUHM Metro Abst'!N206</f>
        <v>0</v>
      </c>
      <c r="H206" s="692">
        <f>'NUHM Metro Abst'!Q206</f>
        <v>0</v>
      </c>
      <c r="I206" s="328">
        <f t="shared" ref="I206:I269" si="8">E206+G206</f>
        <v>0</v>
      </c>
      <c r="J206" s="692">
        <f t="shared" ref="J206:J269" si="9">F206+H206</f>
        <v>0</v>
      </c>
    </row>
    <row r="207" spans="1:10" x14ac:dyDescent="0.2">
      <c r="A207" s="184" t="s">
        <v>3274</v>
      </c>
      <c r="B207" s="184"/>
      <c r="C207" s="184" t="s">
        <v>29</v>
      </c>
      <c r="D207" s="184"/>
      <c r="E207" s="838">
        <f>'NUHM-Non Metro Abst'!N207</f>
        <v>0</v>
      </c>
      <c r="F207" s="838">
        <f>'NUHM-Non Metro Abst'!Q207</f>
        <v>0</v>
      </c>
      <c r="G207" s="838">
        <f>'NUHM Metro Abst'!N207</f>
        <v>0</v>
      </c>
      <c r="H207" s="838">
        <f>'NUHM Metro Abst'!Q207</f>
        <v>0</v>
      </c>
      <c r="I207" s="224">
        <f t="shared" si="8"/>
        <v>0</v>
      </c>
      <c r="J207" s="838">
        <f t="shared" si="9"/>
        <v>0</v>
      </c>
    </row>
    <row r="208" spans="1:10" x14ac:dyDescent="0.2">
      <c r="A208" s="103" t="s">
        <v>3275</v>
      </c>
      <c r="B208" s="855"/>
      <c r="C208" s="842" t="s">
        <v>3088</v>
      </c>
      <c r="D208" s="842" t="s">
        <v>3303</v>
      </c>
      <c r="E208" s="692">
        <f>'NUHM-Non Metro Abst'!N208</f>
        <v>0</v>
      </c>
      <c r="F208" s="692">
        <f>'NUHM-Non Metro Abst'!Q208</f>
        <v>0</v>
      </c>
      <c r="G208" s="692">
        <f>'NUHM Metro Abst'!N208</f>
        <v>0</v>
      </c>
      <c r="H208" s="692">
        <f>'NUHM Metro Abst'!Q208</f>
        <v>0</v>
      </c>
      <c r="I208" s="328">
        <f t="shared" si="8"/>
        <v>0</v>
      </c>
      <c r="J208" s="692">
        <f t="shared" si="9"/>
        <v>0</v>
      </c>
    </row>
    <row r="209" spans="1:10" x14ac:dyDescent="0.2">
      <c r="A209" s="103" t="s">
        <v>3938</v>
      </c>
      <c r="B209" s="855"/>
      <c r="C209" s="842" t="s">
        <v>2870</v>
      </c>
      <c r="D209" s="842" t="s">
        <v>5349</v>
      </c>
      <c r="E209" s="692">
        <f>'NUHM-Non Metro Abst'!N209</f>
        <v>0</v>
      </c>
      <c r="F209" s="692">
        <f>'NUHM-Non Metro Abst'!Q209</f>
        <v>0</v>
      </c>
      <c r="G209" s="692">
        <f>'NUHM Metro Abst'!N209</f>
        <v>0</v>
      </c>
      <c r="H209" s="692">
        <f>'NUHM Metro Abst'!Q209</f>
        <v>0</v>
      </c>
      <c r="I209" s="328">
        <f t="shared" si="8"/>
        <v>0</v>
      </c>
      <c r="J209" s="692">
        <f t="shared" si="9"/>
        <v>0</v>
      </c>
    </row>
    <row r="210" spans="1:10" x14ac:dyDescent="0.2">
      <c r="A210" s="184" t="s">
        <v>3276</v>
      </c>
      <c r="B210" s="184"/>
      <c r="C210" s="184" t="s">
        <v>30</v>
      </c>
      <c r="D210" s="184"/>
      <c r="E210" s="838">
        <f>'NUHM-Non Metro Abst'!N210</f>
        <v>0</v>
      </c>
      <c r="F210" s="838">
        <f>'NUHM-Non Metro Abst'!Q210</f>
        <v>0</v>
      </c>
      <c r="G210" s="838">
        <f>'NUHM Metro Abst'!N210</f>
        <v>0</v>
      </c>
      <c r="H210" s="838">
        <f>'NUHM Metro Abst'!Q210</f>
        <v>0</v>
      </c>
      <c r="I210" s="224">
        <f t="shared" si="8"/>
        <v>0</v>
      </c>
      <c r="J210" s="838">
        <f t="shared" si="9"/>
        <v>0</v>
      </c>
    </row>
    <row r="211" spans="1:10" x14ac:dyDescent="0.2">
      <c r="A211" s="840" t="s">
        <v>3277</v>
      </c>
      <c r="B211" s="840"/>
      <c r="C211" s="840" t="s">
        <v>30</v>
      </c>
      <c r="D211" s="840"/>
      <c r="E211" s="841">
        <f>'NUHM-Non Metro Abst'!N211</f>
        <v>0</v>
      </c>
      <c r="F211" s="841">
        <f>'NUHM-Non Metro Abst'!Q211</f>
        <v>0</v>
      </c>
      <c r="G211" s="841">
        <f>'NUHM Metro Abst'!N211</f>
        <v>0</v>
      </c>
      <c r="H211" s="841">
        <f>'NUHM Metro Abst'!Q211</f>
        <v>0</v>
      </c>
      <c r="I211" s="225">
        <f t="shared" si="8"/>
        <v>0</v>
      </c>
      <c r="J211" s="841">
        <f t="shared" si="9"/>
        <v>0</v>
      </c>
    </row>
    <row r="212" spans="1:10" x14ac:dyDescent="0.2">
      <c r="A212" s="103" t="s">
        <v>3278</v>
      </c>
      <c r="B212" s="174"/>
      <c r="C212" s="842" t="s">
        <v>4056</v>
      </c>
      <c r="D212" s="842" t="s">
        <v>4730</v>
      </c>
      <c r="E212" s="692">
        <f>'NUHM-Non Metro Abst'!N212</f>
        <v>0</v>
      </c>
      <c r="F212" s="692">
        <f>'NUHM-Non Metro Abst'!Q212</f>
        <v>0</v>
      </c>
      <c r="G212" s="692">
        <f>'NUHM Metro Abst'!N212</f>
        <v>0</v>
      </c>
      <c r="H212" s="692">
        <f>'NUHM Metro Abst'!Q212</f>
        <v>0</v>
      </c>
      <c r="I212" s="328">
        <f t="shared" si="8"/>
        <v>0</v>
      </c>
      <c r="J212" s="692">
        <f t="shared" si="9"/>
        <v>0</v>
      </c>
    </row>
    <row r="213" spans="1:10" x14ac:dyDescent="0.2">
      <c r="A213" s="103" t="s">
        <v>4058</v>
      </c>
      <c r="B213" s="174"/>
      <c r="C213" s="842" t="s">
        <v>4617</v>
      </c>
      <c r="D213" s="842" t="s">
        <v>4730</v>
      </c>
      <c r="E213" s="692">
        <f>'NUHM-Non Metro Abst'!N213</f>
        <v>0</v>
      </c>
      <c r="F213" s="692">
        <f>'NUHM-Non Metro Abst'!Q213</f>
        <v>0</v>
      </c>
      <c r="G213" s="692">
        <f>'NUHM Metro Abst'!N213</f>
        <v>0</v>
      </c>
      <c r="H213" s="692">
        <f>'NUHM Metro Abst'!Q213</f>
        <v>0</v>
      </c>
      <c r="I213" s="328">
        <f t="shared" si="8"/>
        <v>0</v>
      </c>
      <c r="J213" s="692">
        <f t="shared" si="9"/>
        <v>0</v>
      </c>
    </row>
    <row r="214" spans="1:10" x14ac:dyDescent="0.2">
      <c r="A214" s="103" t="s">
        <v>4059</v>
      </c>
      <c r="B214" s="174"/>
      <c r="C214" s="842" t="s">
        <v>4057</v>
      </c>
      <c r="D214" s="842" t="s">
        <v>4730</v>
      </c>
      <c r="E214" s="692">
        <f>'NUHM-Non Metro Abst'!N214</f>
        <v>0</v>
      </c>
      <c r="F214" s="692">
        <f>'NUHM-Non Metro Abst'!Q214</f>
        <v>0</v>
      </c>
      <c r="G214" s="692">
        <f>'NUHM Metro Abst'!N214</f>
        <v>0</v>
      </c>
      <c r="H214" s="692">
        <f>'NUHM Metro Abst'!Q214</f>
        <v>0</v>
      </c>
      <c r="I214" s="328">
        <f t="shared" si="8"/>
        <v>0</v>
      </c>
      <c r="J214" s="692">
        <f t="shared" si="9"/>
        <v>0</v>
      </c>
    </row>
    <row r="215" spans="1:10" x14ac:dyDescent="0.2">
      <c r="A215" s="103" t="s">
        <v>4060</v>
      </c>
      <c r="B215" s="174"/>
      <c r="C215" s="842" t="s">
        <v>1243</v>
      </c>
      <c r="D215" s="842" t="s">
        <v>4730</v>
      </c>
      <c r="E215" s="692">
        <f>'NUHM-Non Metro Abst'!N215</f>
        <v>0</v>
      </c>
      <c r="F215" s="692">
        <f>'NUHM-Non Metro Abst'!Q215</f>
        <v>0</v>
      </c>
      <c r="G215" s="692">
        <f>'NUHM Metro Abst'!N215</f>
        <v>0</v>
      </c>
      <c r="H215" s="692">
        <f>'NUHM Metro Abst'!Q215</f>
        <v>0</v>
      </c>
      <c r="I215" s="328">
        <f t="shared" si="8"/>
        <v>0</v>
      </c>
      <c r="J215" s="692">
        <f t="shared" si="9"/>
        <v>0</v>
      </c>
    </row>
    <row r="216" spans="1:10" x14ac:dyDescent="0.2">
      <c r="A216" s="840" t="s">
        <v>3279</v>
      </c>
      <c r="B216" s="840"/>
      <c r="C216" s="840" t="s">
        <v>31</v>
      </c>
      <c r="D216" s="840"/>
      <c r="E216" s="841">
        <f>'NUHM-Non Metro Abst'!N216</f>
        <v>0</v>
      </c>
      <c r="F216" s="841">
        <f>'NUHM-Non Metro Abst'!Q216</f>
        <v>0</v>
      </c>
      <c r="G216" s="841">
        <f>'NUHM Metro Abst'!N216</f>
        <v>0</v>
      </c>
      <c r="H216" s="841">
        <f>'NUHM Metro Abst'!Q216</f>
        <v>0</v>
      </c>
      <c r="I216" s="225">
        <f t="shared" si="8"/>
        <v>0</v>
      </c>
      <c r="J216" s="841">
        <f t="shared" si="9"/>
        <v>0</v>
      </c>
    </row>
    <row r="217" spans="1:10" x14ac:dyDescent="0.2">
      <c r="A217" s="103" t="s">
        <v>3280</v>
      </c>
      <c r="B217" s="174"/>
      <c r="C217" s="441" t="s">
        <v>1252</v>
      </c>
      <c r="D217" s="842" t="s">
        <v>4730</v>
      </c>
      <c r="E217" s="692">
        <f>'NUHM-Non Metro Abst'!N217</f>
        <v>0</v>
      </c>
      <c r="F217" s="692">
        <f>'NUHM-Non Metro Abst'!Q217</f>
        <v>0</v>
      </c>
      <c r="G217" s="692">
        <f>'NUHM Metro Abst'!N217</f>
        <v>0</v>
      </c>
      <c r="H217" s="692">
        <f>'NUHM Metro Abst'!Q217</f>
        <v>0</v>
      </c>
      <c r="I217" s="328">
        <f t="shared" si="8"/>
        <v>0</v>
      </c>
      <c r="J217" s="692">
        <f t="shared" si="9"/>
        <v>0</v>
      </c>
    </row>
    <row r="218" spans="1:10" x14ac:dyDescent="0.2">
      <c r="A218" s="103" t="s">
        <v>3281</v>
      </c>
      <c r="B218" s="174"/>
      <c r="C218" s="872" t="s">
        <v>4061</v>
      </c>
      <c r="D218" s="842" t="s">
        <v>4730</v>
      </c>
      <c r="E218" s="692">
        <f>'NUHM-Non Metro Abst'!N218</f>
        <v>0</v>
      </c>
      <c r="F218" s="692">
        <f>'NUHM-Non Metro Abst'!Q218</f>
        <v>0</v>
      </c>
      <c r="G218" s="692">
        <f>'NUHM Metro Abst'!N218</f>
        <v>0</v>
      </c>
      <c r="H218" s="692">
        <f>'NUHM Metro Abst'!Q218</f>
        <v>0</v>
      </c>
      <c r="I218" s="328">
        <f t="shared" si="8"/>
        <v>0</v>
      </c>
      <c r="J218" s="692">
        <f t="shared" si="9"/>
        <v>0</v>
      </c>
    </row>
    <row r="219" spans="1:10" x14ac:dyDescent="0.2">
      <c r="A219" s="103" t="s">
        <v>4063</v>
      </c>
      <c r="B219" s="174"/>
      <c r="C219" s="873" t="s">
        <v>1255</v>
      </c>
      <c r="D219" s="842" t="s">
        <v>4730</v>
      </c>
      <c r="E219" s="692">
        <f>'NUHM-Non Metro Abst'!N219</f>
        <v>0</v>
      </c>
      <c r="F219" s="692">
        <f>'NUHM-Non Metro Abst'!Q219</f>
        <v>0</v>
      </c>
      <c r="G219" s="692">
        <f>'NUHM Metro Abst'!N219</f>
        <v>0</v>
      </c>
      <c r="H219" s="692">
        <f>'NUHM Metro Abst'!Q219</f>
        <v>0</v>
      </c>
      <c r="I219" s="328">
        <f t="shared" si="8"/>
        <v>0</v>
      </c>
      <c r="J219" s="692">
        <f t="shared" si="9"/>
        <v>0</v>
      </c>
    </row>
    <row r="220" spans="1:10" x14ac:dyDescent="0.2">
      <c r="A220" s="103" t="s">
        <v>4064</v>
      </c>
      <c r="B220" s="174"/>
      <c r="C220" s="872" t="s">
        <v>4062</v>
      </c>
      <c r="D220" s="842" t="s">
        <v>4730</v>
      </c>
      <c r="E220" s="692">
        <f>'NUHM-Non Metro Abst'!N220</f>
        <v>0</v>
      </c>
      <c r="F220" s="692">
        <f>'NUHM-Non Metro Abst'!Q220</f>
        <v>0</v>
      </c>
      <c r="G220" s="692">
        <f>'NUHM Metro Abst'!N220</f>
        <v>0</v>
      </c>
      <c r="H220" s="692">
        <f>'NUHM Metro Abst'!Q220</f>
        <v>0</v>
      </c>
      <c r="I220" s="328">
        <f t="shared" si="8"/>
        <v>0</v>
      </c>
      <c r="J220" s="692">
        <f t="shared" si="9"/>
        <v>0</v>
      </c>
    </row>
    <row r="221" spans="1:10" x14ac:dyDescent="0.2">
      <c r="A221" s="103" t="s">
        <v>4065</v>
      </c>
      <c r="B221" s="174"/>
      <c r="C221" s="872" t="s">
        <v>1261</v>
      </c>
      <c r="D221" s="842" t="s">
        <v>4730</v>
      </c>
      <c r="E221" s="692">
        <f>'NUHM-Non Metro Abst'!N221</f>
        <v>0</v>
      </c>
      <c r="F221" s="692">
        <f>'NUHM-Non Metro Abst'!Q221</f>
        <v>0</v>
      </c>
      <c r="G221" s="692">
        <f>'NUHM Metro Abst'!N221</f>
        <v>0</v>
      </c>
      <c r="H221" s="692">
        <f>'NUHM Metro Abst'!Q221</f>
        <v>0</v>
      </c>
      <c r="I221" s="328">
        <f t="shared" si="8"/>
        <v>0</v>
      </c>
      <c r="J221" s="692">
        <f t="shared" si="9"/>
        <v>0</v>
      </c>
    </row>
    <row r="222" spans="1:10" x14ac:dyDescent="0.2">
      <c r="A222" s="840" t="s">
        <v>3282</v>
      </c>
      <c r="B222" s="840"/>
      <c r="C222" s="840" t="s">
        <v>2977</v>
      </c>
      <c r="D222" s="840"/>
      <c r="E222" s="841">
        <f>'NUHM-Non Metro Abst'!N222</f>
        <v>0</v>
      </c>
      <c r="F222" s="841">
        <f>'NUHM-Non Metro Abst'!Q222</f>
        <v>0</v>
      </c>
      <c r="G222" s="841">
        <f>'NUHM Metro Abst'!N222</f>
        <v>0</v>
      </c>
      <c r="H222" s="841">
        <f>'NUHM Metro Abst'!Q222</f>
        <v>0</v>
      </c>
      <c r="I222" s="225">
        <f t="shared" si="8"/>
        <v>0</v>
      </c>
      <c r="J222" s="841">
        <f t="shared" si="9"/>
        <v>0</v>
      </c>
    </row>
    <row r="223" spans="1:10" x14ac:dyDescent="0.2">
      <c r="A223" s="184" t="s">
        <v>3283</v>
      </c>
      <c r="B223" s="184"/>
      <c r="C223" s="184" t="s">
        <v>3089</v>
      </c>
      <c r="D223" s="184"/>
      <c r="E223" s="838">
        <f>'NUHM-Non Metro Abst'!N223</f>
        <v>0</v>
      </c>
      <c r="F223" s="838">
        <f>'NUHM-Non Metro Abst'!Q223</f>
        <v>0</v>
      </c>
      <c r="G223" s="838">
        <f>'NUHM Metro Abst'!N223</f>
        <v>0</v>
      </c>
      <c r="H223" s="838">
        <f>'NUHM Metro Abst'!Q223</f>
        <v>0</v>
      </c>
      <c r="I223" s="224">
        <f t="shared" si="8"/>
        <v>0</v>
      </c>
      <c r="J223" s="838">
        <f t="shared" si="9"/>
        <v>0</v>
      </c>
    </row>
    <row r="224" spans="1:10" ht="30" x14ac:dyDescent="0.2">
      <c r="A224" s="555" t="s">
        <v>3284</v>
      </c>
      <c r="B224" s="871"/>
      <c r="C224" s="495" t="s">
        <v>3090</v>
      </c>
      <c r="D224" s="495"/>
      <c r="E224" s="692">
        <f>'NUHM-Non Metro Abst'!N224</f>
        <v>0</v>
      </c>
      <c r="F224" s="692">
        <f>'NUHM-Non Metro Abst'!Q224</f>
        <v>0</v>
      </c>
      <c r="G224" s="692">
        <f>'NUHM Metro Abst'!N224</f>
        <v>0</v>
      </c>
      <c r="H224" s="692">
        <f>'NUHM Metro Abst'!Q224</f>
        <v>0</v>
      </c>
      <c r="I224" s="328">
        <f t="shared" si="8"/>
        <v>0</v>
      </c>
      <c r="J224" s="692">
        <f t="shared" si="9"/>
        <v>0</v>
      </c>
    </row>
    <row r="225" spans="1:10" x14ac:dyDescent="0.2">
      <c r="A225" s="840" t="s">
        <v>3285</v>
      </c>
      <c r="B225" s="840"/>
      <c r="C225" s="840" t="s">
        <v>32</v>
      </c>
      <c r="D225" s="840"/>
      <c r="E225" s="841">
        <f>'NUHM-Non Metro Abst'!N225</f>
        <v>0</v>
      </c>
      <c r="F225" s="841">
        <f>'NUHM-Non Metro Abst'!Q225</f>
        <v>0</v>
      </c>
      <c r="G225" s="841">
        <f>'NUHM Metro Abst'!N225</f>
        <v>0</v>
      </c>
      <c r="H225" s="841">
        <f>'NUHM Metro Abst'!Q225</f>
        <v>0</v>
      </c>
      <c r="I225" s="225">
        <f t="shared" si="8"/>
        <v>0</v>
      </c>
      <c r="J225" s="841">
        <f t="shared" si="9"/>
        <v>0</v>
      </c>
    </row>
    <row r="226" spans="1:10" x14ac:dyDescent="0.2">
      <c r="A226" s="103" t="s">
        <v>3286</v>
      </c>
      <c r="B226" s="174"/>
      <c r="C226" s="842" t="s">
        <v>3091</v>
      </c>
      <c r="D226" s="842" t="s">
        <v>5348</v>
      </c>
      <c r="E226" s="692">
        <f>'NUHM-Non Metro Abst'!N226</f>
        <v>0</v>
      </c>
      <c r="F226" s="692">
        <f>'NUHM-Non Metro Abst'!Q226</f>
        <v>0</v>
      </c>
      <c r="G226" s="692">
        <f>'NUHM Metro Abst'!N226</f>
        <v>0</v>
      </c>
      <c r="H226" s="692">
        <f>'NUHM Metro Abst'!Q226</f>
        <v>0</v>
      </c>
      <c r="I226" s="328">
        <f t="shared" si="8"/>
        <v>0</v>
      </c>
      <c r="J226" s="692">
        <f t="shared" si="9"/>
        <v>0</v>
      </c>
    </row>
    <row r="227" spans="1:10" x14ac:dyDescent="0.2">
      <c r="A227" s="184" t="s">
        <v>3287</v>
      </c>
      <c r="B227" s="184"/>
      <c r="C227" s="184" t="s">
        <v>33</v>
      </c>
      <c r="D227" s="184"/>
      <c r="E227" s="838">
        <f>'NUHM-Non Metro Abst'!N227</f>
        <v>0</v>
      </c>
      <c r="F227" s="838">
        <f>'NUHM-Non Metro Abst'!Q227</f>
        <v>0</v>
      </c>
      <c r="G227" s="838">
        <f>'NUHM Metro Abst'!N227</f>
        <v>0</v>
      </c>
      <c r="H227" s="838">
        <f>'NUHM Metro Abst'!Q227</f>
        <v>0</v>
      </c>
      <c r="I227" s="224">
        <f t="shared" si="8"/>
        <v>0</v>
      </c>
      <c r="J227" s="838">
        <f t="shared" si="9"/>
        <v>0</v>
      </c>
    </row>
    <row r="228" spans="1:10" x14ac:dyDescent="0.2">
      <c r="A228" s="103" t="s">
        <v>3288</v>
      </c>
      <c r="B228" s="103"/>
      <c r="C228" s="103" t="s">
        <v>5346</v>
      </c>
      <c r="D228" s="103" t="s">
        <v>5349</v>
      </c>
      <c r="E228" s="692">
        <f>'NUHM-Non Metro Abst'!N228</f>
        <v>0</v>
      </c>
      <c r="F228" s="692">
        <f>'NUHM-Non Metro Abst'!Q228</f>
        <v>0</v>
      </c>
      <c r="G228" s="692">
        <f>'NUHM Metro Abst'!N228</f>
        <v>0</v>
      </c>
      <c r="H228" s="692">
        <f>'NUHM Metro Abst'!Q228</f>
        <v>0</v>
      </c>
      <c r="I228" s="328">
        <f t="shared" si="8"/>
        <v>0</v>
      </c>
      <c r="J228" s="692">
        <f t="shared" si="9"/>
        <v>0</v>
      </c>
    </row>
    <row r="229" spans="1:10" x14ac:dyDescent="0.2">
      <c r="A229" s="103" t="s">
        <v>3936</v>
      </c>
      <c r="B229" s="103"/>
      <c r="C229" s="103" t="s">
        <v>307</v>
      </c>
      <c r="D229" s="103" t="s">
        <v>5348</v>
      </c>
      <c r="E229" s="692">
        <f>'NUHM-Non Metro Abst'!N229</f>
        <v>0</v>
      </c>
      <c r="F229" s="692">
        <f>'NUHM-Non Metro Abst'!Q229</f>
        <v>0</v>
      </c>
      <c r="G229" s="692">
        <f>'NUHM Metro Abst'!N229</f>
        <v>0</v>
      </c>
      <c r="H229" s="692">
        <f>'NUHM Metro Abst'!Q229</f>
        <v>0</v>
      </c>
      <c r="I229" s="328">
        <f t="shared" si="8"/>
        <v>0</v>
      </c>
      <c r="J229" s="692">
        <f t="shared" si="9"/>
        <v>0</v>
      </c>
    </row>
    <row r="230" spans="1:10" x14ac:dyDescent="0.2">
      <c r="A230" s="184" t="s">
        <v>3289</v>
      </c>
      <c r="B230" s="184"/>
      <c r="C230" s="184" t="s">
        <v>34</v>
      </c>
      <c r="D230" s="184"/>
      <c r="E230" s="838">
        <f>'NUHM-Non Metro Abst'!N230</f>
        <v>180.6</v>
      </c>
      <c r="F230" s="838">
        <f>'NUHM-Non Metro Abst'!Q230</f>
        <v>0</v>
      </c>
      <c r="G230" s="838">
        <f>'NUHM Metro Abst'!N230</f>
        <v>27</v>
      </c>
      <c r="H230" s="838">
        <f>'NUHM Metro Abst'!Q230</f>
        <v>0</v>
      </c>
      <c r="I230" s="224">
        <f t="shared" si="8"/>
        <v>207.6</v>
      </c>
      <c r="J230" s="838">
        <f t="shared" si="9"/>
        <v>0</v>
      </c>
    </row>
    <row r="231" spans="1:10" x14ac:dyDescent="0.2">
      <c r="A231" s="840" t="s">
        <v>3290</v>
      </c>
      <c r="B231" s="840"/>
      <c r="C231" s="488" t="s">
        <v>2158</v>
      </c>
      <c r="D231" s="488"/>
      <c r="E231" s="841">
        <f>'NUHM-Non Metro Abst'!N231</f>
        <v>180.6</v>
      </c>
      <c r="F231" s="841">
        <f>'NUHM-Non Metro Abst'!Q231</f>
        <v>0</v>
      </c>
      <c r="G231" s="841">
        <f>'NUHM Metro Abst'!N231</f>
        <v>27</v>
      </c>
      <c r="H231" s="841">
        <f>'NUHM Metro Abst'!Q231</f>
        <v>0</v>
      </c>
      <c r="I231" s="225">
        <f t="shared" si="8"/>
        <v>207.6</v>
      </c>
      <c r="J231" s="841">
        <f t="shared" si="9"/>
        <v>0</v>
      </c>
    </row>
    <row r="232" spans="1:10" x14ac:dyDescent="0.2">
      <c r="A232" s="848" t="s">
        <v>3291</v>
      </c>
      <c r="B232" s="848"/>
      <c r="C232" s="848" t="s">
        <v>35</v>
      </c>
      <c r="D232" s="848"/>
      <c r="E232" s="849">
        <f>'NUHM-Non Metro Abst'!N232</f>
        <v>0</v>
      </c>
      <c r="F232" s="849">
        <f>'NUHM-Non Metro Abst'!Q232</f>
        <v>0</v>
      </c>
      <c r="G232" s="849">
        <f>'NUHM Metro Abst'!N232</f>
        <v>0</v>
      </c>
      <c r="H232" s="849">
        <f>'NUHM Metro Abst'!Q232</f>
        <v>0</v>
      </c>
      <c r="I232" s="233">
        <f t="shared" si="8"/>
        <v>0</v>
      </c>
      <c r="J232" s="849">
        <f t="shared" si="9"/>
        <v>0</v>
      </c>
    </row>
    <row r="233" spans="1:10" x14ac:dyDescent="0.2">
      <c r="A233" s="848" t="s">
        <v>3940</v>
      </c>
      <c r="B233" s="848"/>
      <c r="C233" s="848" t="s">
        <v>37</v>
      </c>
      <c r="D233" s="848"/>
      <c r="E233" s="849">
        <f>'NUHM-Non Metro Abst'!N233</f>
        <v>0</v>
      </c>
      <c r="F233" s="849">
        <f>'NUHM-Non Metro Abst'!Q233</f>
        <v>0</v>
      </c>
      <c r="G233" s="849">
        <f>'NUHM Metro Abst'!N233</f>
        <v>0</v>
      </c>
      <c r="H233" s="849">
        <f>'NUHM Metro Abst'!Q233</f>
        <v>0</v>
      </c>
      <c r="I233" s="233">
        <f t="shared" si="8"/>
        <v>0</v>
      </c>
      <c r="J233" s="849">
        <f t="shared" si="9"/>
        <v>0</v>
      </c>
    </row>
    <row r="234" spans="1:10" ht="30" x14ac:dyDescent="0.2">
      <c r="A234" s="103" t="s">
        <v>4393</v>
      </c>
      <c r="B234" s="103" t="s">
        <v>3092</v>
      </c>
      <c r="C234" s="103" t="s">
        <v>3093</v>
      </c>
      <c r="D234" s="874" t="s">
        <v>5354</v>
      </c>
      <c r="E234" s="692">
        <f>'NUHM-Non Metro Abst'!N234</f>
        <v>0</v>
      </c>
      <c r="F234" s="692">
        <f>'NUHM-Non Metro Abst'!Q234</f>
        <v>0</v>
      </c>
      <c r="G234" s="692">
        <f>'NUHM Metro Abst'!N234</f>
        <v>0</v>
      </c>
      <c r="H234" s="692">
        <f>'NUHM Metro Abst'!Q234</f>
        <v>0</v>
      </c>
      <c r="I234" s="328">
        <f t="shared" si="8"/>
        <v>0</v>
      </c>
      <c r="J234" s="692">
        <f t="shared" si="9"/>
        <v>0</v>
      </c>
    </row>
    <row r="235" spans="1:10" s="828" customFormat="1" x14ac:dyDescent="0.2">
      <c r="A235" s="864" t="s">
        <v>4394</v>
      </c>
      <c r="B235" s="864" t="s">
        <v>3094</v>
      </c>
      <c r="C235" s="875" t="s">
        <v>2204</v>
      </c>
      <c r="D235" s="875"/>
      <c r="E235" s="861">
        <f>'NUHM-Non Metro Abst'!N235</f>
        <v>0</v>
      </c>
      <c r="F235" s="861">
        <f>'NUHM-Non Metro Abst'!Q235</f>
        <v>0</v>
      </c>
      <c r="G235" s="861">
        <f>'NUHM Metro Abst'!N235</f>
        <v>0</v>
      </c>
      <c r="H235" s="861">
        <f>'NUHM Metro Abst'!Q235</f>
        <v>0</v>
      </c>
      <c r="I235" s="862">
        <f t="shared" si="8"/>
        <v>0</v>
      </c>
      <c r="J235" s="861">
        <f t="shared" si="9"/>
        <v>0</v>
      </c>
    </row>
    <row r="236" spans="1:10" s="828" customFormat="1" x14ac:dyDescent="0.2">
      <c r="A236" s="123" t="s">
        <v>4572</v>
      </c>
      <c r="B236" s="123"/>
      <c r="C236" s="123" t="s">
        <v>3095</v>
      </c>
      <c r="D236" s="123" t="s">
        <v>5352</v>
      </c>
      <c r="E236" s="692">
        <f>'NUHM-Non Metro Abst'!N236</f>
        <v>0</v>
      </c>
      <c r="F236" s="692">
        <f>'NUHM-Non Metro Abst'!Q236</f>
        <v>0</v>
      </c>
      <c r="G236" s="692">
        <f>'NUHM Metro Abst'!N236</f>
        <v>0</v>
      </c>
      <c r="H236" s="692">
        <f>'NUHM Metro Abst'!Q236</f>
        <v>0</v>
      </c>
      <c r="I236" s="328">
        <f t="shared" si="8"/>
        <v>0</v>
      </c>
      <c r="J236" s="692">
        <f t="shared" si="9"/>
        <v>0</v>
      </c>
    </row>
    <row r="237" spans="1:10" s="828" customFormat="1" ht="30" x14ac:dyDescent="0.2">
      <c r="A237" s="123" t="s">
        <v>4573</v>
      </c>
      <c r="B237" s="123"/>
      <c r="C237" s="876" t="s">
        <v>2425</v>
      </c>
      <c r="D237" s="123" t="s">
        <v>5355</v>
      </c>
      <c r="E237" s="692">
        <f>'NUHM-Non Metro Abst'!N237</f>
        <v>0</v>
      </c>
      <c r="F237" s="692">
        <f>'NUHM-Non Metro Abst'!Q237</f>
        <v>0</v>
      </c>
      <c r="G237" s="692">
        <f>'NUHM Metro Abst'!N237</f>
        <v>0</v>
      </c>
      <c r="H237" s="692">
        <f>'NUHM Metro Abst'!Q237</f>
        <v>0</v>
      </c>
      <c r="I237" s="328">
        <f t="shared" si="8"/>
        <v>0</v>
      </c>
      <c r="J237" s="692">
        <f t="shared" si="9"/>
        <v>0</v>
      </c>
    </row>
    <row r="238" spans="1:10" x14ac:dyDescent="0.2">
      <c r="A238" s="123" t="s">
        <v>4395</v>
      </c>
      <c r="B238" s="123"/>
      <c r="C238" s="123" t="s">
        <v>2977</v>
      </c>
      <c r="D238" s="123" t="s">
        <v>5352</v>
      </c>
      <c r="E238" s="692">
        <f>'NUHM-Non Metro Abst'!N238</f>
        <v>0</v>
      </c>
      <c r="F238" s="692">
        <f>'NUHM-Non Metro Abst'!Q238</f>
        <v>0</v>
      </c>
      <c r="G238" s="692">
        <f>'NUHM Metro Abst'!N238</f>
        <v>0</v>
      </c>
      <c r="H238" s="692">
        <f>'NUHM Metro Abst'!Q238</f>
        <v>0</v>
      </c>
      <c r="I238" s="328">
        <f t="shared" si="8"/>
        <v>0</v>
      </c>
      <c r="J238" s="692">
        <f t="shared" si="9"/>
        <v>0</v>
      </c>
    </row>
    <row r="239" spans="1:10" x14ac:dyDescent="0.2">
      <c r="A239" s="848" t="s">
        <v>3941</v>
      </c>
      <c r="B239" s="848"/>
      <c r="C239" s="848" t="s">
        <v>36</v>
      </c>
      <c r="D239" s="848"/>
      <c r="E239" s="849">
        <f>'NUHM-Non Metro Abst'!N239</f>
        <v>180.6</v>
      </c>
      <c r="F239" s="849">
        <f>'NUHM-Non Metro Abst'!Q239</f>
        <v>0</v>
      </c>
      <c r="G239" s="849">
        <f>'NUHM Metro Abst'!N239</f>
        <v>27</v>
      </c>
      <c r="H239" s="849">
        <f>'NUHM Metro Abst'!Q239</f>
        <v>0</v>
      </c>
      <c r="I239" s="233">
        <f t="shared" si="8"/>
        <v>207.6</v>
      </c>
      <c r="J239" s="849">
        <f t="shared" si="9"/>
        <v>0</v>
      </c>
    </row>
    <row r="240" spans="1:10" ht="30" x14ac:dyDescent="0.2">
      <c r="A240" s="123" t="s">
        <v>4396</v>
      </c>
      <c r="B240" s="123" t="s">
        <v>3092</v>
      </c>
      <c r="C240" s="103" t="s">
        <v>3093</v>
      </c>
      <c r="D240" s="874" t="s">
        <v>5354</v>
      </c>
      <c r="E240" s="692">
        <f>'NUHM-Non Metro Abst'!N240</f>
        <v>0</v>
      </c>
      <c r="F240" s="692">
        <f>'NUHM-Non Metro Abst'!Q240</f>
        <v>0</v>
      </c>
      <c r="G240" s="692">
        <f>'NUHM Metro Abst'!N240</f>
        <v>0</v>
      </c>
      <c r="H240" s="692">
        <f>'NUHM Metro Abst'!Q240</f>
        <v>0</v>
      </c>
      <c r="I240" s="328">
        <f t="shared" si="8"/>
        <v>0</v>
      </c>
      <c r="J240" s="692">
        <f t="shared" si="9"/>
        <v>0</v>
      </c>
    </row>
    <row r="241" spans="1:10" x14ac:dyDescent="0.2">
      <c r="A241" s="123" t="s">
        <v>4397</v>
      </c>
      <c r="B241" s="123" t="s">
        <v>3105</v>
      </c>
      <c r="C241" s="103" t="s">
        <v>3839</v>
      </c>
      <c r="D241" s="123" t="s">
        <v>5352</v>
      </c>
      <c r="E241" s="692">
        <f>'NUHM-Non Metro Abst'!N241</f>
        <v>6</v>
      </c>
      <c r="F241" s="692">
        <f>'NUHM-Non Metro Abst'!Q241</f>
        <v>0</v>
      </c>
      <c r="G241" s="692">
        <f>'NUHM Metro Abst'!N241</f>
        <v>0</v>
      </c>
      <c r="H241" s="692">
        <f>'NUHM Metro Abst'!Q241</f>
        <v>0</v>
      </c>
      <c r="I241" s="328">
        <f t="shared" si="8"/>
        <v>6</v>
      </c>
      <c r="J241" s="692">
        <f t="shared" si="9"/>
        <v>0</v>
      </c>
    </row>
    <row r="242" spans="1:10" x14ac:dyDescent="0.2">
      <c r="A242" s="123" t="s">
        <v>4398</v>
      </c>
      <c r="B242" s="123" t="s">
        <v>3113</v>
      </c>
      <c r="C242" s="103" t="s">
        <v>3840</v>
      </c>
      <c r="D242" s="123" t="s">
        <v>5352</v>
      </c>
      <c r="E242" s="692">
        <f>'NUHM-Non Metro Abst'!N242</f>
        <v>0</v>
      </c>
      <c r="F242" s="692">
        <f>'NUHM-Non Metro Abst'!Q242</f>
        <v>0</v>
      </c>
      <c r="G242" s="692">
        <f>'NUHM Metro Abst'!N242</f>
        <v>0</v>
      </c>
      <c r="H242" s="692">
        <f>'NUHM Metro Abst'!Q242</f>
        <v>0</v>
      </c>
      <c r="I242" s="328">
        <f t="shared" si="8"/>
        <v>0</v>
      </c>
      <c r="J242" s="692">
        <f t="shared" si="9"/>
        <v>0</v>
      </c>
    </row>
    <row r="243" spans="1:10" x14ac:dyDescent="0.2">
      <c r="A243" s="123" t="s">
        <v>4399</v>
      </c>
      <c r="B243" s="123" t="s">
        <v>3119</v>
      </c>
      <c r="C243" s="103" t="s">
        <v>4405</v>
      </c>
      <c r="D243" s="123" t="s">
        <v>5352</v>
      </c>
      <c r="E243" s="692">
        <f>'NUHM-Non Metro Abst'!N243</f>
        <v>0</v>
      </c>
      <c r="F243" s="692">
        <f>'NUHM-Non Metro Abst'!Q243</f>
        <v>0</v>
      </c>
      <c r="G243" s="692">
        <f>'NUHM Metro Abst'!N243</f>
        <v>0</v>
      </c>
      <c r="H243" s="692">
        <f>'NUHM Metro Abst'!Q243</f>
        <v>0</v>
      </c>
      <c r="I243" s="328">
        <f t="shared" si="8"/>
        <v>0</v>
      </c>
      <c r="J243" s="692">
        <f t="shared" si="9"/>
        <v>0</v>
      </c>
    </row>
    <row r="244" spans="1:10" x14ac:dyDescent="0.2">
      <c r="A244" s="123" t="s">
        <v>4400</v>
      </c>
      <c r="B244" s="123"/>
      <c r="C244" s="103" t="s">
        <v>2977</v>
      </c>
      <c r="D244" s="123" t="s">
        <v>5352</v>
      </c>
      <c r="E244" s="692">
        <f>'NUHM-Non Metro Abst'!N244</f>
        <v>174.6</v>
      </c>
      <c r="F244" s="692">
        <f>'NUHM-Non Metro Abst'!Q244</f>
        <v>0</v>
      </c>
      <c r="G244" s="692">
        <f>'NUHM Metro Abst'!N244</f>
        <v>27</v>
      </c>
      <c r="H244" s="692">
        <f>'NUHM Metro Abst'!Q244</f>
        <v>0</v>
      </c>
      <c r="I244" s="328">
        <f t="shared" si="8"/>
        <v>201.6</v>
      </c>
      <c r="J244" s="692">
        <f t="shared" si="9"/>
        <v>0</v>
      </c>
    </row>
    <row r="245" spans="1:10" x14ac:dyDescent="0.2">
      <c r="A245" s="848" t="s">
        <v>3942</v>
      </c>
      <c r="B245" s="848"/>
      <c r="C245" s="848" t="s">
        <v>2138</v>
      </c>
      <c r="D245" s="848"/>
      <c r="E245" s="849">
        <f>'NUHM-Non Metro Abst'!N245</f>
        <v>0</v>
      </c>
      <c r="F245" s="849">
        <f>'NUHM-Non Metro Abst'!Q245</f>
        <v>0</v>
      </c>
      <c r="G245" s="849">
        <f>'NUHM Metro Abst'!N245</f>
        <v>0</v>
      </c>
      <c r="H245" s="849">
        <f>'NUHM Metro Abst'!Q245</f>
        <v>0</v>
      </c>
      <c r="I245" s="233">
        <f t="shared" si="8"/>
        <v>0</v>
      </c>
      <c r="J245" s="849">
        <f t="shared" si="9"/>
        <v>0</v>
      </c>
    </row>
    <row r="246" spans="1:10" x14ac:dyDescent="0.2">
      <c r="A246" s="123" t="s">
        <v>4401</v>
      </c>
      <c r="B246" s="877"/>
      <c r="C246" s="878" t="s">
        <v>3846</v>
      </c>
      <c r="D246" s="123" t="s">
        <v>5352</v>
      </c>
      <c r="E246" s="692">
        <f>'NUHM-Non Metro Abst'!N246</f>
        <v>0</v>
      </c>
      <c r="F246" s="692">
        <f>'NUHM-Non Metro Abst'!Q246</f>
        <v>0</v>
      </c>
      <c r="G246" s="692">
        <f>'NUHM Metro Abst'!N246</f>
        <v>0</v>
      </c>
      <c r="H246" s="692">
        <f>'NUHM Metro Abst'!Q246</f>
        <v>0</v>
      </c>
      <c r="I246" s="328">
        <f t="shared" si="8"/>
        <v>0</v>
      </c>
      <c r="J246" s="692">
        <f t="shared" si="9"/>
        <v>0</v>
      </c>
    </row>
    <row r="247" spans="1:10" ht="30" x14ac:dyDescent="0.2">
      <c r="A247" s="123" t="s">
        <v>4402</v>
      </c>
      <c r="B247" s="123" t="s">
        <v>3106</v>
      </c>
      <c r="C247" s="123" t="s">
        <v>3841</v>
      </c>
      <c r="D247" s="123" t="s">
        <v>5352</v>
      </c>
      <c r="E247" s="692">
        <f>'NUHM-Non Metro Abst'!N247</f>
        <v>0</v>
      </c>
      <c r="F247" s="692">
        <f>'NUHM-Non Metro Abst'!Q247</f>
        <v>0</v>
      </c>
      <c r="G247" s="692">
        <f>'NUHM Metro Abst'!N247</f>
        <v>0</v>
      </c>
      <c r="H247" s="692">
        <f>'NUHM Metro Abst'!Q247</f>
        <v>0</v>
      </c>
      <c r="I247" s="328">
        <f t="shared" si="8"/>
        <v>0</v>
      </c>
      <c r="J247" s="692">
        <f t="shared" si="9"/>
        <v>0</v>
      </c>
    </row>
    <row r="248" spans="1:10" ht="30" x14ac:dyDescent="0.2">
      <c r="A248" s="123" t="s">
        <v>4403</v>
      </c>
      <c r="B248" s="123" t="s">
        <v>3114</v>
      </c>
      <c r="C248" s="123" t="s">
        <v>3842</v>
      </c>
      <c r="D248" s="123" t="s">
        <v>5352</v>
      </c>
      <c r="E248" s="692">
        <f>'NUHM-Non Metro Abst'!N248</f>
        <v>0</v>
      </c>
      <c r="F248" s="692">
        <f>'NUHM-Non Metro Abst'!Q248</f>
        <v>0</v>
      </c>
      <c r="G248" s="692">
        <f>'NUHM Metro Abst'!N248</f>
        <v>0</v>
      </c>
      <c r="H248" s="692">
        <f>'NUHM Metro Abst'!Q248</f>
        <v>0</v>
      </c>
      <c r="I248" s="328">
        <f t="shared" si="8"/>
        <v>0</v>
      </c>
      <c r="J248" s="692">
        <f t="shared" si="9"/>
        <v>0</v>
      </c>
    </row>
    <row r="249" spans="1:10" ht="30" x14ac:dyDescent="0.2">
      <c r="A249" s="123" t="s">
        <v>4404</v>
      </c>
      <c r="B249" s="123" t="s">
        <v>3120</v>
      </c>
      <c r="C249" s="123" t="s">
        <v>4406</v>
      </c>
      <c r="D249" s="123" t="s">
        <v>5352</v>
      </c>
      <c r="E249" s="692">
        <f>'NUHM-Non Metro Abst'!N249</f>
        <v>0</v>
      </c>
      <c r="F249" s="692">
        <f>'NUHM-Non Metro Abst'!Q249</f>
        <v>0</v>
      </c>
      <c r="G249" s="692">
        <f>'NUHM Metro Abst'!N249</f>
        <v>0</v>
      </c>
      <c r="H249" s="692">
        <f>'NUHM Metro Abst'!Q249</f>
        <v>0</v>
      </c>
      <c r="I249" s="328">
        <f t="shared" si="8"/>
        <v>0</v>
      </c>
      <c r="J249" s="692">
        <f t="shared" si="9"/>
        <v>0</v>
      </c>
    </row>
    <row r="250" spans="1:10" x14ac:dyDescent="0.2">
      <c r="A250" s="848" t="s">
        <v>3951</v>
      </c>
      <c r="B250" s="848"/>
      <c r="C250" s="848" t="s">
        <v>2311</v>
      </c>
      <c r="D250" s="848"/>
      <c r="E250" s="849">
        <f>'NUHM-Non Metro Abst'!N250</f>
        <v>0</v>
      </c>
      <c r="F250" s="849">
        <f>'NUHM-Non Metro Abst'!Q250</f>
        <v>0</v>
      </c>
      <c r="G250" s="849">
        <f>'NUHM Metro Abst'!N250</f>
        <v>0</v>
      </c>
      <c r="H250" s="849">
        <f>'NUHM Metro Abst'!Q250</f>
        <v>0</v>
      </c>
      <c r="I250" s="233">
        <f t="shared" si="8"/>
        <v>0</v>
      </c>
      <c r="J250" s="849">
        <f t="shared" si="9"/>
        <v>0</v>
      </c>
    </row>
    <row r="251" spans="1:10" s="828" customFormat="1" x14ac:dyDescent="0.2">
      <c r="A251" s="879" t="s">
        <v>3952</v>
      </c>
      <c r="B251" s="879" t="s">
        <v>3096</v>
      </c>
      <c r="C251" s="879" t="s">
        <v>3097</v>
      </c>
      <c r="D251" s="879"/>
      <c r="E251" s="692">
        <f>'NUHM-Non Metro Abst'!N251</f>
        <v>0</v>
      </c>
      <c r="F251" s="692">
        <f>'NUHM-Non Metro Abst'!Q251</f>
        <v>0</v>
      </c>
      <c r="G251" s="692">
        <f>'NUHM Metro Abst'!N251</f>
        <v>0</v>
      </c>
      <c r="H251" s="692">
        <f>'NUHM Metro Abst'!Q251</f>
        <v>0</v>
      </c>
      <c r="I251" s="328">
        <f t="shared" si="8"/>
        <v>0</v>
      </c>
      <c r="J251" s="692">
        <f t="shared" si="9"/>
        <v>0</v>
      </c>
    </row>
    <row r="252" spans="1:10" s="828" customFormat="1" x14ac:dyDescent="0.2">
      <c r="A252" s="248" t="s">
        <v>3953</v>
      </c>
      <c r="B252" s="123" t="s">
        <v>3098</v>
      </c>
      <c r="C252" s="123" t="s">
        <v>3099</v>
      </c>
      <c r="D252" s="123" t="s">
        <v>5352</v>
      </c>
      <c r="E252" s="692">
        <f>'NUHM-Non Metro Abst'!N252</f>
        <v>0</v>
      </c>
      <c r="F252" s="692">
        <f>'NUHM-Non Metro Abst'!Q252</f>
        <v>0</v>
      </c>
      <c r="G252" s="692">
        <f>'NUHM Metro Abst'!N252</f>
        <v>0</v>
      </c>
      <c r="H252" s="692">
        <f>'NUHM Metro Abst'!Q252</f>
        <v>0</v>
      </c>
      <c r="I252" s="328">
        <f t="shared" si="8"/>
        <v>0</v>
      </c>
      <c r="J252" s="692">
        <f t="shared" si="9"/>
        <v>0</v>
      </c>
    </row>
    <row r="253" spans="1:10" x14ac:dyDescent="0.2">
      <c r="A253" s="248" t="s">
        <v>3954</v>
      </c>
      <c r="B253" s="103" t="s">
        <v>3100</v>
      </c>
      <c r="C253" s="103" t="s">
        <v>3101</v>
      </c>
      <c r="D253" s="123" t="s">
        <v>5352</v>
      </c>
      <c r="E253" s="692">
        <f>'NUHM-Non Metro Abst'!N253</f>
        <v>0</v>
      </c>
      <c r="F253" s="692">
        <f>'NUHM-Non Metro Abst'!Q253</f>
        <v>0</v>
      </c>
      <c r="G253" s="692">
        <f>'NUHM Metro Abst'!N253</f>
        <v>0</v>
      </c>
      <c r="H253" s="692">
        <f>'NUHM Metro Abst'!Q253</f>
        <v>0</v>
      </c>
      <c r="I253" s="328">
        <f t="shared" si="8"/>
        <v>0</v>
      </c>
      <c r="J253" s="692">
        <f t="shared" si="9"/>
        <v>0</v>
      </c>
    </row>
    <row r="254" spans="1:10" x14ac:dyDescent="0.2">
      <c r="A254" s="248" t="s">
        <v>3955</v>
      </c>
      <c r="B254" s="103"/>
      <c r="C254" s="103" t="s">
        <v>2977</v>
      </c>
      <c r="D254" s="123" t="s">
        <v>5352</v>
      </c>
      <c r="E254" s="692">
        <f>'NUHM-Non Metro Abst'!N254</f>
        <v>0</v>
      </c>
      <c r="F254" s="692">
        <f>'NUHM-Non Metro Abst'!Q254</f>
        <v>0</v>
      </c>
      <c r="G254" s="692">
        <f>'NUHM Metro Abst'!N254</f>
        <v>0</v>
      </c>
      <c r="H254" s="692">
        <f>'NUHM Metro Abst'!Q254</f>
        <v>0</v>
      </c>
      <c r="I254" s="328">
        <f t="shared" si="8"/>
        <v>0</v>
      </c>
      <c r="J254" s="692">
        <f t="shared" si="9"/>
        <v>0</v>
      </c>
    </row>
    <row r="255" spans="1:10" x14ac:dyDescent="0.2">
      <c r="A255" s="840" t="s">
        <v>3292</v>
      </c>
      <c r="B255" s="840"/>
      <c r="C255" s="840" t="s">
        <v>2914</v>
      </c>
      <c r="D255" s="840"/>
      <c r="E255" s="841">
        <f>'NUHM-Non Metro Abst'!N255</f>
        <v>0</v>
      </c>
      <c r="F255" s="841">
        <f>'NUHM-Non Metro Abst'!Q255</f>
        <v>0</v>
      </c>
      <c r="G255" s="841">
        <f>'NUHM Metro Abst'!N255</f>
        <v>0</v>
      </c>
      <c r="H255" s="841">
        <f>'NUHM Metro Abst'!Q255</f>
        <v>0</v>
      </c>
      <c r="I255" s="225">
        <f t="shared" si="8"/>
        <v>0</v>
      </c>
      <c r="J255" s="841">
        <f t="shared" si="9"/>
        <v>0</v>
      </c>
    </row>
    <row r="256" spans="1:10" x14ac:dyDescent="0.2">
      <c r="A256" s="840" t="s">
        <v>3293</v>
      </c>
      <c r="B256" s="840"/>
      <c r="C256" s="840" t="s">
        <v>2916</v>
      </c>
      <c r="D256" s="840"/>
      <c r="E256" s="841">
        <f>'NUHM-Non Metro Abst'!N256</f>
        <v>0</v>
      </c>
      <c r="F256" s="841">
        <f>'NUHM-Non Metro Abst'!Q256</f>
        <v>0</v>
      </c>
      <c r="G256" s="841">
        <f>'NUHM Metro Abst'!N256</f>
        <v>0</v>
      </c>
      <c r="H256" s="841">
        <f>'NUHM Metro Abst'!Q256</f>
        <v>0</v>
      </c>
      <c r="I256" s="225">
        <f t="shared" si="8"/>
        <v>0</v>
      </c>
      <c r="J256" s="841">
        <f t="shared" si="9"/>
        <v>0</v>
      </c>
    </row>
    <row r="257" spans="1:10" x14ac:dyDescent="0.2">
      <c r="A257" s="840" t="s">
        <v>3294</v>
      </c>
      <c r="B257" s="840"/>
      <c r="C257" s="840" t="s">
        <v>41</v>
      </c>
      <c r="D257" s="840"/>
      <c r="E257" s="841">
        <f>'NUHM-Non Metro Abst'!N257</f>
        <v>0</v>
      </c>
      <c r="F257" s="841">
        <f>'NUHM-Non Metro Abst'!Q257</f>
        <v>0</v>
      </c>
      <c r="G257" s="841">
        <f>'NUHM Metro Abst'!N257</f>
        <v>0</v>
      </c>
      <c r="H257" s="841">
        <f>'NUHM Metro Abst'!Q257</f>
        <v>0</v>
      </c>
      <c r="I257" s="225">
        <f t="shared" si="8"/>
        <v>0</v>
      </c>
      <c r="J257" s="841">
        <f t="shared" si="9"/>
        <v>0</v>
      </c>
    </row>
    <row r="258" spans="1:10" x14ac:dyDescent="0.2">
      <c r="A258" s="848" t="s">
        <v>3295</v>
      </c>
      <c r="B258" s="848" t="s">
        <v>3102</v>
      </c>
      <c r="C258" s="848" t="s">
        <v>3103</v>
      </c>
      <c r="D258" s="848"/>
      <c r="E258" s="849">
        <f>'NUHM-Non Metro Abst'!N258</f>
        <v>0</v>
      </c>
      <c r="F258" s="849">
        <f>'NUHM-Non Metro Abst'!Q258</f>
        <v>0</v>
      </c>
      <c r="G258" s="849">
        <f>'NUHM Metro Abst'!N258</f>
        <v>0</v>
      </c>
      <c r="H258" s="849">
        <f>'NUHM Metro Abst'!Q258</f>
        <v>0</v>
      </c>
      <c r="I258" s="233">
        <f t="shared" si="8"/>
        <v>0</v>
      </c>
      <c r="J258" s="849">
        <f t="shared" si="9"/>
        <v>0</v>
      </c>
    </row>
    <row r="259" spans="1:10" x14ac:dyDescent="0.2">
      <c r="A259" s="103" t="s">
        <v>3943</v>
      </c>
      <c r="B259" s="103" t="s">
        <v>3104</v>
      </c>
      <c r="C259" s="103" t="s">
        <v>41</v>
      </c>
      <c r="D259" s="123" t="s">
        <v>5352</v>
      </c>
      <c r="E259" s="692">
        <f>'NUHM-Non Metro Abst'!N259</f>
        <v>0</v>
      </c>
      <c r="F259" s="692">
        <f>'NUHM-Non Metro Abst'!Q259</f>
        <v>0</v>
      </c>
      <c r="G259" s="692">
        <f>'NUHM Metro Abst'!N259</f>
        <v>0</v>
      </c>
      <c r="H259" s="692">
        <f>'NUHM Metro Abst'!Q259</f>
        <v>0</v>
      </c>
      <c r="I259" s="328">
        <f t="shared" si="8"/>
        <v>0</v>
      </c>
      <c r="J259" s="692">
        <f t="shared" si="9"/>
        <v>0</v>
      </c>
    </row>
    <row r="260" spans="1:10" x14ac:dyDescent="0.2">
      <c r="A260" s="123" t="s">
        <v>3944</v>
      </c>
      <c r="B260" s="103" t="s">
        <v>3107</v>
      </c>
      <c r="C260" s="103" t="s">
        <v>3108</v>
      </c>
      <c r="D260" s="123" t="s">
        <v>5352</v>
      </c>
      <c r="E260" s="692">
        <f>'NUHM-Non Metro Abst'!N260</f>
        <v>0</v>
      </c>
      <c r="F260" s="692">
        <f>'NUHM-Non Metro Abst'!Q260</f>
        <v>0</v>
      </c>
      <c r="G260" s="692">
        <f>'NUHM Metro Abst'!N260</f>
        <v>0</v>
      </c>
      <c r="H260" s="692">
        <f>'NUHM Metro Abst'!Q260</f>
        <v>0</v>
      </c>
      <c r="I260" s="328">
        <f t="shared" si="8"/>
        <v>0</v>
      </c>
      <c r="J260" s="692">
        <f t="shared" si="9"/>
        <v>0</v>
      </c>
    </row>
    <row r="261" spans="1:10" x14ac:dyDescent="0.2">
      <c r="A261" s="103" t="s">
        <v>3945</v>
      </c>
      <c r="B261" s="103" t="s">
        <v>3109</v>
      </c>
      <c r="C261" s="103" t="s">
        <v>2977</v>
      </c>
      <c r="D261" s="123" t="s">
        <v>5352</v>
      </c>
      <c r="E261" s="692">
        <f>'NUHM-Non Metro Abst'!N261</f>
        <v>0</v>
      </c>
      <c r="F261" s="692">
        <f>'NUHM-Non Metro Abst'!Q261</f>
        <v>0</v>
      </c>
      <c r="G261" s="692">
        <f>'NUHM Metro Abst'!N261</f>
        <v>0</v>
      </c>
      <c r="H261" s="692">
        <f>'NUHM Metro Abst'!Q261</f>
        <v>0</v>
      </c>
      <c r="I261" s="328">
        <f t="shared" si="8"/>
        <v>0</v>
      </c>
      <c r="J261" s="692">
        <f t="shared" si="9"/>
        <v>0</v>
      </c>
    </row>
    <row r="262" spans="1:10" x14ac:dyDescent="0.2">
      <c r="A262" s="848" t="s">
        <v>3843</v>
      </c>
      <c r="B262" s="848" t="s">
        <v>3110</v>
      </c>
      <c r="C262" s="848" t="s">
        <v>3111</v>
      </c>
      <c r="D262" s="848"/>
      <c r="E262" s="849">
        <f>'NUHM-Non Metro Abst'!N262</f>
        <v>0</v>
      </c>
      <c r="F262" s="849">
        <f>'NUHM-Non Metro Abst'!Q262</f>
        <v>0</v>
      </c>
      <c r="G262" s="849">
        <f>'NUHM Metro Abst'!N262</f>
        <v>0</v>
      </c>
      <c r="H262" s="849">
        <f>'NUHM Metro Abst'!Q262</f>
        <v>0</v>
      </c>
      <c r="I262" s="233">
        <f t="shared" si="8"/>
        <v>0</v>
      </c>
      <c r="J262" s="849">
        <f t="shared" si="9"/>
        <v>0</v>
      </c>
    </row>
    <row r="263" spans="1:10" x14ac:dyDescent="0.2">
      <c r="A263" s="103" t="s">
        <v>3946</v>
      </c>
      <c r="B263" s="103" t="s">
        <v>3112</v>
      </c>
      <c r="C263" s="103" t="s">
        <v>41</v>
      </c>
      <c r="D263" s="123" t="s">
        <v>5352</v>
      </c>
      <c r="E263" s="692">
        <f>'NUHM-Non Metro Abst'!N263</f>
        <v>0</v>
      </c>
      <c r="F263" s="692">
        <f>'NUHM-Non Metro Abst'!Q263</f>
        <v>0</v>
      </c>
      <c r="G263" s="692">
        <f>'NUHM Metro Abst'!N263</f>
        <v>0</v>
      </c>
      <c r="H263" s="692">
        <f>'NUHM Metro Abst'!Q263</f>
        <v>0</v>
      </c>
      <c r="I263" s="328">
        <f t="shared" si="8"/>
        <v>0</v>
      </c>
      <c r="J263" s="692">
        <f t="shared" si="9"/>
        <v>0</v>
      </c>
    </row>
    <row r="264" spans="1:10" x14ac:dyDescent="0.2">
      <c r="A264" s="123" t="s">
        <v>3947</v>
      </c>
      <c r="B264" s="103" t="s">
        <v>3115</v>
      </c>
      <c r="C264" s="103" t="s">
        <v>2977</v>
      </c>
      <c r="D264" s="123" t="s">
        <v>5352</v>
      </c>
      <c r="E264" s="692">
        <f>'NUHM-Non Metro Abst'!N264</f>
        <v>0</v>
      </c>
      <c r="F264" s="692">
        <f>'NUHM-Non Metro Abst'!Q264</f>
        <v>0</v>
      </c>
      <c r="G264" s="692">
        <f>'NUHM Metro Abst'!N264</f>
        <v>0</v>
      </c>
      <c r="H264" s="692">
        <f>'NUHM Metro Abst'!Q264</f>
        <v>0</v>
      </c>
      <c r="I264" s="328">
        <f t="shared" si="8"/>
        <v>0</v>
      </c>
      <c r="J264" s="692">
        <f t="shared" si="9"/>
        <v>0</v>
      </c>
    </row>
    <row r="265" spans="1:10" x14ac:dyDescent="0.2">
      <c r="A265" s="848" t="s">
        <v>3844</v>
      </c>
      <c r="B265" s="848" t="s">
        <v>3116</v>
      </c>
      <c r="C265" s="848" t="s">
        <v>3117</v>
      </c>
      <c r="D265" s="848"/>
      <c r="E265" s="849">
        <f>'NUHM-Non Metro Abst'!N265</f>
        <v>0</v>
      </c>
      <c r="F265" s="849">
        <f>'NUHM-Non Metro Abst'!Q265</f>
        <v>0</v>
      </c>
      <c r="G265" s="849">
        <f>'NUHM Metro Abst'!N265</f>
        <v>0</v>
      </c>
      <c r="H265" s="849">
        <f>'NUHM Metro Abst'!Q265</f>
        <v>0</v>
      </c>
      <c r="I265" s="233">
        <f t="shared" si="8"/>
        <v>0</v>
      </c>
      <c r="J265" s="849">
        <f t="shared" si="9"/>
        <v>0</v>
      </c>
    </row>
    <row r="266" spans="1:10" x14ac:dyDescent="0.2">
      <c r="A266" s="103" t="s">
        <v>3948</v>
      </c>
      <c r="B266" s="103" t="s">
        <v>3118</v>
      </c>
      <c r="C266" s="103" t="s">
        <v>41</v>
      </c>
      <c r="D266" s="123" t="s">
        <v>5352</v>
      </c>
      <c r="E266" s="692">
        <f>'NUHM-Non Metro Abst'!N266</f>
        <v>0</v>
      </c>
      <c r="F266" s="692">
        <f>'NUHM-Non Metro Abst'!Q266</f>
        <v>0</v>
      </c>
      <c r="G266" s="692">
        <f>'NUHM Metro Abst'!N266</f>
        <v>0</v>
      </c>
      <c r="H266" s="692">
        <f>'NUHM Metro Abst'!Q266</f>
        <v>0</v>
      </c>
      <c r="I266" s="328">
        <f t="shared" si="8"/>
        <v>0</v>
      </c>
      <c r="J266" s="692">
        <f t="shared" si="9"/>
        <v>0</v>
      </c>
    </row>
    <row r="267" spans="1:10" x14ac:dyDescent="0.2">
      <c r="A267" s="123" t="s">
        <v>3949</v>
      </c>
      <c r="B267" s="103" t="s">
        <v>3121</v>
      </c>
      <c r="C267" s="103" t="s">
        <v>2977</v>
      </c>
      <c r="D267" s="123" t="s">
        <v>5352</v>
      </c>
      <c r="E267" s="692">
        <f>'NUHM-Non Metro Abst'!N267</f>
        <v>0</v>
      </c>
      <c r="F267" s="692">
        <f>'NUHM-Non Metro Abst'!Q267</f>
        <v>0</v>
      </c>
      <c r="G267" s="692">
        <f>'NUHM Metro Abst'!N267</f>
        <v>0</v>
      </c>
      <c r="H267" s="692">
        <f>'NUHM Metro Abst'!Q267</f>
        <v>0</v>
      </c>
      <c r="I267" s="328">
        <f t="shared" si="8"/>
        <v>0</v>
      </c>
      <c r="J267" s="692">
        <f t="shared" si="9"/>
        <v>0</v>
      </c>
    </row>
    <row r="268" spans="1:10" x14ac:dyDescent="0.2">
      <c r="A268" s="848" t="s">
        <v>3845</v>
      </c>
      <c r="B268" s="848"/>
      <c r="C268" s="848" t="s">
        <v>38</v>
      </c>
      <c r="D268" s="123" t="s">
        <v>5352</v>
      </c>
      <c r="E268" s="849">
        <f>'NUHM-Non Metro Abst'!N268</f>
        <v>0</v>
      </c>
      <c r="F268" s="849">
        <f>'NUHM-Non Metro Abst'!Q268</f>
        <v>0</v>
      </c>
      <c r="G268" s="849">
        <f>'NUHM Metro Abst'!N268</f>
        <v>0</v>
      </c>
      <c r="H268" s="849">
        <f>'NUHM Metro Abst'!Q268</f>
        <v>0</v>
      </c>
      <c r="I268" s="233">
        <f t="shared" si="8"/>
        <v>0</v>
      </c>
      <c r="J268" s="849">
        <f t="shared" si="9"/>
        <v>0</v>
      </c>
    </row>
    <row r="269" spans="1:10" x14ac:dyDescent="0.2">
      <c r="A269" s="848" t="s">
        <v>3950</v>
      </c>
      <c r="B269" s="848"/>
      <c r="C269" s="848" t="s">
        <v>39</v>
      </c>
      <c r="D269" s="123" t="s">
        <v>5352</v>
      </c>
      <c r="E269" s="849">
        <f>'NUHM-Non Metro Abst'!N269</f>
        <v>0</v>
      </c>
      <c r="F269" s="849">
        <f>'NUHM-Non Metro Abst'!Q269</f>
        <v>0</v>
      </c>
      <c r="G269" s="849">
        <f>'NUHM Metro Abst'!N269</f>
        <v>0</v>
      </c>
      <c r="H269" s="849">
        <f>'NUHM Metro Abst'!Q269</f>
        <v>0</v>
      </c>
      <c r="I269" s="233">
        <f t="shared" si="8"/>
        <v>0</v>
      </c>
      <c r="J269" s="849">
        <f t="shared" si="9"/>
        <v>0</v>
      </c>
    </row>
    <row r="270" spans="1:10" x14ac:dyDescent="0.2">
      <c r="A270" s="184" t="s">
        <v>3296</v>
      </c>
      <c r="B270" s="184"/>
      <c r="C270" s="184" t="s">
        <v>3122</v>
      </c>
      <c r="D270" s="184"/>
      <c r="E270" s="838">
        <f>'NUHM-Non Metro Abst'!N270</f>
        <v>231.84</v>
      </c>
      <c r="F270" s="838">
        <f>'NUHM-Non Metro Abst'!Q270</f>
        <v>0</v>
      </c>
      <c r="G270" s="838">
        <f>'NUHM Metro Abst'!N270</f>
        <v>171.50400000000002</v>
      </c>
      <c r="H270" s="838">
        <f>'NUHM Metro Abst'!Q270</f>
        <v>0</v>
      </c>
      <c r="I270" s="224">
        <f t="shared" ref="I270:J274" si="10">E270+G270</f>
        <v>403.34400000000005</v>
      </c>
      <c r="J270" s="838">
        <f t="shared" si="10"/>
        <v>0</v>
      </c>
    </row>
    <row r="271" spans="1:10" ht="30" x14ac:dyDescent="0.2">
      <c r="A271" s="103" t="s">
        <v>3297</v>
      </c>
      <c r="B271" s="870"/>
      <c r="C271" s="502" t="s">
        <v>3933</v>
      </c>
      <c r="D271" s="502" t="s">
        <v>5347</v>
      </c>
      <c r="E271" s="692">
        <f>'NUHM-Non Metro Abst'!N271</f>
        <v>0</v>
      </c>
      <c r="F271" s="692">
        <f>'NUHM-Non Metro Abst'!Q271</f>
        <v>0</v>
      </c>
      <c r="G271" s="692">
        <f>'NUHM Metro Abst'!N271</f>
        <v>0</v>
      </c>
      <c r="H271" s="692">
        <f>'NUHM Metro Abst'!Q271</f>
        <v>0</v>
      </c>
      <c r="I271" s="328">
        <f t="shared" si="10"/>
        <v>0</v>
      </c>
      <c r="J271" s="692">
        <f t="shared" si="10"/>
        <v>0</v>
      </c>
    </row>
    <row r="272" spans="1:10" x14ac:dyDescent="0.2">
      <c r="A272" s="103" t="s">
        <v>3934</v>
      </c>
      <c r="B272" s="870"/>
      <c r="C272" s="103" t="s">
        <v>2977</v>
      </c>
      <c r="D272" s="103" t="s">
        <v>3303</v>
      </c>
      <c r="E272" s="692">
        <f>'NUHM-Non Metro Abst'!N272</f>
        <v>231.84</v>
      </c>
      <c r="F272" s="692">
        <f>'NUHM-Non Metro Abst'!Q272</f>
        <v>0</v>
      </c>
      <c r="G272" s="692">
        <f>'NUHM Metro Abst'!N272</f>
        <v>171.50400000000002</v>
      </c>
      <c r="H272" s="692">
        <f>'NUHM Metro Abst'!Q272</f>
        <v>0</v>
      </c>
      <c r="I272" s="328">
        <f t="shared" si="10"/>
        <v>403.34400000000005</v>
      </c>
      <c r="J272" s="692">
        <f t="shared" si="10"/>
        <v>0</v>
      </c>
    </row>
    <row r="273" spans="1:10" x14ac:dyDescent="0.2">
      <c r="A273" s="184" t="s">
        <v>3298</v>
      </c>
      <c r="B273" s="184"/>
      <c r="C273" s="184" t="s">
        <v>3123</v>
      </c>
      <c r="D273" s="184"/>
      <c r="E273" s="838">
        <f>'NUHM-Non Metro Abst'!N273</f>
        <v>0</v>
      </c>
      <c r="F273" s="838">
        <f>'NUHM-Non Metro Abst'!Q273</f>
        <v>0</v>
      </c>
      <c r="G273" s="838">
        <f>'NUHM Metro Abst'!N273</f>
        <v>0</v>
      </c>
      <c r="H273" s="838">
        <f>'NUHM Metro Abst'!Q273</f>
        <v>0</v>
      </c>
      <c r="I273" s="224">
        <f t="shared" si="10"/>
        <v>0</v>
      </c>
      <c r="J273" s="838">
        <f t="shared" si="10"/>
        <v>0</v>
      </c>
    </row>
    <row r="274" spans="1:10" x14ac:dyDescent="0.2">
      <c r="A274" s="103" t="s">
        <v>3935</v>
      </c>
      <c r="B274" s="870"/>
      <c r="C274" s="870" t="s">
        <v>4408</v>
      </c>
      <c r="D274" s="870" t="s">
        <v>3303</v>
      </c>
      <c r="E274" s="692">
        <f>'NUHM-Non Metro Abst'!N274</f>
        <v>0</v>
      </c>
      <c r="F274" s="692">
        <f>'NUHM-Non Metro Abst'!Q274</f>
        <v>0</v>
      </c>
      <c r="G274" s="692">
        <f>'NUHM Metro Abst'!N274</f>
        <v>0</v>
      </c>
      <c r="H274" s="692">
        <f>'NUHM Metro Abst'!Q274</f>
        <v>0</v>
      </c>
      <c r="I274" s="328">
        <f t="shared" si="10"/>
        <v>0</v>
      </c>
      <c r="J274" s="692">
        <f t="shared" si="10"/>
        <v>0</v>
      </c>
    </row>
  </sheetData>
  <sheetProtection formatCells="0" formatColumns="0" formatRows="0" autoFilter="0"/>
  <autoFilter ref="A6:M274"/>
  <mergeCells count="10">
    <mergeCell ref="A1:J1"/>
    <mergeCell ref="A2:A4"/>
    <mergeCell ref="A5:A6"/>
    <mergeCell ref="E5:F5"/>
    <mergeCell ref="G5:H5"/>
    <mergeCell ref="I5:I6"/>
    <mergeCell ref="J5:J6"/>
    <mergeCell ref="B5:B6"/>
    <mergeCell ref="C5:C6"/>
    <mergeCell ref="D5:D6"/>
  </mergeCells>
  <phoneticPr fontId="57" type="noConversion"/>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BA120"/>
  <sheetViews>
    <sheetView zoomScale="90" zoomScaleNormal="90" zoomScaleSheetLayoutView="90" workbookViewId="0">
      <pane xSplit="5" ySplit="7" topLeftCell="J107" activePane="bottomRight" state="frozen"/>
      <selection pane="topRight" activeCell="F1" sqref="F1"/>
      <selection pane="bottomLeft" activeCell="A8" sqref="A8"/>
      <selection pane="bottomRight" activeCell="R115" sqref="R115"/>
    </sheetView>
  </sheetViews>
  <sheetFormatPr defaultColWidth="9.140625" defaultRowHeight="15" x14ac:dyDescent="0.2"/>
  <cols>
    <col min="1" max="1" width="7.7109375" style="881" customWidth="1"/>
    <col min="2" max="2" width="7.85546875" style="881" customWidth="1"/>
    <col min="3" max="3" width="40.5703125" style="881" customWidth="1"/>
    <col min="4" max="4" width="9.140625" style="835" customWidth="1"/>
    <col min="5" max="5" width="16.28515625" style="835" customWidth="1"/>
    <col min="6" max="6" width="15.140625" style="835" customWidth="1"/>
    <col min="7" max="7" width="21.140625" style="835" customWidth="1"/>
    <col min="8" max="8" width="15.140625" style="835" customWidth="1"/>
    <col min="9" max="9" width="14.5703125" style="835" customWidth="1"/>
    <col min="10" max="10" width="18.5703125" style="835" customWidth="1"/>
    <col min="11" max="11" width="23.28515625" style="835" customWidth="1"/>
    <col min="12" max="12" width="13" style="835" customWidth="1"/>
    <col min="13" max="13" width="13.85546875" style="956" customWidth="1"/>
    <col min="14" max="14" width="12.85546875" style="835" customWidth="1"/>
    <col min="15" max="15" width="17.140625" style="956" bestFit="1" customWidth="1"/>
    <col min="16" max="16" width="38.140625" style="881" customWidth="1"/>
    <col min="17" max="17" width="34.5703125" style="881" customWidth="1"/>
    <col min="18" max="18" width="12.85546875" style="957" customWidth="1"/>
    <col min="19" max="19" width="11" style="919" bestFit="1" customWidth="1"/>
    <col min="20" max="20" width="12.140625" style="919" bestFit="1" customWidth="1"/>
    <col min="21" max="21" width="9.85546875" style="919" customWidth="1"/>
    <col min="22" max="22" width="12.5703125" style="919" bestFit="1" customWidth="1"/>
    <col min="23" max="23" width="8.5703125" style="919" bestFit="1" customWidth="1"/>
    <col min="24" max="24" width="8.7109375" style="919" bestFit="1" customWidth="1"/>
    <col min="25" max="25" width="10.85546875" style="919" bestFit="1" customWidth="1"/>
    <col min="26" max="26" width="11" style="919" bestFit="1" customWidth="1"/>
    <col min="27" max="27" width="11.42578125" style="919" bestFit="1" customWidth="1"/>
    <col min="28" max="29" width="11.85546875" style="919" bestFit="1" customWidth="1"/>
    <col min="30" max="30" width="12.5703125" style="919" bestFit="1" customWidth="1"/>
    <col min="31" max="31" width="18.140625" style="919" bestFit="1" customWidth="1"/>
    <col min="32" max="32" width="18.42578125" style="919" customWidth="1"/>
    <col min="33" max="33" width="9.140625" style="919"/>
    <col min="34" max="34" width="10.42578125" style="919" bestFit="1" customWidth="1"/>
    <col min="35" max="35" width="10.42578125" style="919" customWidth="1"/>
    <col min="36" max="39" width="9.140625" style="919"/>
    <col min="40" max="40" width="7.85546875" style="919" bestFit="1" customWidth="1"/>
    <col min="41" max="41" width="12.5703125" style="919" bestFit="1" customWidth="1"/>
    <col min="42" max="42" width="8.5703125" style="919" bestFit="1" customWidth="1"/>
    <col min="43" max="43" width="8.7109375" style="919" bestFit="1" customWidth="1"/>
    <col min="44" max="44" width="10.85546875" style="919" bestFit="1" customWidth="1"/>
    <col min="45" max="45" width="9.140625" style="919" customWidth="1"/>
    <col min="46" max="46" width="8.7109375" style="919" bestFit="1" customWidth="1"/>
    <col min="47" max="47" width="9.140625" style="919" customWidth="1"/>
    <col min="48" max="48" width="9.5703125" style="919" bestFit="1" customWidth="1"/>
    <col min="49" max="49" width="10.85546875" style="919" bestFit="1" customWidth="1"/>
    <col min="50" max="50" width="9.140625" style="919"/>
    <col min="51" max="51" width="12.5703125" style="919" bestFit="1" customWidth="1"/>
    <col min="52" max="52" width="11.42578125" style="919" bestFit="1" customWidth="1"/>
    <col min="53" max="53" width="12.85546875" style="919" bestFit="1" customWidth="1"/>
    <col min="54" max="54" width="11.42578125" style="919" bestFit="1" customWidth="1"/>
    <col min="55" max="16384" width="9.140625" style="919"/>
  </cols>
  <sheetData>
    <row r="1" spans="1:53" s="826" customFormat="1" x14ac:dyDescent="0.2">
      <c r="A1" s="3821" t="s">
        <v>1952</v>
      </c>
      <c r="B1" s="3821"/>
      <c r="C1" s="3821"/>
      <c r="D1" s="883"/>
      <c r="E1" s="3825" t="s">
        <v>4719</v>
      </c>
      <c r="F1" s="3824" t="s">
        <v>4717</v>
      </c>
      <c r="G1" s="3824"/>
      <c r="H1" s="3824"/>
      <c r="I1" s="3824"/>
      <c r="J1" s="3824"/>
      <c r="K1" s="3824"/>
      <c r="L1" s="3824"/>
      <c r="M1" s="3824"/>
      <c r="N1" s="3824"/>
      <c r="O1" s="3830" t="s">
        <v>70</v>
      </c>
      <c r="P1" s="3831"/>
      <c r="Q1" s="3831"/>
      <c r="R1" s="3831"/>
      <c r="S1" s="3831"/>
      <c r="T1" s="3831"/>
      <c r="U1" s="3831"/>
      <c r="V1" s="3831"/>
      <c r="W1" s="3831"/>
      <c r="X1" s="3831"/>
      <c r="Y1" s="3831"/>
      <c r="Z1" s="3831"/>
      <c r="AA1" s="3831"/>
      <c r="AB1" s="3831"/>
      <c r="AC1" s="3831"/>
      <c r="AD1" s="3831"/>
      <c r="AE1" s="3831"/>
      <c r="AF1" s="3831"/>
      <c r="AG1" s="3831"/>
      <c r="AH1" s="3832"/>
      <c r="AI1" s="3827" t="s">
        <v>4366</v>
      </c>
      <c r="AJ1" s="3828"/>
      <c r="AK1" s="3828"/>
      <c r="AL1" s="3828"/>
      <c r="AM1" s="3828"/>
      <c r="AN1" s="3828"/>
      <c r="AO1" s="3829"/>
      <c r="AP1" s="3820" t="s">
        <v>85</v>
      </c>
      <c r="AQ1" s="3820"/>
      <c r="AR1" s="3820"/>
      <c r="AS1" s="3820"/>
      <c r="AT1" s="3820"/>
      <c r="AU1" s="3820"/>
      <c r="AV1" s="3820"/>
      <c r="AW1" s="3820"/>
      <c r="AX1" s="3820"/>
      <c r="AY1" s="3820"/>
      <c r="AZ1" s="3820"/>
      <c r="BA1" s="3820"/>
    </row>
    <row r="2" spans="1:53" s="836" customFormat="1" ht="30" x14ac:dyDescent="0.2">
      <c r="A2" s="3811" t="str">
        <f>HYPERLINK("#Index!A4", "Index Pg")</f>
        <v>Index Pg</v>
      </c>
      <c r="D2" s="877"/>
      <c r="E2" s="3825"/>
      <c r="F2" s="884" t="s">
        <v>118</v>
      </c>
      <c r="G2" s="884" t="s">
        <v>131</v>
      </c>
      <c r="H2" s="884" t="s">
        <v>91</v>
      </c>
      <c r="I2" s="884" t="s">
        <v>4715</v>
      </c>
      <c r="J2" s="884" t="s">
        <v>96</v>
      </c>
      <c r="K2" s="884" t="s">
        <v>4071</v>
      </c>
      <c r="L2" s="885" t="s">
        <v>4716</v>
      </c>
      <c r="M2" s="884" t="s">
        <v>4720</v>
      </c>
      <c r="N2" s="885" t="s">
        <v>208</v>
      </c>
      <c r="O2" s="886" t="s">
        <v>4365</v>
      </c>
      <c r="P2" s="887" t="s">
        <v>3855</v>
      </c>
      <c r="Q2" s="887" t="s">
        <v>4729</v>
      </c>
      <c r="R2" s="887" t="s">
        <v>4726</v>
      </c>
      <c r="S2" s="887"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307</v>
      </c>
      <c r="AI2" s="888" t="s">
        <v>293</v>
      </c>
      <c r="AJ2" s="888" t="s">
        <v>114</v>
      </c>
      <c r="AK2" s="888" t="s">
        <v>146</v>
      </c>
      <c r="AL2" s="888" t="s">
        <v>4683</v>
      </c>
      <c r="AM2" s="888" t="s">
        <v>3323</v>
      </c>
      <c r="AN2" s="888" t="s">
        <v>3993</v>
      </c>
      <c r="AO2" s="888" t="s">
        <v>4553</v>
      </c>
      <c r="AP2" s="889" t="s">
        <v>86</v>
      </c>
      <c r="AQ2" s="889" t="s">
        <v>150</v>
      </c>
      <c r="AR2" s="889" t="s">
        <v>399</v>
      </c>
      <c r="AS2" s="889" t="s">
        <v>152</v>
      </c>
      <c r="AT2" s="889" t="s">
        <v>415</v>
      </c>
      <c r="AU2" s="889" t="s">
        <v>4607</v>
      </c>
      <c r="AV2" s="889" t="s">
        <v>4132</v>
      </c>
      <c r="AW2" s="890" t="s">
        <v>312</v>
      </c>
      <c r="AX2" s="891" t="s">
        <v>314</v>
      </c>
      <c r="AY2" s="891" t="s">
        <v>1034</v>
      </c>
      <c r="AZ2" s="891" t="s">
        <v>1020</v>
      </c>
      <c r="BA2" s="891" t="s">
        <v>4718</v>
      </c>
    </row>
    <row r="3" spans="1:53" s="895" customFormat="1" x14ac:dyDescent="0.2">
      <c r="A3" s="3812"/>
      <c r="B3" s="892" t="str">
        <f>HYPERLINK("#'Budget Summary I'!A1:AL1", "Budget Summary I")</f>
        <v>Budget Summary I</v>
      </c>
      <c r="C3" s="832" t="s">
        <v>4608</v>
      </c>
      <c r="D3" s="893"/>
      <c r="E3" s="893">
        <f>R7</f>
        <v>0</v>
      </c>
      <c r="F3" s="893">
        <f>R10+R11+R12+R13+R14+R15+R62+R64+R65+R66</f>
        <v>0</v>
      </c>
      <c r="G3" s="893">
        <f>R85+R86+R87+R88+R89+R97+R98+R99</f>
        <v>0</v>
      </c>
      <c r="H3" s="893">
        <f>R23+R24+R26+R27+R28+R69+R70+R72+R73+R74+R75+R76+R77</f>
        <v>0</v>
      </c>
      <c r="I3" s="893">
        <f>R30+R31+R90+R107</f>
        <v>0</v>
      </c>
      <c r="J3" s="893">
        <f>R17+R18+R19+R91+R20</f>
        <v>0</v>
      </c>
      <c r="K3" s="893"/>
      <c r="L3" s="893">
        <f>R113</f>
        <v>0</v>
      </c>
      <c r="M3" s="893">
        <f>R52+R53+R57</f>
        <v>0</v>
      </c>
      <c r="N3" s="893"/>
      <c r="O3" s="894">
        <f>R56</f>
        <v>0</v>
      </c>
      <c r="P3" s="893"/>
      <c r="Q3" s="893"/>
      <c r="R3" s="893"/>
      <c r="S3" s="893"/>
      <c r="T3" s="893"/>
      <c r="U3" s="893"/>
      <c r="V3" s="893"/>
      <c r="W3" s="893"/>
      <c r="X3" s="893"/>
      <c r="Y3" s="893"/>
      <c r="Z3" s="893"/>
      <c r="AA3" s="893"/>
      <c r="AB3" s="893"/>
      <c r="AC3" s="893"/>
      <c r="AD3" s="893"/>
      <c r="AE3" s="893"/>
      <c r="AF3" s="893">
        <f>R54+R58</f>
        <v>0</v>
      </c>
      <c r="AG3" s="893"/>
      <c r="AH3" s="893">
        <f>R40+R50+R55+R59+R82+R108+R110+R115</f>
        <v>0</v>
      </c>
      <c r="AI3" s="894"/>
      <c r="AJ3" s="893">
        <f>R33+R34+R35+R81</f>
        <v>0</v>
      </c>
      <c r="AK3" s="894">
        <f>R36+R37+R38+R79</f>
        <v>0</v>
      </c>
      <c r="AL3" s="894">
        <f>R39+R80+R96</f>
        <v>0</v>
      </c>
      <c r="AM3" s="894">
        <f>R100+R102+R103+R105+R106</f>
        <v>0</v>
      </c>
      <c r="AN3" s="894"/>
      <c r="AO3" s="894"/>
      <c r="AP3" s="894"/>
      <c r="AQ3" s="894"/>
      <c r="AR3" s="893"/>
      <c r="AS3" s="893"/>
      <c r="AT3" s="893">
        <f>R42+R43+R92+R93+R94+R95</f>
        <v>0</v>
      </c>
      <c r="AU3" s="893">
        <f>R47+R48+R49</f>
        <v>0</v>
      </c>
      <c r="AV3" s="893"/>
      <c r="AW3" s="893"/>
      <c r="AX3" s="893">
        <f>R114</f>
        <v>0</v>
      </c>
      <c r="AY3" s="893">
        <f>R44+R45+R111+R112</f>
        <v>0</v>
      </c>
      <c r="AZ3" s="893"/>
      <c r="BA3" s="893"/>
    </row>
    <row r="4" spans="1:53" s="895" customFormat="1" x14ac:dyDescent="0.25">
      <c r="A4" s="3813"/>
      <c r="B4" s="831" t="str">
        <f>HYPERLINK("#'Budget Summary II'!A3:B5", "Budget Summary II")</f>
        <v>Budget Summary II</v>
      </c>
      <c r="C4" s="832" t="s">
        <v>4609</v>
      </c>
      <c r="D4" s="893"/>
      <c r="E4" s="893">
        <f>O7</f>
        <v>0</v>
      </c>
      <c r="F4" s="893">
        <f>O10+O11+O12+O13+O14+O15+O62+O64+O65+O66</f>
        <v>0</v>
      </c>
      <c r="G4" s="893">
        <f>O85+O86+O87+O88+O89+O97+O98+O99</f>
        <v>0</v>
      </c>
      <c r="H4" s="893">
        <f>O23+O24+O26+O27+O28+O69+O70+O72+O73+O74+O75+O76+O77</f>
        <v>0</v>
      </c>
      <c r="I4" s="893">
        <f>O30+O31+O90+O107</f>
        <v>0</v>
      </c>
      <c r="J4" s="893">
        <f>O17+O18+O19+O91+O20</f>
        <v>0</v>
      </c>
      <c r="K4" s="893"/>
      <c r="L4" s="893">
        <f>O113</f>
        <v>0</v>
      </c>
      <c r="M4" s="893">
        <f>O52+O53+O57</f>
        <v>0</v>
      </c>
      <c r="N4" s="893"/>
      <c r="O4" s="894">
        <f>O56</f>
        <v>0</v>
      </c>
      <c r="P4" s="893"/>
      <c r="Q4" s="893"/>
      <c r="R4" s="893"/>
      <c r="S4" s="893"/>
      <c r="T4" s="893"/>
      <c r="U4" s="893"/>
      <c r="V4" s="893"/>
      <c r="W4" s="893"/>
      <c r="X4" s="893"/>
      <c r="Y4" s="893"/>
      <c r="Z4" s="893"/>
      <c r="AA4" s="893"/>
      <c r="AB4" s="893"/>
      <c r="AC4" s="893"/>
      <c r="AD4" s="893"/>
      <c r="AE4" s="893"/>
      <c r="AF4" s="893">
        <f>O54+O58</f>
        <v>0</v>
      </c>
      <c r="AG4" s="893"/>
      <c r="AH4" s="893">
        <f>O40+O50+O55+O59+O82+O108+O110+O115</f>
        <v>0</v>
      </c>
      <c r="AI4" s="894"/>
      <c r="AJ4" s="893">
        <f>O33+O34+O35+O81</f>
        <v>0</v>
      </c>
      <c r="AK4" s="894">
        <f>O36+O37+O38+O79</f>
        <v>0</v>
      </c>
      <c r="AL4" s="894">
        <f>O39+O80+O96</f>
        <v>0</v>
      </c>
      <c r="AM4" s="894">
        <f>O100+O102+O103+O105+O106</f>
        <v>0</v>
      </c>
      <c r="AN4" s="894"/>
      <c r="AO4" s="894"/>
      <c r="AP4" s="894"/>
      <c r="AQ4" s="894"/>
      <c r="AR4" s="893"/>
      <c r="AS4" s="893"/>
      <c r="AT4" s="893">
        <f>O42+O43+O92+O93+O94+O95</f>
        <v>0</v>
      </c>
      <c r="AU4" s="893">
        <f>O47+O48+O49</f>
        <v>0</v>
      </c>
      <c r="AV4" s="893"/>
      <c r="AW4" s="893"/>
      <c r="AX4" s="893">
        <f>O114</f>
        <v>0</v>
      </c>
      <c r="AY4" s="893">
        <f>O44+O45+O111+O112</f>
        <v>0</v>
      </c>
      <c r="AZ4" s="893"/>
      <c r="BA4" s="893"/>
    </row>
    <row r="5" spans="1:53" s="835" customFormat="1" x14ac:dyDescent="0.2">
      <c r="A5" s="3823" t="s">
        <v>53</v>
      </c>
      <c r="B5" s="3823" t="s">
        <v>54</v>
      </c>
      <c r="C5" s="3823" t="s">
        <v>55</v>
      </c>
      <c r="D5" s="3823" t="s">
        <v>56</v>
      </c>
      <c r="E5" s="3823" t="s">
        <v>57</v>
      </c>
      <c r="F5" s="3822" t="s">
        <v>4629</v>
      </c>
      <c r="G5" s="3822"/>
      <c r="H5" s="3822"/>
      <c r="I5" s="3822"/>
      <c r="J5" s="3822"/>
      <c r="K5" s="3822" t="s">
        <v>4640</v>
      </c>
      <c r="L5" s="3822"/>
      <c r="M5" s="3822"/>
      <c r="N5" s="3822"/>
      <c r="O5" s="3822"/>
      <c r="P5" s="3822"/>
      <c r="Q5" s="3826" t="s">
        <v>4670</v>
      </c>
      <c r="R5" s="3826"/>
    </row>
    <row r="6" spans="1:53" s="901" customFormat="1" ht="45" x14ac:dyDescent="0.2">
      <c r="A6" s="3823"/>
      <c r="B6" s="3823"/>
      <c r="C6" s="3823"/>
      <c r="D6" s="3823"/>
      <c r="E6" s="3823"/>
      <c r="F6" s="896" t="s">
        <v>4630</v>
      </c>
      <c r="G6" s="896" t="s">
        <v>4638</v>
      </c>
      <c r="H6" s="896" t="s">
        <v>4631</v>
      </c>
      <c r="I6" s="896" t="s">
        <v>4639</v>
      </c>
      <c r="J6" s="896" t="s">
        <v>2538</v>
      </c>
      <c r="K6" s="897" t="s">
        <v>58</v>
      </c>
      <c r="L6" s="897" t="s">
        <v>59</v>
      </c>
      <c r="M6" s="898" t="s">
        <v>60</v>
      </c>
      <c r="N6" s="897" t="s">
        <v>61</v>
      </c>
      <c r="O6" s="898" t="s">
        <v>62</v>
      </c>
      <c r="P6" s="897" t="s">
        <v>5547</v>
      </c>
      <c r="Q6" s="899" t="s">
        <v>2540</v>
      </c>
      <c r="R6" s="900" t="s">
        <v>4671</v>
      </c>
      <c r="S6" s="3446" t="s">
        <v>4724</v>
      </c>
    </row>
    <row r="7" spans="1:53" s="905" customFormat="1" x14ac:dyDescent="0.2">
      <c r="A7" s="184">
        <v>1</v>
      </c>
      <c r="B7" s="902"/>
      <c r="C7" s="184" t="s">
        <v>4</v>
      </c>
      <c r="D7" s="903"/>
      <c r="E7" s="904"/>
      <c r="F7" s="904"/>
      <c r="G7" s="904"/>
      <c r="H7" s="176">
        <f>H8+H60+H83</f>
        <v>0</v>
      </c>
      <c r="I7" s="176">
        <f>I8+I60+I83</f>
        <v>0</v>
      </c>
      <c r="J7" s="176">
        <f>J8+J60+J83</f>
        <v>0</v>
      </c>
      <c r="K7" s="903"/>
      <c r="L7" s="903"/>
      <c r="M7" s="176"/>
      <c r="N7" s="903"/>
      <c r="O7" s="176">
        <f>O8+O60+O83</f>
        <v>0</v>
      </c>
      <c r="P7" s="184"/>
      <c r="Q7" s="184"/>
      <c r="R7" s="224">
        <f>R8+R60+R83</f>
        <v>0</v>
      </c>
      <c r="S7" s="905">
        <f>SUM(S10:S115)</f>
        <v>3.16</v>
      </c>
    </row>
    <row r="8" spans="1:53" s="905" customFormat="1" x14ac:dyDescent="0.2">
      <c r="A8" s="840">
        <v>1.1000000000000001</v>
      </c>
      <c r="B8" s="906"/>
      <c r="C8" s="99" t="s">
        <v>5</v>
      </c>
      <c r="D8" s="907"/>
      <c r="E8" s="908"/>
      <c r="F8" s="909"/>
      <c r="G8" s="909"/>
      <c r="H8" s="528">
        <f>H9+H16+H21+H29+H32+H41+H51</f>
        <v>0</v>
      </c>
      <c r="I8" s="528">
        <f>I9+I16+I21+I29+I32+I41+I51</f>
        <v>0</v>
      </c>
      <c r="J8" s="528">
        <f>J9+J16+J21+J29+J32+J41+J51</f>
        <v>0</v>
      </c>
      <c r="K8" s="910"/>
      <c r="L8" s="910"/>
      <c r="M8" s="911"/>
      <c r="N8" s="912"/>
      <c r="O8" s="528">
        <f>O9+O16+O21+O29+O32+O41+O51</f>
        <v>0</v>
      </c>
      <c r="P8" s="186"/>
      <c r="Q8" s="186"/>
      <c r="R8" s="225">
        <f>R9+R16+R21+R29+R32+R41+R51</f>
        <v>0</v>
      </c>
    </row>
    <row r="9" spans="1:53" x14ac:dyDescent="0.2">
      <c r="A9" s="913" t="s">
        <v>1953</v>
      </c>
      <c r="B9" s="914"/>
      <c r="C9" s="100" t="s">
        <v>4352</v>
      </c>
      <c r="D9" s="915"/>
      <c r="E9" s="916"/>
      <c r="F9" s="917"/>
      <c r="G9" s="917"/>
      <c r="H9" s="918">
        <f>SUM(H10:H15)</f>
        <v>0</v>
      </c>
      <c r="I9" s="918">
        <f>SUM(I10:I15)</f>
        <v>0</v>
      </c>
      <c r="J9" s="918">
        <f>SUM(J10:J15)</f>
        <v>0</v>
      </c>
      <c r="K9" s="915"/>
      <c r="L9" s="916"/>
      <c r="M9" s="918"/>
      <c r="N9" s="917"/>
      <c r="O9" s="918">
        <f>SUM(O10:O15)</f>
        <v>0</v>
      </c>
      <c r="P9" s="100"/>
      <c r="Q9" s="100"/>
      <c r="R9" s="226">
        <f>SUM(R10:R15)</f>
        <v>0</v>
      </c>
    </row>
    <row r="10" spans="1:53" x14ac:dyDescent="0.2">
      <c r="A10" s="123" t="s">
        <v>1954</v>
      </c>
      <c r="B10" s="920" t="s">
        <v>1955</v>
      </c>
      <c r="C10" s="920" t="s">
        <v>1956</v>
      </c>
      <c r="D10" s="921" t="s">
        <v>90</v>
      </c>
      <c r="E10" s="922" t="s">
        <v>118</v>
      </c>
      <c r="F10" s="2235"/>
      <c r="G10" s="2236"/>
      <c r="H10" s="2237"/>
      <c r="I10" s="2237"/>
      <c r="J10" s="2238"/>
      <c r="K10" s="2239"/>
      <c r="L10" s="2238"/>
      <c r="M10" s="210"/>
      <c r="N10" s="2238"/>
      <c r="O10" s="210">
        <f>M10*N10</f>
        <v>0</v>
      </c>
      <c r="P10" s="2246"/>
      <c r="Q10" s="103">
        <f>'Ab1. RMNCH+A'!Q8</f>
        <v>0</v>
      </c>
      <c r="R10" s="675">
        <f>'Ab1. RMNCH+A'!R8</f>
        <v>0</v>
      </c>
      <c r="S10" s="919">
        <v>3.16</v>
      </c>
    </row>
    <row r="11" spans="1:53" ht="45" x14ac:dyDescent="0.2">
      <c r="A11" s="123" t="s">
        <v>1957</v>
      </c>
      <c r="B11" s="920" t="s">
        <v>1958</v>
      </c>
      <c r="C11" s="920" t="s">
        <v>4081</v>
      </c>
      <c r="D11" s="921" t="s">
        <v>90</v>
      </c>
      <c r="E11" s="922" t="s">
        <v>118</v>
      </c>
      <c r="F11" s="2239"/>
      <c r="G11" s="2240"/>
      <c r="H11" s="2241"/>
      <c r="I11" s="2239"/>
      <c r="J11" s="2239"/>
      <c r="K11" s="2239"/>
      <c r="L11" s="2239"/>
      <c r="M11" s="210"/>
      <c r="N11" s="2239"/>
      <c r="O11" s="210">
        <f>N11*M11</f>
        <v>0</v>
      </c>
      <c r="P11" s="2247"/>
      <c r="Q11" s="103">
        <f>'Ab1. RMNCH+A'!Q9</f>
        <v>0</v>
      </c>
      <c r="R11" s="675">
        <f>'Ab1. RMNCH+A'!R9</f>
        <v>0</v>
      </c>
    </row>
    <row r="12" spans="1:53" x14ac:dyDescent="0.2">
      <c r="A12" s="123" t="s">
        <v>1959</v>
      </c>
      <c r="B12" s="920" t="s">
        <v>1960</v>
      </c>
      <c r="C12" s="920" t="s">
        <v>1961</v>
      </c>
      <c r="D12" s="921" t="s">
        <v>90</v>
      </c>
      <c r="E12" s="922" t="s">
        <v>118</v>
      </c>
      <c r="F12" s="2242"/>
      <c r="G12" s="2243"/>
      <c r="H12" s="2244"/>
      <c r="I12" s="2244"/>
      <c r="J12" s="2239"/>
      <c r="K12" s="2245"/>
      <c r="L12" s="2242"/>
      <c r="M12" s="210"/>
      <c r="N12" s="2242"/>
      <c r="O12" s="210">
        <f>N12*M12</f>
        <v>0</v>
      </c>
      <c r="P12" s="2248"/>
      <c r="Q12" s="103">
        <f>'Ab1. RMNCH+A'!Q10</f>
        <v>0</v>
      </c>
      <c r="R12" s="675">
        <f>'Ab1. RMNCH+A'!R10</f>
        <v>0</v>
      </c>
    </row>
    <row r="13" spans="1:53" ht="90" x14ac:dyDescent="0.2">
      <c r="A13" s="123" t="s">
        <v>1962</v>
      </c>
      <c r="B13" s="920" t="s">
        <v>1963</v>
      </c>
      <c r="C13" s="920" t="s">
        <v>4082</v>
      </c>
      <c r="D13" s="921" t="s">
        <v>90</v>
      </c>
      <c r="E13" s="924" t="s">
        <v>5380</v>
      </c>
      <c r="F13" s="2239"/>
      <c r="G13" s="2240"/>
      <c r="H13" s="2239"/>
      <c r="I13" s="2239"/>
      <c r="J13" s="2239"/>
      <c r="K13" s="2239"/>
      <c r="L13" s="2239"/>
      <c r="M13" s="210"/>
      <c r="N13" s="2239"/>
      <c r="O13" s="210">
        <f>N13*M13</f>
        <v>0</v>
      </c>
      <c r="P13" s="2246"/>
      <c r="Q13" s="103">
        <f>'Ab1. RMNCH+A'!Q11</f>
        <v>0</v>
      </c>
      <c r="R13" s="675">
        <f>'Ab1. RMNCH+A'!R11</f>
        <v>0</v>
      </c>
    </row>
    <row r="14" spans="1:53" x14ac:dyDescent="0.2">
      <c r="A14" s="123" t="s">
        <v>1964</v>
      </c>
      <c r="B14" s="925"/>
      <c r="C14" s="920" t="s">
        <v>2456</v>
      </c>
      <c r="D14" s="921" t="s">
        <v>90</v>
      </c>
      <c r="E14" s="922" t="s">
        <v>118</v>
      </c>
      <c r="F14" s="2239"/>
      <c r="G14" s="2240"/>
      <c r="H14" s="2241"/>
      <c r="I14" s="2239"/>
      <c r="J14" s="2239"/>
      <c r="K14" s="2239"/>
      <c r="L14" s="2239"/>
      <c r="M14" s="210"/>
      <c r="N14" s="2239"/>
      <c r="O14" s="210">
        <f>N14*M14</f>
        <v>0</v>
      </c>
      <c r="P14" s="2859"/>
      <c r="Q14" s="103">
        <f>'Ab1. RMNCH+A'!Q12</f>
        <v>0</v>
      </c>
      <c r="R14" s="675">
        <f>'Ab1. RMNCH+A'!R12</f>
        <v>0</v>
      </c>
    </row>
    <row r="15" spans="1:53" x14ac:dyDescent="0.2">
      <c r="A15" s="123" t="s">
        <v>2401</v>
      </c>
      <c r="B15" s="123"/>
      <c r="C15" s="103" t="s">
        <v>1310</v>
      </c>
      <c r="D15" s="926" t="s">
        <v>90</v>
      </c>
      <c r="E15" s="174" t="s">
        <v>118</v>
      </c>
      <c r="F15" s="2239"/>
      <c r="G15" s="2240"/>
      <c r="H15" s="2239"/>
      <c r="I15" s="2239"/>
      <c r="J15" s="2239"/>
      <c r="K15" s="2239"/>
      <c r="L15" s="2239"/>
      <c r="M15" s="210"/>
      <c r="N15" s="2239"/>
      <c r="O15" s="210">
        <f>N15*M15</f>
        <v>0</v>
      </c>
      <c r="P15" s="2246"/>
      <c r="Q15" s="123">
        <f>'Ab1. RMNCH+A'!Q13</f>
        <v>0</v>
      </c>
      <c r="R15" s="675">
        <f>'Ab1. RMNCH+A'!R13</f>
        <v>0</v>
      </c>
    </row>
    <row r="16" spans="1:53" x14ac:dyDescent="0.2">
      <c r="A16" s="913" t="s">
        <v>1965</v>
      </c>
      <c r="B16" s="914"/>
      <c r="C16" s="100" t="s">
        <v>1966</v>
      </c>
      <c r="D16" s="915"/>
      <c r="E16" s="916"/>
      <c r="F16" s="164"/>
      <c r="G16" s="164"/>
      <c r="H16" s="927"/>
      <c r="I16" s="927"/>
      <c r="J16" s="927"/>
      <c r="K16" s="165"/>
      <c r="L16" s="209"/>
      <c r="M16" s="927"/>
      <c r="N16" s="212"/>
      <c r="O16" s="927">
        <f>SUM(O17:O20)</f>
        <v>0</v>
      </c>
      <c r="P16" s="110"/>
      <c r="Q16" s="100"/>
      <c r="R16" s="226">
        <f>SUM(R17:R20)</f>
        <v>0</v>
      </c>
    </row>
    <row r="17" spans="1:18" ht="75" x14ac:dyDescent="0.2">
      <c r="A17" s="123" t="s">
        <v>1967</v>
      </c>
      <c r="B17" s="920" t="s">
        <v>136</v>
      </c>
      <c r="C17" s="920" t="s">
        <v>137</v>
      </c>
      <c r="D17" s="921" t="s">
        <v>90</v>
      </c>
      <c r="E17" s="922" t="s">
        <v>96</v>
      </c>
      <c r="F17" s="2239"/>
      <c r="G17" s="2249"/>
      <c r="H17" s="2244"/>
      <c r="I17" s="2244"/>
      <c r="J17" s="2239"/>
      <c r="K17" s="2239"/>
      <c r="L17" s="2239"/>
      <c r="M17" s="210"/>
      <c r="N17" s="2239"/>
      <c r="O17" s="210">
        <f>N17*M17</f>
        <v>0</v>
      </c>
      <c r="P17" s="2251"/>
      <c r="Q17" s="103">
        <f>'Ab1. RMNCH+A'!Q343</f>
        <v>0</v>
      </c>
      <c r="R17" s="675">
        <f>'Ab1. RMNCH+A'!R343</f>
        <v>0</v>
      </c>
    </row>
    <row r="18" spans="1:18" ht="105" x14ac:dyDescent="0.2">
      <c r="A18" s="123" t="s">
        <v>1968</v>
      </c>
      <c r="B18" s="920" t="s">
        <v>138</v>
      </c>
      <c r="C18" s="920" t="s">
        <v>4083</v>
      </c>
      <c r="D18" s="921" t="s">
        <v>90</v>
      </c>
      <c r="E18" s="922" t="s">
        <v>96</v>
      </c>
      <c r="F18" s="2239"/>
      <c r="G18" s="2249"/>
      <c r="H18" s="2244"/>
      <c r="I18" s="2244"/>
      <c r="J18" s="2239"/>
      <c r="K18" s="2239"/>
      <c r="L18" s="2239"/>
      <c r="M18" s="210"/>
      <c r="N18" s="2239"/>
      <c r="O18" s="210">
        <f>N18*M18</f>
        <v>0</v>
      </c>
      <c r="P18" s="2251"/>
      <c r="Q18" s="103">
        <f>'Ab1. RMNCH+A'!Q344</f>
        <v>0</v>
      </c>
      <c r="R18" s="675">
        <f>'Ab1. RMNCH+A'!R344</f>
        <v>0</v>
      </c>
    </row>
    <row r="19" spans="1:18" ht="45" x14ac:dyDescent="0.2">
      <c r="A19" s="123" t="s">
        <v>1969</v>
      </c>
      <c r="B19" s="103" t="s">
        <v>405</v>
      </c>
      <c r="C19" s="103" t="s">
        <v>406</v>
      </c>
      <c r="D19" s="926" t="s">
        <v>90</v>
      </c>
      <c r="E19" s="174" t="s">
        <v>96</v>
      </c>
      <c r="F19" s="2239"/>
      <c r="G19" s="2243"/>
      <c r="H19" s="2244"/>
      <c r="I19" s="2244"/>
      <c r="J19" s="2250"/>
      <c r="K19" s="2239"/>
      <c r="L19" s="2239"/>
      <c r="M19" s="210"/>
      <c r="N19" s="2239"/>
      <c r="O19" s="210">
        <f>M19*N19</f>
        <v>0</v>
      </c>
      <c r="P19" s="2246"/>
      <c r="Q19" s="103">
        <f>'Ab1. RMNCH+A'!Q345</f>
        <v>0</v>
      </c>
      <c r="R19" s="675">
        <f>'Ab1. RMNCH+A'!R345</f>
        <v>0</v>
      </c>
    </row>
    <row r="20" spans="1:18" x14ac:dyDescent="0.2">
      <c r="A20" s="123" t="s">
        <v>2398</v>
      </c>
      <c r="B20" s="123"/>
      <c r="C20" s="103" t="s">
        <v>1310</v>
      </c>
      <c r="D20" s="926" t="s">
        <v>90</v>
      </c>
      <c r="E20" s="174" t="s">
        <v>96</v>
      </c>
      <c r="F20" s="2239"/>
      <c r="G20" s="2249"/>
      <c r="H20" s="2244"/>
      <c r="I20" s="2244"/>
      <c r="J20" s="2239"/>
      <c r="K20" s="2239"/>
      <c r="L20" s="2239"/>
      <c r="M20" s="210"/>
      <c r="N20" s="2239"/>
      <c r="O20" s="210">
        <f>N20*M20</f>
        <v>0</v>
      </c>
      <c r="P20" s="2252"/>
      <c r="Q20" s="103">
        <f>'Ab1. RMNCH+A'!Q346</f>
        <v>0</v>
      </c>
      <c r="R20" s="675">
        <f>'Ab1. RMNCH+A'!R346</f>
        <v>0</v>
      </c>
    </row>
    <row r="21" spans="1:18" x14ac:dyDescent="0.2">
      <c r="A21" s="913" t="s">
        <v>1970</v>
      </c>
      <c r="B21" s="914"/>
      <c r="C21" s="100" t="s">
        <v>1971</v>
      </c>
      <c r="D21" s="915"/>
      <c r="E21" s="916"/>
      <c r="F21" s="164"/>
      <c r="G21" s="164"/>
      <c r="H21" s="927"/>
      <c r="I21" s="927"/>
      <c r="J21" s="927"/>
      <c r="K21" s="165"/>
      <c r="L21" s="209"/>
      <c r="M21" s="927"/>
      <c r="N21" s="212"/>
      <c r="O21" s="927">
        <f>O22+O25+O28</f>
        <v>0</v>
      </c>
      <c r="P21" s="110"/>
      <c r="Q21" s="100"/>
      <c r="R21" s="226">
        <f>R22+R25+R28</f>
        <v>0</v>
      </c>
    </row>
    <row r="22" spans="1:18" x14ac:dyDescent="0.2">
      <c r="A22" s="194" t="s">
        <v>1972</v>
      </c>
      <c r="B22" s="194" t="s">
        <v>1973</v>
      </c>
      <c r="C22" s="194" t="s">
        <v>1974</v>
      </c>
      <c r="D22" s="930"/>
      <c r="E22" s="931"/>
      <c r="F22" s="213"/>
      <c r="G22" s="213"/>
      <c r="H22" s="932"/>
      <c r="I22" s="932"/>
      <c r="J22" s="932"/>
      <c r="K22" s="213"/>
      <c r="L22" s="214"/>
      <c r="M22" s="932"/>
      <c r="N22" s="214"/>
      <c r="O22" s="932">
        <f>SUM(O23:O24)</f>
        <v>0</v>
      </c>
      <c r="P22" s="193"/>
      <c r="Q22" s="194"/>
      <c r="R22" s="228">
        <f>SUM(R23:R24)</f>
        <v>0</v>
      </c>
    </row>
    <row r="23" spans="1:18" ht="30" x14ac:dyDescent="0.2">
      <c r="A23" s="123" t="s">
        <v>2677</v>
      </c>
      <c r="B23" s="925" t="s">
        <v>1975</v>
      </c>
      <c r="C23" s="925" t="s">
        <v>1976</v>
      </c>
      <c r="D23" s="921" t="s">
        <v>90</v>
      </c>
      <c r="E23" s="933" t="s">
        <v>91</v>
      </c>
      <c r="F23" s="2253"/>
      <c r="G23" s="2254"/>
      <c r="H23" s="2255"/>
      <c r="I23" s="2255"/>
      <c r="J23" s="2253"/>
      <c r="K23" s="2253"/>
      <c r="L23" s="2253"/>
      <c r="M23" s="934"/>
      <c r="N23" s="2253"/>
      <c r="O23" s="934">
        <f>N23*M23</f>
        <v>0</v>
      </c>
      <c r="P23" s="2246"/>
      <c r="Q23" s="123">
        <f>'Ab1. RMNCH+A'!Q198</f>
        <v>0</v>
      </c>
      <c r="R23" s="619">
        <f>'Ab1. RMNCH+A'!R198</f>
        <v>0</v>
      </c>
    </row>
    <row r="24" spans="1:18" ht="30" x14ac:dyDescent="0.2">
      <c r="A24" s="123" t="s">
        <v>2678</v>
      </c>
      <c r="B24" s="925" t="s">
        <v>1977</v>
      </c>
      <c r="C24" s="925" t="s">
        <v>1978</v>
      </c>
      <c r="D24" s="921" t="s">
        <v>90</v>
      </c>
      <c r="E24" s="933" t="s">
        <v>91</v>
      </c>
      <c r="F24" s="2253"/>
      <c r="G24" s="2254"/>
      <c r="H24" s="2255"/>
      <c r="I24" s="2255"/>
      <c r="J24" s="2253"/>
      <c r="K24" s="2253"/>
      <c r="L24" s="2253"/>
      <c r="M24" s="934"/>
      <c r="N24" s="2253"/>
      <c r="O24" s="934">
        <f>N24*M24</f>
        <v>0</v>
      </c>
      <c r="P24" s="2246"/>
      <c r="Q24" s="123">
        <f>'Ab1. RMNCH+A'!Q199</f>
        <v>0</v>
      </c>
      <c r="R24" s="619">
        <f>'Ab1. RMNCH+A'!R199</f>
        <v>0</v>
      </c>
    </row>
    <row r="25" spans="1:18" x14ac:dyDescent="0.2">
      <c r="A25" s="194" t="s">
        <v>1979</v>
      </c>
      <c r="B25" s="194" t="s">
        <v>1980</v>
      </c>
      <c r="C25" s="194" t="s">
        <v>1981</v>
      </c>
      <c r="D25" s="930"/>
      <c r="E25" s="931"/>
      <c r="F25" s="213"/>
      <c r="G25" s="213"/>
      <c r="H25" s="932"/>
      <c r="I25" s="932"/>
      <c r="J25" s="932"/>
      <c r="K25" s="213"/>
      <c r="L25" s="214"/>
      <c r="M25" s="932"/>
      <c r="N25" s="214"/>
      <c r="O25" s="932">
        <f>SUM(O26:O27)</f>
        <v>0</v>
      </c>
      <c r="P25" s="193"/>
      <c r="Q25" s="194"/>
      <c r="R25" s="228">
        <f>SUM(R26:R27)</f>
        <v>0</v>
      </c>
    </row>
    <row r="26" spans="1:18" ht="30" x14ac:dyDescent="0.2">
      <c r="A26" s="123" t="s">
        <v>2679</v>
      </c>
      <c r="B26" s="920" t="s">
        <v>1982</v>
      </c>
      <c r="C26" s="920" t="s">
        <v>1983</v>
      </c>
      <c r="D26" s="921" t="s">
        <v>90</v>
      </c>
      <c r="E26" s="922" t="s">
        <v>91</v>
      </c>
      <c r="F26" s="2239"/>
      <c r="G26" s="2240"/>
      <c r="H26" s="2239"/>
      <c r="I26" s="2256"/>
      <c r="J26" s="2239"/>
      <c r="K26" s="2253"/>
      <c r="L26" s="2239"/>
      <c r="M26" s="210"/>
      <c r="N26" s="188"/>
      <c r="O26" s="210">
        <f>N26*M26</f>
        <v>0</v>
      </c>
      <c r="P26" s="2246"/>
      <c r="Q26" s="103">
        <f>'Ab1. RMNCH+A'!Q200</f>
        <v>0</v>
      </c>
      <c r="R26" s="675">
        <f>'Ab1. RMNCH+A'!R200</f>
        <v>0</v>
      </c>
    </row>
    <row r="27" spans="1:18" ht="30" x14ac:dyDescent="0.2">
      <c r="A27" s="123" t="s">
        <v>2679</v>
      </c>
      <c r="B27" s="920" t="s">
        <v>250</v>
      </c>
      <c r="C27" s="920" t="s">
        <v>1984</v>
      </c>
      <c r="D27" s="921" t="s">
        <v>90</v>
      </c>
      <c r="E27" s="922" t="s">
        <v>91</v>
      </c>
      <c r="F27" s="171"/>
      <c r="G27" s="171"/>
      <c r="H27" s="171"/>
      <c r="I27" s="171"/>
      <c r="J27" s="171"/>
      <c r="K27" s="171"/>
      <c r="L27" s="188"/>
      <c r="M27" s="210"/>
      <c r="N27" s="188"/>
      <c r="O27" s="210">
        <f>N27*M27</f>
        <v>0</v>
      </c>
      <c r="P27" s="189"/>
      <c r="Q27" s="103">
        <f>'Ab1. RMNCH+A'!Q201</f>
        <v>0</v>
      </c>
      <c r="R27" s="675">
        <f>'Ab1. RMNCH+A'!R201</f>
        <v>0</v>
      </c>
    </row>
    <row r="28" spans="1:18" x14ac:dyDescent="0.2">
      <c r="A28" s="123" t="s">
        <v>2558</v>
      </c>
      <c r="B28" s="935"/>
      <c r="C28" s="936" t="s">
        <v>1310</v>
      </c>
      <c r="D28" s="921" t="s">
        <v>90</v>
      </c>
      <c r="E28" s="922" t="s">
        <v>91</v>
      </c>
      <c r="F28" s="202"/>
      <c r="G28" s="202"/>
      <c r="H28" s="202"/>
      <c r="I28" s="202"/>
      <c r="J28" s="202"/>
      <c r="K28" s="202"/>
      <c r="L28" s="188"/>
      <c r="M28" s="210"/>
      <c r="N28" s="188"/>
      <c r="O28" s="210">
        <f>N28*M28</f>
        <v>0</v>
      </c>
      <c r="P28" s="189"/>
      <c r="Q28" s="103">
        <f>'Ab1. RMNCH+A'!Q202</f>
        <v>0</v>
      </c>
      <c r="R28" s="675">
        <f>'Ab1. RMNCH+A'!R202</f>
        <v>0</v>
      </c>
    </row>
    <row r="29" spans="1:18" x14ac:dyDescent="0.2">
      <c r="A29" s="913" t="s">
        <v>1985</v>
      </c>
      <c r="B29" s="914"/>
      <c r="C29" s="100" t="s">
        <v>1986</v>
      </c>
      <c r="D29" s="915"/>
      <c r="E29" s="916"/>
      <c r="F29" s="164"/>
      <c r="G29" s="164"/>
      <c r="H29" s="927"/>
      <c r="I29" s="927"/>
      <c r="J29" s="927"/>
      <c r="K29" s="165"/>
      <c r="L29" s="209"/>
      <c r="M29" s="927"/>
      <c r="N29" s="212"/>
      <c r="O29" s="927">
        <f>SUM(O30:O31)</f>
        <v>0</v>
      </c>
      <c r="P29" s="110"/>
      <c r="Q29" s="100"/>
      <c r="R29" s="226">
        <f>SUM(R30:R31)</f>
        <v>0</v>
      </c>
    </row>
    <row r="30" spans="1:18" x14ac:dyDescent="0.2">
      <c r="A30" s="123" t="s">
        <v>1987</v>
      </c>
      <c r="B30" s="925"/>
      <c r="C30" s="441" t="s">
        <v>4148</v>
      </c>
      <c r="D30" s="921" t="s">
        <v>90</v>
      </c>
      <c r="E30" s="933" t="s">
        <v>193</v>
      </c>
      <c r="F30" s="171"/>
      <c r="G30" s="171"/>
      <c r="H30" s="171"/>
      <c r="I30" s="171"/>
      <c r="J30" s="171"/>
      <c r="K30" s="171"/>
      <c r="L30" s="188"/>
      <c r="M30" s="210"/>
      <c r="N30" s="188"/>
      <c r="O30" s="210">
        <f>N30*M30</f>
        <v>0</v>
      </c>
      <c r="P30" s="189"/>
      <c r="Q30" s="103">
        <f>'Ab1. RMNCH+A'!Q290</f>
        <v>0</v>
      </c>
      <c r="R30" s="675">
        <f>'Ab1. RMNCH+A'!R290</f>
        <v>0</v>
      </c>
    </row>
    <row r="31" spans="1:18" x14ac:dyDescent="0.2">
      <c r="A31" s="123" t="s">
        <v>1990</v>
      </c>
      <c r="B31" s="123"/>
      <c r="C31" s="103" t="s">
        <v>1310</v>
      </c>
      <c r="D31" s="926" t="s">
        <v>90</v>
      </c>
      <c r="E31" s="877" t="s">
        <v>193</v>
      </c>
      <c r="F31" s="171"/>
      <c r="G31" s="171"/>
      <c r="H31" s="171"/>
      <c r="I31" s="171"/>
      <c r="J31" s="171"/>
      <c r="K31" s="171"/>
      <c r="L31" s="188"/>
      <c r="M31" s="210"/>
      <c r="N31" s="188"/>
      <c r="O31" s="210">
        <f>N31*M31</f>
        <v>0</v>
      </c>
      <c r="P31" s="189"/>
      <c r="Q31" s="103">
        <f>'Ab1. RMNCH+A'!Q291</f>
        <v>0</v>
      </c>
      <c r="R31" s="675">
        <f>'Ab1. RMNCH+A'!R291</f>
        <v>0</v>
      </c>
    </row>
    <row r="32" spans="1:18" x14ac:dyDescent="0.2">
      <c r="A32" s="913" t="s">
        <v>1991</v>
      </c>
      <c r="B32" s="914"/>
      <c r="C32" s="100" t="s">
        <v>1992</v>
      </c>
      <c r="D32" s="915"/>
      <c r="E32" s="916"/>
      <c r="F32" s="164"/>
      <c r="G32" s="164"/>
      <c r="H32" s="927"/>
      <c r="I32" s="927"/>
      <c r="J32" s="927"/>
      <c r="K32" s="165"/>
      <c r="L32" s="209"/>
      <c r="M32" s="927"/>
      <c r="N32" s="212"/>
      <c r="O32" s="927">
        <f>SUM(O33:O40)</f>
        <v>0</v>
      </c>
      <c r="P32" s="110"/>
      <c r="Q32" s="100"/>
      <c r="R32" s="226">
        <f>SUM(R33:R40)</f>
        <v>0</v>
      </c>
    </row>
    <row r="33" spans="1:18" ht="30" x14ac:dyDescent="0.2">
      <c r="A33" s="123" t="s">
        <v>1993</v>
      </c>
      <c r="B33" s="937" t="s">
        <v>1994</v>
      </c>
      <c r="C33" s="937" t="s">
        <v>1995</v>
      </c>
      <c r="D33" s="888" t="s">
        <v>4366</v>
      </c>
      <c r="E33" s="847" t="s">
        <v>4981</v>
      </c>
      <c r="F33" s="2239"/>
      <c r="G33" s="2249"/>
      <c r="H33" s="2244"/>
      <c r="I33" s="2255"/>
      <c r="J33" s="2239"/>
      <c r="K33" s="2257"/>
      <c r="L33" s="2239"/>
      <c r="M33" s="210"/>
      <c r="N33" s="2239"/>
      <c r="O33" s="210">
        <f t="shared" ref="O33:O40" si="0">N33*M33</f>
        <v>0</v>
      </c>
      <c r="P33" s="3248"/>
      <c r="Q33" s="103">
        <f>'Abs9. NVBDCP'!Q7</f>
        <v>0</v>
      </c>
      <c r="R33" s="675">
        <f>'Abs9. NVBDCP'!R7</f>
        <v>0</v>
      </c>
    </row>
    <row r="34" spans="1:18" ht="45" x14ac:dyDescent="0.2">
      <c r="A34" s="123" t="s">
        <v>1996</v>
      </c>
      <c r="B34" s="937" t="s">
        <v>1997</v>
      </c>
      <c r="C34" s="937" t="s">
        <v>1998</v>
      </c>
      <c r="D34" s="888" t="s">
        <v>4366</v>
      </c>
      <c r="E34" s="922" t="s">
        <v>4982</v>
      </c>
      <c r="F34" s="2239"/>
      <c r="G34" s="2240"/>
      <c r="H34" s="2239"/>
      <c r="I34" s="2253"/>
      <c r="J34" s="2239"/>
      <c r="K34" s="2239"/>
      <c r="L34" s="2239"/>
      <c r="M34" s="210"/>
      <c r="N34" s="2239"/>
      <c r="O34" s="210">
        <f t="shared" si="0"/>
        <v>0</v>
      </c>
      <c r="P34" s="2252"/>
      <c r="Q34" s="103">
        <f>'Abs9. NVBDCP'!Q8</f>
        <v>0</v>
      </c>
      <c r="R34" s="675">
        <f>'Abs9. NVBDCP'!R8</f>
        <v>0</v>
      </c>
    </row>
    <row r="35" spans="1:18" ht="45" x14ac:dyDescent="0.2">
      <c r="A35" s="123" t="s">
        <v>1999</v>
      </c>
      <c r="B35" s="937" t="s">
        <v>1544</v>
      </c>
      <c r="C35" s="937" t="s">
        <v>2000</v>
      </c>
      <c r="D35" s="888" t="s">
        <v>4366</v>
      </c>
      <c r="E35" s="922" t="s">
        <v>4983</v>
      </c>
      <c r="F35" s="2239"/>
      <c r="G35" s="2240"/>
      <c r="H35" s="2258"/>
      <c r="I35" s="2253"/>
      <c r="J35" s="2239"/>
      <c r="K35" s="2239"/>
      <c r="L35" s="2239"/>
      <c r="M35" s="210"/>
      <c r="N35" s="2239"/>
      <c r="O35" s="210">
        <f t="shared" si="0"/>
        <v>0</v>
      </c>
      <c r="P35" s="2247"/>
      <c r="Q35" s="103">
        <f>'Abs9. NVBDCP'!Q9</f>
        <v>0</v>
      </c>
      <c r="R35" s="675">
        <f>'Abs9. NVBDCP'!R9</f>
        <v>0</v>
      </c>
    </row>
    <row r="36" spans="1:18" ht="30" x14ac:dyDescent="0.2">
      <c r="A36" s="123" t="s">
        <v>2001</v>
      </c>
      <c r="B36" s="937" t="s">
        <v>2681</v>
      </c>
      <c r="C36" s="937" t="s">
        <v>2682</v>
      </c>
      <c r="D36" s="888" t="s">
        <v>4366</v>
      </c>
      <c r="E36" s="922" t="s">
        <v>146</v>
      </c>
      <c r="F36" s="2239"/>
      <c r="G36" s="2240"/>
      <c r="H36" s="2239"/>
      <c r="I36" s="2253"/>
      <c r="J36" s="2239"/>
      <c r="K36" s="2239"/>
      <c r="L36" s="2239"/>
      <c r="M36" s="210"/>
      <c r="N36" s="2239"/>
      <c r="O36" s="210">
        <f t="shared" si="0"/>
        <v>0</v>
      </c>
      <c r="P36" s="2261"/>
      <c r="Q36" s="103">
        <f>'Abs10. NLEP'!Q7</f>
        <v>0</v>
      </c>
      <c r="R36" s="675">
        <f>'Abs10. NLEP'!R7</f>
        <v>0</v>
      </c>
    </row>
    <row r="37" spans="1:18" ht="30" x14ac:dyDescent="0.2">
      <c r="A37" s="123" t="s">
        <v>2003</v>
      </c>
      <c r="B37" s="937" t="s">
        <v>2002</v>
      </c>
      <c r="C37" s="937" t="s">
        <v>2680</v>
      </c>
      <c r="D37" s="888" t="s">
        <v>4366</v>
      </c>
      <c r="E37" s="922" t="s">
        <v>146</v>
      </c>
      <c r="F37" s="2239"/>
      <c r="G37" s="2240"/>
      <c r="H37" s="2239"/>
      <c r="I37" s="2253"/>
      <c r="J37" s="2239"/>
      <c r="K37" s="2239"/>
      <c r="L37" s="2239"/>
      <c r="M37" s="210"/>
      <c r="N37" s="2239"/>
      <c r="O37" s="210">
        <f t="shared" si="0"/>
        <v>0</v>
      </c>
      <c r="P37" s="2247"/>
      <c r="Q37" s="103">
        <f>'Abs10. NLEP'!Q8</f>
        <v>0</v>
      </c>
      <c r="R37" s="675">
        <f>'Abs10. NLEP'!R8</f>
        <v>0</v>
      </c>
    </row>
    <row r="38" spans="1:18" x14ac:dyDescent="0.2">
      <c r="A38" s="123" t="s">
        <v>2006</v>
      </c>
      <c r="B38" s="937" t="s">
        <v>2007</v>
      </c>
      <c r="C38" s="937" t="s">
        <v>2008</v>
      </c>
      <c r="D38" s="888" t="s">
        <v>4366</v>
      </c>
      <c r="E38" s="922" t="s">
        <v>146</v>
      </c>
      <c r="F38" s="2239"/>
      <c r="G38" s="2240"/>
      <c r="H38" s="2239"/>
      <c r="I38" s="2239"/>
      <c r="J38" s="2239"/>
      <c r="K38" s="2239"/>
      <c r="L38" s="2239"/>
      <c r="M38" s="210"/>
      <c r="N38" s="2239"/>
      <c r="O38" s="210">
        <f t="shared" si="0"/>
        <v>0</v>
      </c>
      <c r="P38" s="2262"/>
      <c r="Q38" s="103">
        <f>'Abs10. NLEP'!Q9</f>
        <v>0</v>
      </c>
      <c r="R38" s="675">
        <f>'Abs10. NLEP'!R9</f>
        <v>0</v>
      </c>
    </row>
    <row r="39" spans="1:18" s="940" customFormat="1" ht="30" x14ac:dyDescent="0.2">
      <c r="A39" s="123" t="s">
        <v>4367</v>
      </c>
      <c r="B39" s="938"/>
      <c r="C39" s="938" t="s">
        <v>4520</v>
      </c>
      <c r="D39" s="888" t="s">
        <v>4366</v>
      </c>
      <c r="E39" s="933" t="s">
        <v>4683</v>
      </c>
      <c r="F39" s="2253"/>
      <c r="G39" s="2259"/>
      <c r="H39" s="2260"/>
      <c r="I39" s="2253"/>
      <c r="J39" s="2253"/>
      <c r="K39" s="2253"/>
      <c r="L39" s="2253"/>
      <c r="M39" s="939"/>
      <c r="N39" s="2253"/>
      <c r="O39" s="939">
        <f t="shared" si="0"/>
        <v>0</v>
      </c>
      <c r="P39" s="2263"/>
      <c r="Q39" s="123">
        <f>'Abs11. NTEP'!Q7</f>
        <v>0</v>
      </c>
      <c r="R39" s="619">
        <f>'Abs11. NTEP'!R7</f>
        <v>0</v>
      </c>
    </row>
    <row r="40" spans="1:18" x14ac:dyDescent="0.2">
      <c r="A40" s="123" t="s">
        <v>4519</v>
      </c>
      <c r="B40" s="123"/>
      <c r="C40" s="103" t="s">
        <v>1310</v>
      </c>
      <c r="D40" s="886" t="s">
        <v>70</v>
      </c>
      <c r="E40" s="941" t="s">
        <v>70</v>
      </c>
      <c r="F40" s="2239"/>
      <c r="G40" s="2240"/>
      <c r="H40" s="2239"/>
      <c r="I40" s="2239"/>
      <c r="J40" s="2239"/>
      <c r="K40" s="2239"/>
      <c r="L40" s="2239"/>
      <c r="M40" s="210"/>
      <c r="N40" s="2239"/>
      <c r="O40" s="210">
        <f t="shared" si="0"/>
        <v>0</v>
      </c>
      <c r="P40" s="2252"/>
      <c r="Q40" s="192"/>
      <c r="R40" s="230"/>
    </row>
    <row r="41" spans="1:18" x14ac:dyDescent="0.2">
      <c r="A41" s="913" t="s">
        <v>2009</v>
      </c>
      <c r="B41" s="914"/>
      <c r="C41" s="100" t="s">
        <v>2010</v>
      </c>
      <c r="D41" s="915"/>
      <c r="E41" s="916"/>
      <c r="F41" s="164"/>
      <c r="G41" s="164"/>
      <c r="H41" s="918"/>
      <c r="I41" s="918"/>
      <c r="J41" s="918"/>
      <c r="K41" s="165"/>
      <c r="L41" s="209"/>
      <c r="M41" s="927"/>
      <c r="N41" s="212"/>
      <c r="O41" s="918">
        <f>SUM(O42:O46)+O50</f>
        <v>0</v>
      </c>
      <c r="P41" s="110"/>
      <c r="Q41" s="100"/>
      <c r="R41" s="226">
        <f>SUM(R42:R46)+R50</f>
        <v>0</v>
      </c>
    </row>
    <row r="42" spans="1:18" ht="30" x14ac:dyDescent="0.2">
      <c r="A42" s="123" t="s">
        <v>2011</v>
      </c>
      <c r="B42" s="937" t="s">
        <v>2013</v>
      </c>
      <c r="C42" s="937" t="s">
        <v>2014</v>
      </c>
      <c r="D42" s="889" t="s">
        <v>85</v>
      </c>
      <c r="E42" s="922" t="s">
        <v>415</v>
      </c>
      <c r="F42" s="171"/>
      <c r="G42" s="171"/>
      <c r="H42" s="171"/>
      <c r="I42" s="171"/>
      <c r="J42" s="171"/>
      <c r="K42" s="171"/>
      <c r="L42" s="188"/>
      <c r="M42" s="210"/>
      <c r="N42" s="188"/>
      <c r="O42" s="210">
        <f>N42*M42</f>
        <v>0</v>
      </c>
      <c r="P42" s="189"/>
      <c r="Q42" s="103">
        <f>'Abs19. NPCDCS'!Q7</f>
        <v>0</v>
      </c>
      <c r="R42" s="675">
        <f>'Abs19. NPCDCS'!R7</f>
        <v>0</v>
      </c>
    </row>
    <row r="43" spans="1:18" x14ac:dyDescent="0.2">
      <c r="A43" s="123" t="s">
        <v>2012</v>
      </c>
      <c r="B43" s="937" t="s">
        <v>2016</v>
      </c>
      <c r="C43" s="937" t="s">
        <v>2017</v>
      </c>
      <c r="D43" s="889" t="s">
        <v>85</v>
      </c>
      <c r="E43" s="922" t="s">
        <v>415</v>
      </c>
      <c r="F43" s="171"/>
      <c r="G43" s="171"/>
      <c r="H43" s="171"/>
      <c r="I43" s="171"/>
      <c r="J43" s="171"/>
      <c r="K43" s="171"/>
      <c r="L43" s="188"/>
      <c r="M43" s="210"/>
      <c r="N43" s="188"/>
      <c r="O43" s="210">
        <f>N43*M43</f>
        <v>0</v>
      </c>
      <c r="P43" s="189"/>
      <c r="Q43" s="103">
        <f>'Abs19. NPCDCS'!Q8</f>
        <v>0</v>
      </c>
      <c r="R43" s="675">
        <f>'Abs19. NPCDCS'!R8</f>
        <v>0</v>
      </c>
    </row>
    <row r="44" spans="1:18" ht="45" x14ac:dyDescent="0.2">
      <c r="A44" s="123" t="s">
        <v>2015</v>
      </c>
      <c r="B44" s="920" t="s">
        <v>2019</v>
      </c>
      <c r="C44" s="920" t="s">
        <v>2020</v>
      </c>
      <c r="D44" s="891" t="s">
        <v>85</v>
      </c>
      <c r="E44" s="922" t="s">
        <v>1034</v>
      </c>
      <c r="F44" s="171"/>
      <c r="G44" s="171"/>
      <c r="H44" s="203"/>
      <c r="I44" s="203"/>
      <c r="J44" s="171"/>
      <c r="K44" s="171"/>
      <c r="L44" s="188"/>
      <c r="M44" s="210"/>
      <c r="N44" s="188"/>
      <c r="O44" s="210">
        <f>N44*M44</f>
        <v>0</v>
      </c>
      <c r="P44" s="189"/>
      <c r="Q44" s="103">
        <f>'Abs23. NPPCF'!Q7</f>
        <v>0</v>
      </c>
      <c r="R44" s="675">
        <f>'Abs23. NPPCF'!R7</f>
        <v>0</v>
      </c>
    </row>
    <row r="45" spans="1:18" ht="45" x14ac:dyDescent="0.2">
      <c r="A45" s="123" t="s">
        <v>2018</v>
      </c>
      <c r="B45" s="920" t="s">
        <v>2022</v>
      </c>
      <c r="C45" s="920" t="s">
        <v>2023</v>
      </c>
      <c r="D45" s="891" t="s">
        <v>85</v>
      </c>
      <c r="E45" s="922" t="s">
        <v>1034</v>
      </c>
      <c r="F45" s="2239"/>
      <c r="G45" s="2240"/>
      <c r="H45" s="2241"/>
      <c r="I45" s="2253"/>
      <c r="J45" s="2239"/>
      <c r="K45" s="2239"/>
      <c r="L45" s="2239"/>
      <c r="M45" s="210"/>
      <c r="N45" s="188"/>
      <c r="O45" s="210">
        <f>N45*M45</f>
        <v>0</v>
      </c>
      <c r="P45" s="3248"/>
      <c r="Q45" s="103">
        <f>'Abs23. NPPCF'!Q8</f>
        <v>0</v>
      </c>
      <c r="R45" s="675">
        <f>'Abs23. NPPCF'!R8</f>
        <v>0</v>
      </c>
    </row>
    <row r="46" spans="1:18" ht="30" x14ac:dyDescent="0.2">
      <c r="A46" s="942" t="s">
        <v>2021</v>
      </c>
      <c r="B46" s="943" t="s">
        <v>1338</v>
      </c>
      <c r="C46" s="943" t="s">
        <v>1339</v>
      </c>
      <c r="D46" s="944"/>
      <c r="E46" s="944"/>
      <c r="F46" s="198"/>
      <c r="G46" s="198"/>
      <c r="H46" s="216"/>
      <c r="I46" s="216"/>
      <c r="J46" s="198"/>
      <c r="K46" s="198"/>
      <c r="L46" s="217"/>
      <c r="M46" s="932"/>
      <c r="N46" s="218"/>
      <c r="O46" s="932">
        <f>O47+O48+O49</f>
        <v>0</v>
      </c>
      <c r="P46" s="199"/>
      <c r="Q46" s="200"/>
      <c r="R46" s="231">
        <f>R47+R48+R49</f>
        <v>0</v>
      </c>
    </row>
    <row r="47" spans="1:18" ht="30" x14ac:dyDescent="0.2">
      <c r="A47" s="123" t="s">
        <v>3835</v>
      </c>
      <c r="B47" s="938"/>
      <c r="C47" s="937" t="s">
        <v>3833</v>
      </c>
      <c r="D47" s="889" t="s">
        <v>85</v>
      </c>
      <c r="E47" s="924" t="s">
        <v>4925</v>
      </c>
      <c r="F47" s="171"/>
      <c r="G47" s="171"/>
      <c r="H47" s="211"/>
      <c r="I47" s="211"/>
      <c r="J47" s="171"/>
      <c r="K47" s="171"/>
      <c r="L47" s="188"/>
      <c r="M47" s="210"/>
      <c r="N47" s="188"/>
      <c r="O47" s="210">
        <f>N47*M47</f>
        <v>0</v>
      </c>
      <c r="P47" s="189"/>
      <c r="Q47" s="103">
        <f>'Abs20. PMNDP'!Q7</f>
        <v>0</v>
      </c>
      <c r="R47" s="675">
        <f>'Abs20. PMNDP'!R7</f>
        <v>0</v>
      </c>
    </row>
    <row r="48" spans="1:18" ht="30" x14ac:dyDescent="0.2">
      <c r="A48" s="123" t="s">
        <v>3836</v>
      </c>
      <c r="B48" s="938"/>
      <c r="C48" s="937" t="s">
        <v>3834</v>
      </c>
      <c r="D48" s="889" t="s">
        <v>85</v>
      </c>
      <c r="E48" s="924" t="s">
        <v>4925</v>
      </c>
      <c r="F48" s="171"/>
      <c r="G48" s="171"/>
      <c r="H48" s="211"/>
      <c r="I48" s="211"/>
      <c r="J48" s="171"/>
      <c r="K48" s="171"/>
      <c r="L48" s="188"/>
      <c r="M48" s="210"/>
      <c r="N48" s="188"/>
      <c r="O48" s="210">
        <f>N48*M48</f>
        <v>0</v>
      </c>
      <c r="P48" s="189"/>
      <c r="Q48" s="103">
        <f>'Abs20. PMNDP'!Q8</f>
        <v>0</v>
      </c>
      <c r="R48" s="675">
        <f>'Abs20. PMNDP'!R8</f>
        <v>0</v>
      </c>
    </row>
    <row r="49" spans="1:18" s="940" customFormat="1" ht="45" x14ac:dyDescent="0.2">
      <c r="A49" s="123" t="s">
        <v>4541</v>
      </c>
      <c r="B49" s="123"/>
      <c r="C49" s="925" t="s">
        <v>4542</v>
      </c>
      <c r="D49" s="889" t="s">
        <v>85</v>
      </c>
      <c r="E49" s="924" t="s">
        <v>4925</v>
      </c>
      <c r="F49" s="195"/>
      <c r="G49" s="195"/>
      <c r="H49" s="215"/>
      <c r="I49" s="215"/>
      <c r="J49" s="195"/>
      <c r="K49" s="195"/>
      <c r="L49" s="188"/>
      <c r="M49" s="934"/>
      <c r="N49" s="188"/>
      <c r="O49" s="934">
        <f>N49*M49</f>
        <v>0</v>
      </c>
      <c r="P49" s="189"/>
      <c r="Q49" s="123">
        <f>'Abs20. PMNDP'!Q9</f>
        <v>0</v>
      </c>
      <c r="R49" s="619">
        <f>'Abs20. PMNDP'!R9</f>
        <v>0</v>
      </c>
    </row>
    <row r="50" spans="1:18" x14ac:dyDescent="0.2">
      <c r="A50" s="123" t="s">
        <v>2024</v>
      </c>
      <c r="B50" s="123"/>
      <c r="C50" s="103" t="s">
        <v>1310</v>
      </c>
      <c r="D50" s="886" t="s">
        <v>70</v>
      </c>
      <c r="E50" s="941" t="s">
        <v>70</v>
      </c>
      <c r="F50" s="171"/>
      <c r="G50" s="171"/>
      <c r="H50" s="171"/>
      <c r="I50" s="171"/>
      <c r="J50" s="171"/>
      <c r="K50" s="171"/>
      <c r="L50" s="188"/>
      <c r="M50" s="210"/>
      <c r="N50" s="188"/>
      <c r="O50" s="210">
        <f>N50*M50</f>
        <v>0</v>
      </c>
      <c r="P50" s="189"/>
      <c r="Q50" s="192"/>
      <c r="R50" s="230"/>
    </row>
    <row r="51" spans="1:18" x14ac:dyDescent="0.2">
      <c r="A51" s="913" t="s">
        <v>2026</v>
      </c>
      <c r="B51" s="914"/>
      <c r="C51" s="100" t="s">
        <v>2027</v>
      </c>
      <c r="D51" s="915"/>
      <c r="E51" s="916"/>
      <c r="F51" s="164"/>
      <c r="G51" s="164"/>
      <c r="H51" s="927"/>
      <c r="I51" s="927"/>
      <c r="J51" s="927"/>
      <c r="K51" s="165"/>
      <c r="L51" s="209"/>
      <c r="M51" s="927"/>
      <c r="N51" s="212"/>
      <c r="O51" s="927">
        <f>SUM(O52:O59)</f>
        <v>0</v>
      </c>
      <c r="P51" s="110"/>
      <c r="Q51" s="100"/>
      <c r="R51" s="226">
        <f>SUM(R52:R59)</f>
        <v>0</v>
      </c>
    </row>
    <row r="52" spans="1:18" x14ac:dyDescent="0.2">
      <c r="A52" s="123" t="s">
        <v>2028</v>
      </c>
      <c r="B52" s="920" t="s">
        <v>2029</v>
      </c>
      <c r="C52" s="920" t="s">
        <v>2030</v>
      </c>
      <c r="D52" s="921" t="s">
        <v>90</v>
      </c>
      <c r="E52" s="923" t="s">
        <v>90</v>
      </c>
      <c r="F52" s="2239"/>
      <c r="G52" s="2240"/>
      <c r="H52" s="2239"/>
      <c r="I52" s="2253"/>
      <c r="J52" s="2239"/>
      <c r="K52" s="2239"/>
      <c r="L52" s="2239"/>
      <c r="M52" s="210"/>
      <c r="N52" s="2239"/>
      <c r="O52" s="210">
        <f t="shared" ref="O52:O57" si="1">N52*M52</f>
        <v>0</v>
      </c>
      <c r="P52" s="3248"/>
      <c r="Q52" s="103">
        <f>'Ab1. RMNCH+A'!Q434</f>
        <v>0</v>
      </c>
      <c r="R52" s="675">
        <f>'Ab1. RMNCH+A'!R434</f>
        <v>0</v>
      </c>
    </row>
    <row r="53" spans="1:18" x14ac:dyDescent="0.2">
      <c r="A53" s="123" t="s">
        <v>2031</v>
      </c>
      <c r="B53" s="920" t="s">
        <v>2032</v>
      </c>
      <c r="C53" s="920" t="s">
        <v>2033</v>
      </c>
      <c r="D53" s="921" t="s">
        <v>90</v>
      </c>
      <c r="E53" s="923" t="s">
        <v>90</v>
      </c>
      <c r="F53" s="2239"/>
      <c r="G53" s="2240"/>
      <c r="H53" s="2239"/>
      <c r="I53" s="2239"/>
      <c r="J53" s="2239"/>
      <c r="K53" s="2239"/>
      <c r="L53" s="2239"/>
      <c r="M53" s="210"/>
      <c r="N53" s="2239"/>
      <c r="O53" s="210">
        <f t="shared" si="1"/>
        <v>0</v>
      </c>
      <c r="P53" s="2259"/>
      <c r="Q53" s="103">
        <f>'Ab1. RMNCH+A'!Q435</f>
        <v>0</v>
      </c>
      <c r="R53" s="675">
        <f>'Ab1. RMNCH+A'!R435</f>
        <v>0</v>
      </c>
    </row>
    <row r="54" spans="1:18" ht="30" x14ac:dyDescent="0.2">
      <c r="A54" s="123" t="s">
        <v>2034</v>
      </c>
      <c r="B54" s="920" t="s">
        <v>2035</v>
      </c>
      <c r="C54" s="937" t="s">
        <v>2036</v>
      </c>
      <c r="D54" s="886" t="s">
        <v>70</v>
      </c>
      <c r="E54" s="922" t="s">
        <v>4721</v>
      </c>
      <c r="F54" s="2239"/>
      <c r="G54" s="2240"/>
      <c r="H54" s="2239"/>
      <c r="I54" s="2253"/>
      <c r="J54" s="2239"/>
      <c r="K54" s="2239"/>
      <c r="L54" s="2239"/>
      <c r="M54" s="210"/>
      <c r="N54" s="2239"/>
      <c r="O54" s="210">
        <f t="shared" si="1"/>
        <v>0</v>
      </c>
      <c r="P54" s="2247"/>
      <c r="Q54" s="103">
        <f>'Abs5. Blood services &amp; Disorder'!Q7</f>
        <v>0</v>
      </c>
      <c r="R54" s="675">
        <f>'Abs5. Blood services &amp; Disorder'!R7</f>
        <v>0</v>
      </c>
    </row>
    <row r="55" spans="1:18" x14ac:dyDescent="0.2">
      <c r="A55" s="123" t="s">
        <v>2037</v>
      </c>
      <c r="B55" s="920" t="s">
        <v>2038</v>
      </c>
      <c r="C55" s="925" t="s">
        <v>2039</v>
      </c>
      <c r="D55" s="886" t="s">
        <v>70</v>
      </c>
      <c r="E55" s="922" t="s">
        <v>70</v>
      </c>
      <c r="F55" s="2239"/>
      <c r="G55" s="2240"/>
      <c r="H55" s="2239"/>
      <c r="I55" s="2239"/>
      <c r="J55" s="2239"/>
      <c r="K55" s="2239"/>
      <c r="L55" s="2239"/>
      <c r="M55" s="210"/>
      <c r="N55" s="2239"/>
      <c r="O55" s="210">
        <f t="shared" si="1"/>
        <v>0</v>
      </c>
      <c r="P55" s="2252"/>
      <c r="Q55" s="192"/>
      <c r="R55" s="230"/>
    </row>
    <row r="56" spans="1:18" x14ac:dyDescent="0.2">
      <c r="A56" s="123" t="s">
        <v>2040</v>
      </c>
      <c r="B56" s="925"/>
      <c r="C56" s="501" t="s">
        <v>5018</v>
      </c>
      <c r="D56" s="886" t="s">
        <v>70</v>
      </c>
      <c r="E56" s="924" t="s">
        <v>4365</v>
      </c>
      <c r="F56" s="2239"/>
      <c r="G56" s="2249"/>
      <c r="H56" s="2244"/>
      <c r="I56" s="2244"/>
      <c r="J56" s="2250"/>
      <c r="K56" s="2239"/>
      <c r="L56" s="2239"/>
      <c r="M56" s="210"/>
      <c r="N56" s="2239"/>
      <c r="O56" s="210">
        <f>N56*M56</f>
        <v>0</v>
      </c>
      <c r="P56" s="2252"/>
      <c r="Q56" s="123">
        <f>'Abs6. CPHC'!Q7</f>
        <v>0</v>
      </c>
      <c r="R56" s="619">
        <f>'Abs6. CPHC'!R7</f>
        <v>0</v>
      </c>
    </row>
    <row r="57" spans="1:18" ht="30" x14ac:dyDescent="0.2">
      <c r="A57" s="938" t="s">
        <v>3317</v>
      </c>
      <c r="B57" s="925"/>
      <c r="C57" s="945" t="s">
        <v>3318</v>
      </c>
      <c r="D57" s="921" t="s">
        <v>90</v>
      </c>
      <c r="E57" s="933" t="s">
        <v>90</v>
      </c>
      <c r="F57" s="2239"/>
      <c r="G57" s="2240"/>
      <c r="H57" s="2239"/>
      <c r="I57" s="2239"/>
      <c r="J57" s="2239"/>
      <c r="K57" s="2239"/>
      <c r="L57" s="2239"/>
      <c r="M57" s="210"/>
      <c r="N57" s="2239"/>
      <c r="O57" s="210">
        <f t="shared" si="1"/>
        <v>0</v>
      </c>
      <c r="P57" s="2252"/>
      <c r="Q57" s="103">
        <f>'Ab1. RMNCH+A'!Q436</f>
        <v>0</v>
      </c>
      <c r="R57" s="675">
        <f>'Ab1. RMNCH+A'!R436</f>
        <v>0</v>
      </c>
    </row>
    <row r="58" spans="1:18" ht="60" x14ac:dyDescent="0.2">
      <c r="A58" s="938" t="s">
        <v>2414</v>
      </c>
      <c r="B58" s="925"/>
      <c r="C58" s="945" t="s">
        <v>3830</v>
      </c>
      <c r="D58" s="886" t="s">
        <v>70</v>
      </c>
      <c r="E58" s="922" t="s">
        <v>4721</v>
      </c>
      <c r="F58" s="2239"/>
      <c r="G58" s="2240"/>
      <c r="H58" s="2239"/>
      <c r="I58" s="2239"/>
      <c r="J58" s="2239"/>
      <c r="K58" s="2239"/>
      <c r="L58" s="2239"/>
      <c r="M58" s="210"/>
      <c r="N58" s="2239"/>
      <c r="O58" s="210">
        <f>N58*M58</f>
        <v>0</v>
      </c>
      <c r="P58" s="2246"/>
      <c r="Q58" s="103">
        <f>'Abs5. Blood services &amp; Disorder'!Q8</f>
        <v>0</v>
      </c>
      <c r="R58" s="675">
        <f>'Abs5. Blood services &amp; Disorder'!R8</f>
        <v>0</v>
      </c>
    </row>
    <row r="59" spans="1:18" x14ac:dyDescent="0.2">
      <c r="A59" s="938" t="s">
        <v>3829</v>
      </c>
      <c r="B59" s="123"/>
      <c r="C59" s="103" t="s">
        <v>1310</v>
      </c>
      <c r="D59" s="946" t="s">
        <v>70</v>
      </c>
      <c r="E59" s="941" t="s">
        <v>70</v>
      </c>
      <c r="F59" s="2239"/>
      <c r="G59" s="2240"/>
      <c r="H59" s="2239"/>
      <c r="I59" s="2239"/>
      <c r="J59" s="2239"/>
      <c r="K59" s="2239"/>
      <c r="L59" s="2239"/>
      <c r="M59" s="210"/>
      <c r="N59" s="2239"/>
      <c r="O59" s="210">
        <f>N59*M59</f>
        <v>0</v>
      </c>
      <c r="P59" s="2246"/>
      <c r="Q59" s="192"/>
      <c r="R59" s="230"/>
    </row>
    <row r="60" spans="1:18" x14ac:dyDescent="0.2">
      <c r="A60" s="840">
        <v>1.2</v>
      </c>
      <c r="B60" s="906"/>
      <c r="C60" s="99" t="s">
        <v>2683</v>
      </c>
      <c r="D60" s="907"/>
      <c r="E60" s="908"/>
      <c r="F60" s="207"/>
      <c r="G60" s="207"/>
      <c r="H60" s="528"/>
      <c r="I60" s="528"/>
      <c r="J60" s="528"/>
      <c r="K60" s="219"/>
      <c r="L60" s="208"/>
      <c r="M60" s="911"/>
      <c r="N60" s="169"/>
      <c r="O60" s="528">
        <f>O61+O67+O78</f>
        <v>0</v>
      </c>
      <c r="P60" s="185"/>
      <c r="Q60" s="186"/>
      <c r="R60" s="225">
        <f>R61+R67+R78</f>
        <v>0</v>
      </c>
    </row>
    <row r="61" spans="1:18" ht="30" x14ac:dyDescent="0.2">
      <c r="A61" s="913" t="s">
        <v>49</v>
      </c>
      <c r="B61" s="914"/>
      <c r="C61" s="100" t="s">
        <v>2042</v>
      </c>
      <c r="D61" s="915"/>
      <c r="E61" s="916"/>
      <c r="F61" s="164"/>
      <c r="G61" s="164"/>
      <c r="H61" s="927"/>
      <c r="I61" s="927"/>
      <c r="J61" s="927"/>
      <c r="K61" s="165"/>
      <c r="L61" s="209"/>
      <c r="M61" s="927"/>
      <c r="N61" s="212"/>
      <c r="O61" s="927">
        <f>O62+O63</f>
        <v>0</v>
      </c>
      <c r="P61" s="110"/>
      <c r="Q61" s="100"/>
      <c r="R61" s="226">
        <f>R62+R63</f>
        <v>0</v>
      </c>
    </row>
    <row r="62" spans="1:18" x14ac:dyDescent="0.2">
      <c r="A62" s="123" t="s">
        <v>2043</v>
      </c>
      <c r="B62" s="920" t="s">
        <v>2044</v>
      </c>
      <c r="C62" s="920" t="s">
        <v>2045</v>
      </c>
      <c r="D62" s="921" t="s">
        <v>90</v>
      </c>
      <c r="E62" s="922" t="s">
        <v>118</v>
      </c>
      <c r="F62" s="2239"/>
      <c r="G62" s="2249"/>
      <c r="H62" s="2244"/>
      <c r="I62" s="2244"/>
      <c r="J62" s="2239"/>
      <c r="K62" s="2239"/>
      <c r="L62" s="2239"/>
      <c r="M62" s="210"/>
      <c r="N62" s="188"/>
      <c r="O62" s="210">
        <f>N62*M62</f>
        <v>0</v>
      </c>
      <c r="P62" s="2247"/>
      <c r="Q62" s="103">
        <f>'Ab1. RMNCH+A'!Q15</f>
        <v>0</v>
      </c>
      <c r="R62" s="675">
        <f>'Ab1. RMNCH+A'!R15</f>
        <v>0</v>
      </c>
    </row>
    <row r="63" spans="1:18" s="940" customFormat="1" x14ac:dyDescent="0.2">
      <c r="A63" s="194" t="s">
        <v>2046</v>
      </c>
      <c r="B63" s="194" t="s">
        <v>2047</v>
      </c>
      <c r="C63" s="194" t="s">
        <v>2048</v>
      </c>
      <c r="D63" s="931"/>
      <c r="E63" s="931"/>
      <c r="F63" s="213"/>
      <c r="G63" s="213"/>
      <c r="H63" s="932"/>
      <c r="I63" s="932"/>
      <c r="J63" s="932"/>
      <c r="K63" s="213"/>
      <c r="L63" s="214"/>
      <c r="M63" s="932"/>
      <c r="N63" s="214"/>
      <c r="O63" s="932">
        <f>SUM(O64:O66)</f>
        <v>0</v>
      </c>
      <c r="P63" s="193"/>
      <c r="Q63" s="194"/>
      <c r="R63" s="228">
        <f>SUM(R64:R66)</f>
        <v>0</v>
      </c>
    </row>
    <row r="64" spans="1:18" ht="30" x14ac:dyDescent="0.2">
      <c r="A64" s="123" t="s">
        <v>4158</v>
      </c>
      <c r="B64" s="920" t="s">
        <v>2049</v>
      </c>
      <c r="C64" s="920" t="s">
        <v>2050</v>
      </c>
      <c r="D64" s="921" t="s">
        <v>90</v>
      </c>
      <c r="E64" s="922" t="s">
        <v>118</v>
      </c>
      <c r="F64" s="2239"/>
      <c r="G64" s="2264"/>
      <c r="H64" s="2244"/>
      <c r="I64" s="2255"/>
      <c r="J64" s="2239"/>
      <c r="K64" s="2239"/>
      <c r="L64" s="2239"/>
      <c r="M64" s="210"/>
      <c r="N64" s="2239"/>
      <c r="O64" s="210">
        <f>N64*M64</f>
        <v>0</v>
      </c>
      <c r="P64" s="2247"/>
      <c r="Q64" s="103">
        <f>'Ab1. RMNCH+A'!Q17</f>
        <v>0</v>
      </c>
      <c r="R64" s="675">
        <f>'Ab1. RMNCH+A'!R17</f>
        <v>0</v>
      </c>
    </row>
    <row r="65" spans="1:19" ht="30" x14ac:dyDescent="0.2">
      <c r="A65" s="123" t="s">
        <v>4159</v>
      </c>
      <c r="B65" s="920" t="s">
        <v>2051</v>
      </c>
      <c r="C65" s="920" t="s">
        <v>2052</v>
      </c>
      <c r="D65" s="921" t="s">
        <v>90</v>
      </c>
      <c r="E65" s="922" t="s">
        <v>118</v>
      </c>
      <c r="F65" s="2239"/>
      <c r="G65" s="2264"/>
      <c r="H65" s="2244"/>
      <c r="I65" s="2255"/>
      <c r="J65" s="2239"/>
      <c r="K65" s="2239"/>
      <c r="L65" s="2239"/>
      <c r="M65" s="210"/>
      <c r="N65" s="2239"/>
      <c r="O65" s="210">
        <f>N65*M65</f>
        <v>0</v>
      </c>
      <c r="P65" s="2247"/>
      <c r="Q65" s="103">
        <f>'Ab1. RMNCH+A'!Q18</f>
        <v>0</v>
      </c>
      <c r="R65" s="675">
        <f>'Ab1. RMNCH+A'!R18</f>
        <v>0</v>
      </c>
    </row>
    <row r="66" spans="1:19" ht="30" x14ac:dyDescent="0.2">
      <c r="A66" s="123" t="s">
        <v>4160</v>
      </c>
      <c r="B66" s="920" t="s">
        <v>2053</v>
      </c>
      <c r="C66" s="920" t="s">
        <v>2054</v>
      </c>
      <c r="D66" s="921" t="s">
        <v>90</v>
      </c>
      <c r="E66" s="922" t="s">
        <v>118</v>
      </c>
      <c r="F66" s="171"/>
      <c r="G66" s="171"/>
      <c r="H66" s="211"/>
      <c r="I66" s="211"/>
      <c r="J66" s="171"/>
      <c r="K66" s="171"/>
      <c r="L66" s="188"/>
      <c r="M66" s="210"/>
      <c r="N66" s="188"/>
      <c r="O66" s="210">
        <f>N66*M66</f>
        <v>0</v>
      </c>
      <c r="P66" s="189"/>
      <c r="Q66" s="103">
        <f>'Ab1. RMNCH+A'!Q19</f>
        <v>0</v>
      </c>
      <c r="R66" s="675">
        <f>'Ab1. RMNCH+A'!R19</f>
        <v>0</v>
      </c>
    </row>
    <row r="67" spans="1:19" ht="30" x14ac:dyDescent="0.2">
      <c r="A67" s="913" t="s">
        <v>50</v>
      </c>
      <c r="B67" s="914"/>
      <c r="C67" s="100" t="s">
        <v>2055</v>
      </c>
      <c r="D67" s="915"/>
      <c r="E67" s="916"/>
      <c r="F67" s="164"/>
      <c r="G67" s="164"/>
      <c r="H67" s="927"/>
      <c r="I67" s="927"/>
      <c r="J67" s="927"/>
      <c r="K67" s="165"/>
      <c r="L67" s="209"/>
      <c r="M67" s="927"/>
      <c r="N67" s="212"/>
      <c r="O67" s="927">
        <f>O68+O71+O76+O77</f>
        <v>0</v>
      </c>
      <c r="P67" s="110"/>
      <c r="Q67" s="100"/>
      <c r="R67" s="226">
        <f>R68+R71+R76+R77</f>
        <v>0</v>
      </c>
    </row>
    <row r="68" spans="1:19" s="940" customFormat="1" x14ac:dyDescent="0.2">
      <c r="A68" s="104" t="s">
        <v>2056</v>
      </c>
      <c r="B68" s="104" t="s">
        <v>1973</v>
      </c>
      <c r="C68" s="104" t="s">
        <v>1974</v>
      </c>
      <c r="D68" s="948"/>
      <c r="E68" s="948"/>
      <c r="F68" s="220"/>
      <c r="G68" s="220"/>
      <c r="H68" s="177"/>
      <c r="I68" s="177"/>
      <c r="J68" s="177"/>
      <c r="K68" s="220"/>
      <c r="L68" s="188"/>
      <c r="M68" s="177"/>
      <c r="N68" s="188"/>
      <c r="O68" s="177">
        <f>SUM(O69:O70)</f>
        <v>0</v>
      </c>
      <c r="P68" s="189"/>
      <c r="Q68" s="104"/>
      <c r="R68" s="232">
        <f>SUM(R69:R70)</f>
        <v>0</v>
      </c>
    </row>
    <row r="69" spans="1:19" ht="135" x14ac:dyDescent="0.2">
      <c r="A69" s="123" t="s">
        <v>4161</v>
      </c>
      <c r="B69" s="920" t="s">
        <v>2057</v>
      </c>
      <c r="C69" s="920" t="s">
        <v>2058</v>
      </c>
      <c r="D69" s="921" t="s">
        <v>90</v>
      </c>
      <c r="E69" s="922" t="s">
        <v>91</v>
      </c>
      <c r="F69" s="2239"/>
      <c r="G69" s="2265"/>
      <c r="H69" s="2244"/>
      <c r="I69" s="2255"/>
      <c r="J69" s="2241"/>
      <c r="K69" s="2239"/>
      <c r="L69" s="2239"/>
      <c r="M69" s="210"/>
      <c r="N69" s="2239"/>
      <c r="O69" s="210">
        <f>N69*M69</f>
        <v>0</v>
      </c>
      <c r="P69" s="2246"/>
      <c r="Q69" s="103">
        <f>'Ab1. RMNCH+A'!Q203</f>
        <v>0</v>
      </c>
      <c r="R69" s="675">
        <f>'Ab1. RMNCH+A'!R203</f>
        <v>0</v>
      </c>
    </row>
    <row r="70" spans="1:19" ht="90" x14ac:dyDescent="0.2">
      <c r="A70" s="123" t="s">
        <v>4162</v>
      </c>
      <c r="B70" s="920" t="s">
        <v>2059</v>
      </c>
      <c r="C70" s="920" t="s">
        <v>2060</v>
      </c>
      <c r="D70" s="921" t="s">
        <v>90</v>
      </c>
      <c r="E70" s="922" t="s">
        <v>91</v>
      </c>
      <c r="F70" s="2239"/>
      <c r="G70" s="2265"/>
      <c r="H70" s="2244"/>
      <c r="I70" s="2255"/>
      <c r="J70" s="2250"/>
      <c r="K70" s="2239"/>
      <c r="L70" s="2239"/>
      <c r="M70" s="210"/>
      <c r="N70" s="2239"/>
      <c r="O70" s="210">
        <f>N70*M70</f>
        <v>0</v>
      </c>
      <c r="P70" s="2246"/>
      <c r="Q70" s="103">
        <f>'Ab1. RMNCH+A'!Q204</f>
        <v>0</v>
      </c>
      <c r="R70" s="675">
        <f>'Ab1. RMNCH+A'!R204</f>
        <v>0</v>
      </c>
    </row>
    <row r="71" spans="1:19" s="940" customFormat="1" x14ac:dyDescent="0.2">
      <c r="A71" s="194" t="s">
        <v>2061</v>
      </c>
      <c r="B71" s="194" t="s">
        <v>1980</v>
      </c>
      <c r="C71" s="194" t="s">
        <v>1981</v>
      </c>
      <c r="D71" s="931"/>
      <c r="E71" s="931"/>
      <c r="F71" s="213"/>
      <c r="G71" s="213"/>
      <c r="H71" s="932"/>
      <c r="I71" s="932"/>
      <c r="J71" s="932"/>
      <c r="K71" s="213"/>
      <c r="L71" s="214"/>
      <c r="M71" s="932"/>
      <c r="N71" s="214"/>
      <c r="O71" s="932">
        <f>SUM(O72:O75)</f>
        <v>0</v>
      </c>
      <c r="P71" s="193"/>
      <c r="Q71" s="194"/>
      <c r="R71" s="228">
        <f>SUM(R72:R75)</f>
        <v>0</v>
      </c>
    </row>
    <row r="72" spans="1:19" ht="60" x14ac:dyDescent="0.2">
      <c r="A72" s="123" t="s">
        <v>4163</v>
      </c>
      <c r="B72" s="920" t="s">
        <v>735</v>
      </c>
      <c r="C72" s="920" t="s">
        <v>3974</v>
      </c>
      <c r="D72" s="921" t="s">
        <v>90</v>
      </c>
      <c r="E72" s="922" t="s">
        <v>91</v>
      </c>
      <c r="F72" s="171"/>
      <c r="G72" s="171"/>
      <c r="H72" s="211"/>
      <c r="I72" s="211"/>
      <c r="J72" s="203"/>
      <c r="K72" s="171"/>
      <c r="L72" s="188"/>
      <c r="M72" s="210"/>
      <c r="N72" s="188"/>
      <c r="O72" s="210">
        <f t="shared" ref="O72:O77" si="2">N72*M72</f>
        <v>0</v>
      </c>
      <c r="P72" s="189"/>
      <c r="Q72" s="103">
        <f>'Ab1. RMNCH+A'!Q205</f>
        <v>0</v>
      </c>
      <c r="R72" s="675">
        <f>'Ab1. RMNCH+A'!R205</f>
        <v>0</v>
      </c>
    </row>
    <row r="73" spans="1:19" ht="30" x14ac:dyDescent="0.2">
      <c r="A73" s="123" t="s">
        <v>4164</v>
      </c>
      <c r="B73" s="920" t="s">
        <v>737</v>
      </c>
      <c r="C73" s="920" t="s">
        <v>3975</v>
      </c>
      <c r="D73" s="921" t="s">
        <v>90</v>
      </c>
      <c r="E73" s="922" t="s">
        <v>91</v>
      </c>
      <c r="F73" s="2239"/>
      <c r="G73" s="2249"/>
      <c r="H73" s="2244"/>
      <c r="I73" s="2255"/>
      <c r="J73" s="2239"/>
      <c r="K73" s="2239"/>
      <c r="L73" s="2239"/>
      <c r="M73" s="210"/>
      <c r="N73" s="188"/>
      <c r="O73" s="210">
        <f t="shared" si="2"/>
        <v>0</v>
      </c>
      <c r="P73" s="2268"/>
      <c r="Q73" s="103">
        <f>'Ab1. RMNCH+A'!Q206</f>
        <v>0</v>
      </c>
      <c r="R73" s="675">
        <f>'Ab1. RMNCH+A'!R206</f>
        <v>0</v>
      </c>
    </row>
    <row r="74" spans="1:19" ht="30" x14ac:dyDescent="0.2">
      <c r="A74" s="123" t="s">
        <v>4165</v>
      </c>
      <c r="B74" s="920" t="s">
        <v>739</v>
      </c>
      <c r="C74" s="920" t="s">
        <v>3976</v>
      </c>
      <c r="D74" s="921" t="s">
        <v>90</v>
      </c>
      <c r="E74" s="922" t="s">
        <v>91</v>
      </c>
      <c r="F74" s="2239"/>
      <c r="G74" s="2249"/>
      <c r="H74" s="2244"/>
      <c r="I74" s="2255"/>
      <c r="J74" s="2239"/>
      <c r="K74" s="2239"/>
      <c r="L74" s="2239"/>
      <c r="M74" s="210"/>
      <c r="N74" s="188"/>
      <c r="O74" s="210">
        <f t="shared" si="2"/>
        <v>0</v>
      </c>
      <c r="P74" s="2252"/>
      <c r="Q74" s="103">
        <f>'Ab1. RMNCH+A'!Q207</f>
        <v>0</v>
      </c>
      <c r="R74" s="675">
        <f>'Ab1. RMNCH+A'!R207</f>
        <v>0</v>
      </c>
    </row>
    <row r="75" spans="1:19" ht="30" x14ac:dyDescent="0.2">
      <c r="A75" s="123" t="s">
        <v>4166</v>
      </c>
      <c r="B75" s="920" t="s">
        <v>2062</v>
      </c>
      <c r="C75" s="920" t="s">
        <v>2063</v>
      </c>
      <c r="D75" s="921" t="s">
        <v>90</v>
      </c>
      <c r="E75" s="922" t="s">
        <v>91</v>
      </c>
      <c r="F75" s="2239"/>
      <c r="G75" s="2249"/>
      <c r="H75" s="2244"/>
      <c r="I75" s="2255"/>
      <c r="J75" s="2239"/>
      <c r="K75" s="2239"/>
      <c r="L75" s="2239"/>
      <c r="M75" s="210"/>
      <c r="N75" s="188"/>
      <c r="O75" s="210">
        <f t="shared" si="2"/>
        <v>0</v>
      </c>
      <c r="P75" s="2252"/>
      <c r="Q75" s="103">
        <f>'Ab1. RMNCH+A'!Q208</f>
        <v>0</v>
      </c>
      <c r="R75" s="675">
        <f>'Ab1. RMNCH+A'!R208</f>
        <v>0</v>
      </c>
    </row>
    <row r="76" spans="1:19" s="950" customFormat="1" x14ac:dyDescent="0.2">
      <c r="A76" s="123" t="s">
        <v>2064</v>
      </c>
      <c r="B76" s="936" t="s">
        <v>2065</v>
      </c>
      <c r="C76" s="936" t="s">
        <v>2066</v>
      </c>
      <c r="D76" s="921" t="s">
        <v>90</v>
      </c>
      <c r="E76" s="922" t="s">
        <v>91</v>
      </c>
      <c r="F76" s="2250"/>
      <c r="G76" s="2249"/>
      <c r="H76" s="2266"/>
      <c r="I76" s="2267"/>
      <c r="J76" s="2250"/>
      <c r="K76" s="2239"/>
      <c r="L76" s="2250"/>
      <c r="M76" s="210"/>
      <c r="N76" s="188"/>
      <c r="O76" s="210">
        <f t="shared" si="2"/>
        <v>0</v>
      </c>
      <c r="P76" s="2246"/>
      <c r="Q76" s="103">
        <f>'Ab1. RMNCH+A'!Q209</f>
        <v>0</v>
      </c>
      <c r="R76" s="675">
        <f>'Ab1. RMNCH+A'!R209</f>
        <v>0</v>
      </c>
      <c r="S76" s="919"/>
    </row>
    <row r="77" spans="1:19" s="950" customFormat="1" x14ac:dyDescent="0.2">
      <c r="A77" s="123" t="s">
        <v>2559</v>
      </c>
      <c r="B77" s="935"/>
      <c r="C77" s="936" t="s">
        <v>1310</v>
      </c>
      <c r="D77" s="921" t="s">
        <v>90</v>
      </c>
      <c r="E77" s="922" t="s">
        <v>91</v>
      </c>
      <c r="F77" s="202"/>
      <c r="G77" s="171"/>
      <c r="H77" s="221"/>
      <c r="I77" s="221"/>
      <c r="J77" s="202"/>
      <c r="K77" s="171"/>
      <c r="L77" s="188"/>
      <c r="M77" s="210"/>
      <c r="N77" s="188"/>
      <c r="O77" s="210">
        <f t="shared" si="2"/>
        <v>0</v>
      </c>
      <c r="P77" s="189"/>
      <c r="Q77" s="103">
        <f>'Ab1. RMNCH+A'!Q210</f>
        <v>0</v>
      </c>
      <c r="R77" s="675">
        <f>'Ab1. RMNCH+A'!R210</f>
        <v>0</v>
      </c>
    </row>
    <row r="78" spans="1:19" x14ac:dyDescent="0.2">
      <c r="A78" s="913" t="s">
        <v>51</v>
      </c>
      <c r="B78" s="914"/>
      <c r="C78" s="100" t="s">
        <v>44</v>
      </c>
      <c r="D78" s="915"/>
      <c r="E78" s="916"/>
      <c r="F78" s="164"/>
      <c r="G78" s="164"/>
      <c r="H78" s="927"/>
      <c r="I78" s="927"/>
      <c r="J78" s="927"/>
      <c r="K78" s="165"/>
      <c r="L78" s="209"/>
      <c r="M78" s="927"/>
      <c r="N78" s="212"/>
      <c r="O78" s="927">
        <f>SUM(O79:O82)</f>
        <v>0</v>
      </c>
      <c r="P78" s="110"/>
      <c r="Q78" s="100"/>
      <c r="R78" s="226">
        <f>SUM(R79:R82)</f>
        <v>0</v>
      </c>
      <c r="S78" s="950"/>
    </row>
    <row r="79" spans="1:19" x14ac:dyDescent="0.2">
      <c r="A79" s="123" t="s">
        <v>2067</v>
      </c>
      <c r="B79" s="937" t="s">
        <v>2004</v>
      </c>
      <c r="C79" s="937" t="s">
        <v>2005</v>
      </c>
      <c r="D79" s="888" t="s">
        <v>4366</v>
      </c>
      <c r="E79" s="922" t="s">
        <v>146</v>
      </c>
      <c r="F79" s="2239"/>
      <c r="G79" s="2240"/>
      <c r="H79" s="2239"/>
      <c r="I79" s="2253"/>
      <c r="J79" s="2239"/>
      <c r="K79" s="2239"/>
      <c r="L79" s="2239"/>
      <c r="M79" s="210"/>
      <c r="N79" s="2239"/>
      <c r="O79" s="210">
        <f>N79*M79</f>
        <v>0</v>
      </c>
      <c r="P79" s="2247"/>
      <c r="Q79" s="103">
        <f>'Abs10. NLEP'!Q10</f>
        <v>0</v>
      </c>
      <c r="R79" s="675">
        <f>'Abs10. NLEP'!R10</f>
        <v>0</v>
      </c>
    </row>
    <row r="80" spans="1:19" ht="30" x14ac:dyDescent="0.2">
      <c r="A80" s="123" t="s">
        <v>2068</v>
      </c>
      <c r="B80" s="937" t="s">
        <v>4075</v>
      </c>
      <c r="C80" s="938" t="s">
        <v>4590</v>
      </c>
      <c r="D80" s="888" t="s">
        <v>4366</v>
      </c>
      <c r="E80" s="922" t="s">
        <v>4683</v>
      </c>
      <c r="F80" s="2239"/>
      <c r="G80" s="2240"/>
      <c r="H80" s="2239"/>
      <c r="I80" s="2253"/>
      <c r="J80" s="2239"/>
      <c r="K80" s="2239"/>
      <c r="L80" s="2239"/>
      <c r="M80" s="210"/>
      <c r="N80" s="2239"/>
      <c r="O80" s="210">
        <f>N80*M80</f>
        <v>0</v>
      </c>
      <c r="P80" s="2247"/>
      <c r="Q80" s="103">
        <f>'Abs11. NTEP'!Q8</f>
        <v>0</v>
      </c>
      <c r="R80" s="675">
        <f>'Abs11. NTEP'!R8</f>
        <v>0</v>
      </c>
    </row>
    <row r="81" spans="1:18" s="940" customFormat="1" ht="30" x14ac:dyDescent="0.2">
      <c r="A81" s="123" t="s">
        <v>4074</v>
      </c>
      <c r="B81" s="938"/>
      <c r="C81" s="938" t="s">
        <v>4591</v>
      </c>
      <c r="D81" s="888" t="s">
        <v>4366</v>
      </c>
      <c r="E81" s="933" t="s">
        <v>4984</v>
      </c>
      <c r="F81" s="195"/>
      <c r="G81" s="195"/>
      <c r="H81" s="195"/>
      <c r="I81" s="195"/>
      <c r="J81" s="195"/>
      <c r="K81" s="195"/>
      <c r="L81" s="188"/>
      <c r="M81" s="934"/>
      <c r="N81" s="188"/>
      <c r="O81" s="934">
        <f>N81*M81</f>
        <v>0</v>
      </c>
      <c r="P81" s="189"/>
      <c r="Q81" s="123">
        <f>'Abs9. NVBDCP'!Q10</f>
        <v>0</v>
      </c>
      <c r="R81" s="619">
        <f>'Abs9. NVBDCP'!R10</f>
        <v>0</v>
      </c>
    </row>
    <row r="82" spans="1:18" x14ac:dyDescent="0.2">
      <c r="A82" s="123" t="s">
        <v>4589</v>
      </c>
      <c r="B82" s="123"/>
      <c r="C82" s="103" t="s">
        <v>1310</v>
      </c>
      <c r="D82" s="886" t="s">
        <v>70</v>
      </c>
      <c r="E82" s="941" t="s">
        <v>70</v>
      </c>
      <c r="F82" s="171"/>
      <c r="G82" s="171"/>
      <c r="H82" s="171"/>
      <c r="I82" s="171"/>
      <c r="J82" s="171"/>
      <c r="K82" s="171"/>
      <c r="L82" s="188"/>
      <c r="M82" s="210"/>
      <c r="N82" s="188"/>
      <c r="O82" s="210">
        <f>N82*M82</f>
        <v>0</v>
      </c>
      <c r="P82" s="189"/>
      <c r="Q82" s="192"/>
      <c r="R82" s="230"/>
    </row>
    <row r="83" spans="1:18" x14ac:dyDescent="0.2">
      <c r="A83" s="840">
        <v>1.3</v>
      </c>
      <c r="B83" s="906"/>
      <c r="C83" s="99" t="s">
        <v>45</v>
      </c>
      <c r="D83" s="907"/>
      <c r="E83" s="908"/>
      <c r="F83" s="207"/>
      <c r="G83" s="207"/>
      <c r="H83" s="528"/>
      <c r="I83" s="528"/>
      <c r="J83" s="528"/>
      <c r="K83" s="219"/>
      <c r="L83" s="208"/>
      <c r="M83" s="911"/>
      <c r="N83" s="169"/>
      <c r="O83" s="528">
        <f>O84+O109</f>
        <v>0</v>
      </c>
      <c r="P83" s="185"/>
      <c r="Q83" s="186"/>
      <c r="R83" s="225">
        <f>R84+R109</f>
        <v>0</v>
      </c>
    </row>
    <row r="84" spans="1:18" ht="45" x14ac:dyDescent="0.2">
      <c r="A84" s="913" t="s">
        <v>2069</v>
      </c>
      <c r="B84" s="914"/>
      <c r="C84" s="100" t="s">
        <v>4714</v>
      </c>
      <c r="D84" s="915"/>
      <c r="E84" s="916"/>
      <c r="F84" s="164"/>
      <c r="G84" s="164"/>
      <c r="H84" s="918"/>
      <c r="I84" s="918"/>
      <c r="J84" s="918"/>
      <c r="K84" s="165"/>
      <c r="L84" s="209"/>
      <c r="M84" s="927"/>
      <c r="N84" s="212"/>
      <c r="O84" s="918">
        <f>SUM(O85:O100)+O101+O104+O108+O107</f>
        <v>0</v>
      </c>
      <c r="P84" s="110"/>
      <c r="Q84" s="100"/>
      <c r="R84" s="226">
        <f>SUM(R85:R100)+R101+R104+R108+R107</f>
        <v>0</v>
      </c>
    </row>
    <row r="85" spans="1:18" x14ac:dyDescent="0.2">
      <c r="A85" s="123" t="s">
        <v>4167</v>
      </c>
      <c r="B85" s="920" t="s">
        <v>2070</v>
      </c>
      <c r="C85" s="951" t="s">
        <v>5367</v>
      </c>
      <c r="D85" s="921" t="s">
        <v>90</v>
      </c>
      <c r="E85" s="933" t="s">
        <v>131</v>
      </c>
      <c r="F85" s="2239"/>
      <c r="G85" s="2249"/>
      <c r="H85" s="2239"/>
      <c r="I85" s="2253"/>
      <c r="J85" s="2239"/>
      <c r="K85" s="2239"/>
      <c r="L85" s="2239"/>
      <c r="M85" s="210"/>
      <c r="N85" s="2239"/>
      <c r="O85" s="210">
        <f t="shared" ref="O85:O93" si="3">N85*M85</f>
        <v>0</v>
      </c>
      <c r="P85" s="3021"/>
      <c r="Q85" s="103">
        <f>'Ab1. RMNCH+A'!Q103</f>
        <v>0</v>
      </c>
      <c r="R85" s="675">
        <f>'Ab1. RMNCH+A'!R103</f>
        <v>0</v>
      </c>
    </row>
    <row r="86" spans="1:18" x14ac:dyDescent="0.2">
      <c r="A86" s="123" t="s">
        <v>2092</v>
      </c>
      <c r="B86" s="920" t="s">
        <v>2071</v>
      </c>
      <c r="C86" s="951" t="s">
        <v>5368</v>
      </c>
      <c r="D86" s="921" t="s">
        <v>90</v>
      </c>
      <c r="E86" s="933" t="s">
        <v>131</v>
      </c>
      <c r="F86" s="2239"/>
      <c r="G86" s="2249"/>
      <c r="H86" s="2239"/>
      <c r="I86" s="2253"/>
      <c r="J86" s="2239"/>
      <c r="K86" s="2239"/>
      <c r="L86" s="2239"/>
      <c r="M86" s="210"/>
      <c r="N86" s="2239"/>
      <c r="O86" s="210">
        <f t="shared" si="3"/>
        <v>0</v>
      </c>
      <c r="P86" s="3035"/>
      <c r="Q86" s="103">
        <f>'Ab1. RMNCH+A'!Q104</f>
        <v>0</v>
      </c>
      <c r="R86" s="675">
        <f>'Ab1. RMNCH+A'!R104</f>
        <v>0</v>
      </c>
    </row>
    <row r="87" spans="1:18" x14ac:dyDescent="0.2">
      <c r="A87" s="123" t="s">
        <v>2093</v>
      </c>
      <c r="B87" s="920" t="s">
        <v>2072</v>
      </c>
      <c r="C87" s="951" t="s">
        <v>5369</v>
      </c>
      <c r="D87" s="921" t="s">
        <v>90</v>
      </c>
      <c r="E87" s="933" t="s">
        <v>131</v>
      </c>
      <c r="F87" s="2239"/>
      <c r="G87" s="2249"/>
      <c r="H87" s="2239"/>
      <c r="I87" s="2253"/>
      <c r="J87" s="2239"/>
      <c r="K87" s="2239"/>
      <c r="L87" s="2239"/>
      <c r="M87" s="210"/>
      <c r="N87" s="2239"/>
      <c r="O87" s="210">
        <f t="shared" si="3"/>
        <v>0</v>
      </c>
      <c r="P87" s="2252"/>
      <c r="Q87" s="103">
        <f>'Ab1. RMNCH+A'!Q105</f>
        <v>0</v>
      </c>
      <c r="R87" s="675">
        <f>'Ab1. RMNCH+A'!R105</f>
        <v>0</v>
      </c>
    </row>
    <row r="88" spans="1:18" x14ac:dyDescent="0.2">
      <c r="A88" s="123" t="s">
        <v>2094</v>
      </c>
      <c r="B88" s="920" t="s">
        <v>349</v>
      </c>
      <c r="C88" s="951" t="s">
        <v>5370</v>
      </c>
      <c r="D88" s="921" t="s">
        <v>90</v>
      </c>
      <c r="E88" s="933" t="s">
        <v>131</v>
      </c>
      <c r="F88" s="2239"/>
      <c r="G88" s="2249"/>
      <c r="H88" s="2239"/>
      <c r="I88" s="2253"/>
      <c r="J88" s="2239"/>
      <c r="K88" s="2239"/>
      <c r="L88" s="2239"/>
      <c r="M88" s="210"/>
      <c r="N88" s="2239"/>
      <c r="O88" s="210">
        <f t="shared" si="3"/>
        <v>0</v>
      </c>
      <c r="P88" s="3021"/>
      <c r="Q88" s="103">
        <f>'Ab1. RMNCH+A'!Q106</f>
        <v>0</v>
      </c>
      <c r="R88" s="675">
        <f>'Ab1. RMNCH+A'!R106</f>
        <v>0</v>
      </c>
    </row>
    <row r="89" spans="1:18" ht="30" x14ac:dyDescent="0.2">
      <c r="A89" s="123" t="s">
        <v>2095</v>
      </c>
      <c r="B89" s="925"/>
      <c r="C89" s="951" t="s">
        <v>5371</v>
      </c>
      <c r="D89" s="921" t="s">
        <v>90</v>
      </c>
      <c r="E89" s="933" t="s">
        <v>131</v>
      </c>
      <c r="F89" s="2239"/>
      <c r="G89" s="2249"/>
      <c r="H89" s="2239"/>
      <c r="I89" s="2253"/>
      <c r="J89" s="2239"/>
      <c r="K89" s="2239"/>
      <c r="L89" s="2239"/>
      <c r="M89" s="210"/>
      <c r="N89" s="2239"/>
      <c r="O89" s="210">
        <f t="shared" si="3"/>
        <v>0</v>
      </c>
      <c r="P89" s="2252"/>
      <c r="Q89" s="103">
        <f>'Ab1. RMNCH+A'!Q107</f>
        <v>0</v>
      </c>
      <c r="R89" s="675">
        <f>'Ab1. RMNCH+A'!R107</f>
        <v>0</v>
      </c>
    </row>
    <row r="90" spans="1:18" x14ac:dyDescent="0.2">
      <c r="A90" s="123" t="s">
        <v>2096</v>
      </c>
      <c r="B90" s="920" t="s">
        <v>2073</v>
      </c>
      <c r="C90" s="951" t="s">
        <v>5372</v>
      </c>
      <c r="D90" s="921" t="s">
        <v>90</v>
      </c>
      <c r="E90" s="933" t="s">
        <v>193</v>
      </c>
      <c r="F90" s="2239"/>
      <c r="G90" s="2240"/>
      <c r="H90" s="2239"/>
      <c r="I90" s="2253"/>
      <c r="J90" s="2239"/>
      <c r="K90" s="2239"/>
      <c r="L90" s="2239"/>
      <c r="M90" s="210"/>
      <c r="N90" s="2239"/>
      <c r="O90" s="210">
        <f t="shared" si="3"/>
        <v>0</v>
      </c>
      <c r="P90" s="2247"/>
      <c r="Q90" s="103">
        <f>'Ab1. RMNCH+A'!Q292</f>
        <v>0</v>
      </c>
      <c r="R90" s="675">
        <f>'Ab1. RMNCH+A'!R292</f>
        <v>0</v>
      </c>
    </row>
    <row r="91" spans="1:18" ht="45" x14ac:dyDescent="0.2">
      <c r="A91" s="123" t="s">
        <v>3316</v>
      </c>
      <c r="B91" s="920" t="s">
        <v>2484</v>
      </c>
      <c r="C91" s="920" t="s">
        <v>2485</v>
      </c>
      <c r="D91" s="921" t="s">
        <v>90</v>
      </c>
      <c r="E91" s="922" t="s">
        <v>96</v>
      </c>
      <c r="F91" s="2239"/>
      <c r="G91" s="2269"/>
      <c r="H91" s="2244"/>
      <c r="I91" s="2255"/>
      <c r="J91" s="2239"/>
      <c r="K91" s="2239"/>
      <c r="L91" s="2239"/>
      <c r="M91" s="210"/>
      <c r="N91" s="2239"/>
      <c r="O91" s="210">
        <f t="shared" si="3"/>
        <v>0</v>
      </c>
      <c r="P91" s="2247"/>
      <c r="Q91" s="103">
        <f>'Ab1. RMNCH+A'!Q347</f>
        <v>0</v>
      </c>
      <c r="R91" s="675">
        <f>'Ab1. RMNCH+A'!R347</f>
        <v>0</v>
      </c>
    </row>
    <row r="92" spans="1:18" ht="60" x14ac:dyDescent="0.2">
      <c r="A92" s="123" t="s">
        <v>2097</v>
      </c>
      <c r="B92" s="937" t="s">
        <v>2074</v>
      </c>
      <c r="C92" s="937" t="s">
        <v>4153</v>
      </c>
      <c r="D92" s="889" t="s">
        <v>85</v>
      </c>
      <c r="E92" s="922" t="s">
        <v>415</v>
      </c>
      <c r="F92" s="2239"/>
      <c r="G92" s="2240"/>
      <c r="H92" s="2239"/>
      <c r="I92" s="2253"/>
      <c r="J92" s="2239"/>
      <c r="K92" s="2239"/>
      <c r="L92" s="2239"/>
      <c r="M92" s="210"/>
      <c r="N92" s="2239"/>
      <c r="O92" s="210">
        <f t="shared" si="3"/>
        <v>0</v>
      </c>
      <c r="P92" s="2247"/>
      <c r="Q92" s="103">
        <f>'Abs19. NPCDCS'!Q9</f>
        <v>0</v>
      </c>
      <c r="R92" s="675">
        <f>'Abs19. NPCDCS'!R9</f>
        <v>0</v>
      </c>
    </row>
    <row r="93" spans="1:18" ht="30" x14ac:dyDescent="0.2">
      <c r="A93" s="123" t="s">
        <v>2098</v>
      </c>
      <c r="B93" s="937" t="s">
        <v>2075</v>
      </c>
      <c r="C93" s="937" t="s">
        <v>2684</v>
      </c>
      <c r="D93" s="889" t="s">
        <v>85</v>
      </c>
      <c r="E93" s="922" t="s">
        <v>415</v>
      </c>
      <c r="F93" s="2239"/>
      <c r="G93" s="2240"/>
      <c r="H93" s="2239"/>
      <c r="I93" s="2253"/>
      <c r="J93" s="2239"/>
      <c r="K93" s="2239"/>
      <c r="L93" s="2239"/>
      <c r="M93" s="210"/>
      <c r="N93" s="2239"/>
      <c r="O93" s="210">
        <f t="shared" si="3"/>
        <v>0</v>
      </c>
      <c r="P93" s="2247"/>
      <c r="Q93" s="103">
        <f>'Abs19. NPCDCS'!Q10</f>
        <v>0</v>
      </c>
      <c r="R93" s="675">
        <f>'Abs19. NPCDCS'!R10</f>
        <v>0</v>
      </c>
    </row>
    <row r="94" spans="1:18" ht="30" x14ac:dyDescent="0.2">
      <c r="A94" s="123" t="s">
        <v>2099</v>
      </c>
      <c r="B94" s="937" t="s">
        <v>2076</v>
      </c>
      <c r="C94" s="937" t="s">
        <v>3319</v>
      </c>
      <c r="D94" s="889" t="s">
        <v>85</v>
      </c>
      <c r="E94" s="922" t="s">
        <v>415</v>
      </c>
      <c r="F94" s="2239"/>
      <c r="G94" s="2240"/>
      <c r="H94" s="2239"/>
      <c r="I94" s="2253"/>
      <c r="J94" s="2239"/>
      <c r="K94" s="2239"/>
      <c r="L94" s="2239"/>
      <c r="M94" s="210"/>
      <c r="N94" s="2239"/>
      <c r="O94" s="210">
        <f>N94*M94</f>
        <v>0</v>
      </c>
      <c r="P94" s="3248"/>
      <c r="Q94" s="103">
        <f>'Abs19. NPCDCS'!Q11</f>
        <v>0</v>
      </c>
      <c r="R94" s="675">
        <f>'Abs19. NPCDCS'!R11</f>
        <v>0</v>
      </c>
    </row>
    <row r="95" spans="1:18" ht="30" x14ac:dyDescent="0.2">
      <c r="A95" s="123" t="s">
        <v>2356</v>
      </c>
      <c r="B95" s="937" t="s">
        <v>2077</v>
      </c>
      <c r="C95" s="937" t="s">
        <v>2685</v>
      </c>
      <c r="D95" s="889" t="s">
        <v>85</v>
      </c>
      <c r="E95" s="922" t="s">
        <v>415</v>
      </c>
      <c r="F95" s="2239"/>
      <c r="G95" s="2240"/>
      <c r="H95" s="2239"/>
      <c r="I95" s="2239"/>
      <c r="J95" s="2239"/>
      <c r="K95" s="2239"/>
      <c r="L95" s="2239"/>
      <c r="M95" s="210"/>
      <c r="N95" s="2239"/>
      <c r="O95" s="210">
        <f>N95*M95</f>
        <v>0</v>
      </c>
      <c r="P95" s="2252"/>
      <c r="Q95" s="103">
        <f>'Abs19. NPCDCS'!Q12</f>
        <v>0</v>
      </c>
      <c r="R95" s="675">
        <f>'Abs19. NPCDCS'!R12</f>
        <v>0</v>
      </c>
    </row>
    <row r="96" spans="1:18" ht="30" x14ac:dyDescent="0.2">
      <c r="A96" s="123" t="s">
        <v>2467</v>
      </c>
      <c r="B96" s="937" t="s">
        <v>1703</v>
      </c>
      <c r="C96" s="937" t="s">
        <v>4892</v>
      </c>
      <c r="D96" s="888" t="s">
        <v>4366</v>
      </c>
      <c r="E96" s="922" t="s">
        <v>4683</v>
      </c>
      <c r="F96" s="2239"/>
      <c r="G96" s="2240"/>
      <c r="H96" s="2239"/>
      <c r="I96" s="2239"/>
      <c r="J96" s="2239"/>
      <c r="K96" s="2239"/>
      <c r="L96" s="2239"/>
      <c r="M96" s="210"/>
      <c r="N96" s="2239"/>
      <c r="O96" s="210">
        <f>N96*M96</f>
        <v>0</v>
      </c>
      <c r="P96" s="2252"/>
      <c r="Q96" s="103">
        <f>'Abs11. NTEP'!Q9</f>
        <v>0</v>
      </c>
      <c r="R96" s="675">
        <f>'Abs11. NTEP'!R9</f>
        <v>0</v>
      </c>
    </row>
    <row r="97" spans="1:18" ht="30" x14ac:dyDescent="0.2">
      <c r="A97" s="123" t="s">
        <v>2688</v>
      </c>
      <c r="B97" s="938"/>
      <c r="C97" s="103" t="s">
        <v>5374</v>
      </c>
      <c r="D97" s="921" t="s">
        <v>90</v>
      </c>
      <c r="E97" s="933" t="s">
        <v>131</v>
      </c>
      <c r="F97" s="2239"/>
      <c r="G97" s="2240"/>
      <c r="H97" s="2239"/>
      <c r="I97" s="2239"/>
      <c r="J97" s="2239"/>
      <c r="K97" s="2239"/>
      <c r="L97" s="2239"/>
      <c r="M97" s="210"/>
      <c r="N97" s="2239"/>
      <c r="O97" s="210">
        <f>N97*M97</f>
        <v>0</v>
      </c>
      <c r="P97" s="2252"/>
      <c r="Q97" s="103">
        <f>'Ab1. RMNCH+A'!Q108</f>
        <v>0</v>
      </c>
      <c r="R97" s="675">
        <f>'Ab1. RMNCH+A'!R108</f>
        <v>0</v>
      </c>
    </row>
    <row r="98" spans="1:18" ht="30" x14ac:dyDescent="0.2">
      <c r="A98" s="123" t="s">
        <v>3798</v>
      </c>
      <c r="B98" s="938"/>
      <c r="C98" s="103" t="s">
        <v>5373</v>
      </c>
      <c r="D98" s="921" t="s">
        <v>90</v>
      </c>
      <c r="E98" s="933" t="s">
        <v>131</v>
      </c>
      <c r="F98" s="2239"/>
      <c r="G98" s="2240"/>
      <c r="H98" s="2239"/>
      <c r="I98" s="2239"/>
      <c r="J98" s="2239"/>
      <c r="K98" s="2239"/>
      <c r="L98" s="2239"/>
      <c r="M98" s="210"/>
      <c r="N98" s="2239"/>
      <c r="O98" s="210">
        <f t="shared" ref="O98:O108" si="4">N98*M98</f>
        <v>0</v>
      </c>
      <c r="P98" s="3038"/>
      <c r="Q98" s="103">
        <f>'Ab1. RMNCH+A'!Q109</f>
        <v>0</v>
      </c>
      <c r="R98" s="675">
        <f>'Ab1. RMNCH+A'!R109</f>
        <v>0</v>
      </c>
    </row>
    <row r="99" spans="1:18" ht="30" x14ac:dyDescent="0.2">
      <c r="A99" s="123" t="s">
        <v>3799</v>
      </c>
      <c r="B99" s="938"/>
      <c r="C99" s="103" t="s">
        <v>4787</v>
      </c>
      <c r="D99" s="921" t="s">
        <v>90</v>
      </c>
      <c r="E99" s="933" t="s">
        <v>131</v>
      </c>
      <c r="F99" s="2239"/>
      <c r="G99" s="2240"/>
      <c r="H99" s="2239"/>
      <c r="I99" s="2239"/>
      <c r="J99" s="2239"/>
      <c r="K99" s="2239"/>
      <c r="L99" s="2239"/>
      <c r="M99" s="210"/>
      <c r="N99" s="2239"/>
      <c r="O99" s="210">
        <f t="shared" si="4"/>
        <v>0</v>
      </c>
      <c r="P99" s="2247"/>
      <c r="Q99" s="103">
        <f>'Ab1. RMNCH+A'!Q110</f>
        <v>0</v>
      </c>
      <c r="R99" s="675">
        <f>'Ab1. RMNCH+A'!R110</f>
        <v>0</v>
      </c>
    </row>
    <row r="100" spans="1:18" ht="30" x14ac:dyDescent="0.2">
      <c r="A100" s="123" t="s">
        <v>3800</v>
      </c>
      <c r="B100" s="938"/>
      <c r="C100" s="103" t="s">
        <v>3320</v>
      </c>
      <c r="D100" s="888" t="s">
        <v>4366</v>
      </c>
      <c r="E100" s="933" t="s">
        <v>3323</v>
      </c>
      <c r="F100" s="2239"/>
      <c r="G100" s="2240"/>
      <c r="H100" s="2239"/>
      <c r="I100" s="2239"/>
      <c r="J100" s="2239"/>
      <c r="K100" s="2239"/>
      <c r="L100" s="2239"/>
      <c r="M100" s="210"/>
      <c r="N100" s="2239"/>
      <c r="O100" s="210">
        <f t="shared" si="4"/>
        <v>0</v>
      </c>
      <c r="P100" s="2246"/>
      <c r="Q100" s="103">
        <f>'Abs12. NVHCP'!Q7</f>
        <v>0</v>
      </c>
      <c r="R100" s="675">
        <f>'Abs12. NVHCP'!R7</f>
        <v>0</v>
      </c>
    </row>
    <row r="101" spans="1:18" x14ac:dyDescent="0.2">
      <c r="A101" s="204" t="s">
        <v>3801</v>
      </c>
      <c r="B101" s="204"/>
      <c r="C101" s="204" t="s">
        <v>3321</v>
      </c>
      <c r="D101" s="952"/>
      <c r="E101" s="952"/>
      <c r="F101" s="222"/>
      <c r="G101" s="222"/>
      <c r="H101" s="927"/>
      <c r="I101" s="927"/>
      <c r="J101" s="927"/>
      <c r="K101" s="222"/>
      <c r="L101" s="222"/>
      <c r="M101" s="927"/>
      <c r="N101" s="1438"/>
      <c r="O101" s="927">
        <f>O102+O103</f>
        <v>0</v>
      </c>
      <c r="P101" s="163"/>
      <c r="Q101" s="204"/>
      <c r="R101" s="233">
        <f>R102+R103</f>
        <v>0</v>
      </c>
    </row>
    <row r="102" spans="1:18" ht="75" x14ac:dyDescent="0.2">
      <c r="A102" s="123" t="s">
        <v>3802</v>
      </c>
      <c r="B102" s="938"/>
      <c r="C102" s="103" t="s">
        <v>5376</v>
      </c>
      <c r="D102" s="888" t="s">
        <v>4366</v>
      </c>
      <c r="E102" s="933" t="s">
        <v>3323</v>
      </c>
      <c r="F102" s="171"/>
      <c r="G102" s="171"/>
      <c r="H102" s="171"/>
      <c r="I102" s="171"/>
      <c r="J102" s="171"/>
      <c r="K102" s="2239"/>
      <c r="L102" s="188"/>
      <c r="M102" s="210"/>
      <c r="N102" s="188"/>
      <c r="O102" s="210">
        <f t="shared" si="4"/>
        <v>0</v>
      </c>
      <c r="P102" s="2836"/>
      <c r="Q102" s="103">
        <f>'Abs12. NVHCP'!Q8</f>
        <v>0</v>
      </c>
      <c r="R102" s="675">
        <f>'Abs12. NVHCP'!R8</f>
        <v>0</v>
      </c>
    </row>
    <row r="103" spans="1:18" ht="30" x14ac:dyDescent="0.2">
      <c r="A103" s="123" t="s">
        <v>3803</v>
      </c>
      <c r="B103" s="938"/>
      <c r="C103" s="103" t="s">
        <v>5377</v>
      </c>
      <c r="D103" s="888" t="s">
        <v>4366</v>
      </c>
      <c r="E103" s="933" t="s">
        <v>3323</v>
      </c>
      <c r="F103" s="2239"/>
      <c r="G103" s="2240"/>
      <c r="H103" s="2239"/>
      <c r="I103" s="2239"/>
      <c r="J103" s="2239"/>
      <c r="K103" s="2239"/>
      <c r="L103" s="2239"/>
      <c r="M103" s="210"/>
      <c r="N103" s="188"/>
      <c r="O103" s="210">
        <f t="shared" si="4"/>
        <v>0</v>
      </c>
      <c r="P103" s="2246"/>
      <c r="Q103" s="103">
        <f>'Abs12. NVHCP'!Q9</f>
        <v>0</v>
      </c>
      <c r="R103" s="675">
        <f>'Abs12. NVHCP'!R9</f>
        <v>0</v>
      </c>
    </row>
    <row r="104" spans="1:18" x14ac:dyDescent="0.2">
      <c r="A104" s="204" t="s">
        <v>3804</v>
      </c>
      <c r="B104" s="204"/>
      <c r="C104" s="204" t="s">
        <v>3322</v>
      </c>
      <c r="D104" s="952"/>
      <c r="E104" s="952"/>
      <c r="F104" s="222"/>
      <c r="G104" s="222"/>
      <c r="H104" s="927"/>
      <c r="I104" s="927"/>
      <c r="J104" s="927"/>
      <c r="K104" s="222"/>
      <c r="L104" s="222"/>
      <c r="M104" s="927"/>
      <c r="N104" s="223"/>
      <c r="O104" s="927">
        <f>O105+O106</f>
        <v>0</v>
      </c>
      <c r="P104" s="163"/>
      <c r="Q104" s="204"/>
      <c r="R104" s="233">
        <f>R105+R106</f>
        <v>0</v>
      </c>
    </row>
    <row r="105" spans="1:18" ht="30" x14ac:dyDescent="0.2">
      <c r="A105" s="123" t="s">
        <v>3848</v>
      </c>
      <c r="B105" s="938"/>
      <c r="C105" s="103" t="s">
        <v>5378</v>
      </c>
      <c r="D105" s="888" t="s">
        <v>4366</v>
      </c>
      <c r="E105" s="933" t="s">
        <v>3323</v>
      </c>
      <c r="F105" s="171"/>
      <c r="G105" s="171"/>
      <c r="H105" s="171"/>
      <c r="I105" s="171"/>
      <c r="J105" s="171"/>
      <c r="K105" s="171"/>
      <c r="L105" s="188"/>
      <c r="M105" s="210"/>
      <c r="N105" s="188"/>
      <c r="O105" s="210">
        <f t="shared" si="4"/>
        <v>0</v>
      </c>
      <c r="P105" s="3246"/>
      <c r="Q105" s="103">
        <f>'Abs12. NVHCP'!Q10</f>
        <v>0</v>
      </c>
      <c r="R105" s="675">
        <f>'Abs12. NVHCP'!R10</f>
        <v>0</v>
      </c>
    </row>
    <row r="106" spans="1:18" ht="30" x14ac:dyDescent="0.2">
      <c r="A106" s="123" t="s">
        <v>3849</v>
      </c>
      <c r="B106" s="938"/>
      <c r="C106" s="103" t="s">
        <v>5379</v>
      </c>
      <c r="D106" s="888" t="s">
        <v>4366</v>
      </c>
      <c r="E106" s="933" t="s">
        <v>3323</v>
      </c>
      <c r="F106" s="171"/>
      <c r="G106" s="171"/>
      <c r="H106" s="171"/>
      <c r="I106" s="171"/>
      <c r="J106" s="171"/>
      <c r="K106" s="171"/>
      <c r="L106" s="188"/>
      <c r="M106" s="210"/>
      <c r="N106" s="188"/>
      <c r="O106" s="210">
        <f t="shared" si="4"/>
        <v>0</v>
      </c>
      <c r="P106" s="3242"/>
      <c r="Q106" s="103">
        <f>'Abs12. NVHCP'!Q11</f>
        <v>0</v>
      </c>
      <c r="R106" s="675">
        <f>'Abs12. NVHCP'!R11</f>
        <v>0</v>
      </c>
    </row>
    <row r="107" spans="1:18" s="940" customFormat="1" ht="30" x14ac:dyDescent="0.25">
      <c r="A107" s="123" t="s">
        <v>3805</v>
      </c>
      <c r="B107" s="938"/>
      <c r="C107" s="953" t="s">
        <v>4610</v>
      </c>
      <c r="D107" s="921" t="s">
        <v>90</v>
      </c>
      <c r="E107" s="933" t="s">
        <v>193</v>
      </c>
      <c r="F107" s="195"/>
      <c r="G107" s="195"/>
      <c r="H107" s="195"/>
      <c r="I107" s="195"/>
      <c r="J107" s="195"/>
      <c r="K107" s="195"/>
      <c r="L107" s="188"/>
      <c r="M107" s="934"/>
      <c r="N107" s="188"/>
      <c r="O107" s="934">
        <f>N107*M107</f>
        <v>0</v>
      </c>
      <c r="P107" s="189"/>
      <c r="Q107" s="123">
        <f>'Ab1. RMNCH+A'!Q293</f>
        <v>0</v>
      </c>
      <c r="R107" s="619">
        <f>'Ab1. RMNCH+A'!R293</f>
        <v>0</v>
      </c>
    </row>
    <row r="108" spans="1:18" x14ac:dyDescent="0.2">
      <c r="A108" s="123" t="s">
        <v>4154</v>
      </c>
      <c r="B108" s="103" t="s">
        <v>2688</v>
      </c>
      <c r="C108" s="954" t="s">
        <v>1310</v>
      </c>
      <c r="D108" s="886" t="s">
        <v>70</v>
      </c>
      <c r="E108" s="941" t="s">
        <v>70</v>
      </c>
      <c r="F108" s="171"/>
      <c r="G108" s="202"/>
      <c r="H108" s="211"/>
      <c r="I108" s="211"/>
      <c r="J108" s="171"/>
      <c r="K108" s="171"/>
      <c r="L108" s="188"/>
      <c r="M108" s="210"/>
      <c r="N108" s="188"/>
      <c r="O108" s="210">
        <f t="shared" si="4"/>
        <v>0</v>
      </c>
      <c r="P108" s="189"/>
      <c r="Q108" s="192"/>
      <c r="R108" s="230"/>
    </row>
    <row r="109" spans="1:18" x14ac:dyDescent="0.2">
      <c r="A109" s="913" t="s">
        <v>2078</v>
      </c>
      <c r="B109" s="914"/>
      <c r="C109" s="100" t="s">
        <v>2079</v>
      </c>
      <c r="D109" s="915"/>
      <c r="E109" s="916"/>
      <c r="F109" s="164"/>
      <c r="G109" s="164"/>
      <c r="H109" s="927"/>
      <c r="I109" s="927"/>
      <c r="J109" s="927"/>
      <c r="K109" s="165"/>
      <c r="L109" s="209"/>
      <c r="M109" s="927"/>
      <c r="N109" s="212"/>
      <c r="O109" s="927">
        <f>SUM(O110:O115)</f>
        <v>0</v>
      </c>
      <c r="P109" s="110"/>
      <c r="Q109" s="100"/>
      <c r="R109" s="226">
        <f>SUM(R110:R115)</f>
        <v>0</v>
      </c>
    </row>
    <row r="110" spans="1:18" ht="45" x14ac:dyDescent="0.2">
      <c r="A110" s="123" t="s">
        <v>2080</v>
      </c>
      <c r="B110" s="920" t="s">
        <v>2081</v>
      </c>
      <c r="C110" s="937" t="s">
        <v>2082</v>
      </c>
      <c r="D110" s="886" t="s">
        <v>70</v>
      </c>
      <c r="E110" s="922" t="s">
        <v>70</v>
      </c>
      <c r="F110" s="171"/>
      <c r="G110" s="171"/>
      <c r="H110" s="203"/>
      <c r="I110" s="203"/>
      <c r="J110" s="171"/>
      <c r="K110" s="171"/>
      <c r="L110" s="188"/>
      <c r="M110" s="210"/>
      <c r="N110" s="188"/>
      <c r="O110" s="210">
        <f t="shared" ref="O110:O115" si="5">N110*M110</f>
        <v>0</v>
      </c>
      <c r="P110" s="189"/>
      <c r="Q110" s="192"/>
      <c r="R110" s="230"/>
    </row>
    <row r="111" spans="1:18" ht="45" x14ac:dyDescent="0.2">
      <c r="A111" s="123" t="s">
        <v>2083</v>
      </c>
      <c r="B111" s="920" t="s">
        <v>2084</v>
      </c>
      <c r="C111" s="920" t="s">
        <v>4387</v>
      </c>
      <c r="D111" s="891" t="s">
        <v>85</v>
      </c>
      <c r="E111" s="922" t="s">
        <v>1034</v>
      </c>
      <c r="F111" s="171"/>
      <c r="G111" s="171"/>
      <c r="H111" s="203"/>
      <c r="I111" s="2881"/>
      <c r="J111" s="171"/>
      <c r="K111" s="171"/>
      <c r="L111" s="188"/>
      <c r="M111" s="210"/>
      <c r="N111" s="188"/>
      <c r="O111" s="210">
        <f t="shared" si="5"/>
        <v>0</v>
      </c>
      <c r="P111" s="189"/>
      <c r="Q111" s="103">
        <f>'Abs23. NPPCF'!Q9</f>
        <v>0</v>
      </c>
      <c r="R111" s="675">
        <f>'Abs23. NPPCF'!R9</f>
        <v>0</v>
      </c>
    </row>
    <row r="112" spans="1:18" ht="45" x14ac:dyDescent="0.2">
      <c r="A112" s="123" t="s">
        <v>2085</v>
      </c>
      <c r="B112" s="920" t="s">
        <v>2086</v>
      </c>
      <c r="C112" s="920" t="s">
        <v>4388</v>
      </c>
      <c r="D112" s="891" t="s">
        <v>85</v>
      </c>
      <c r="E112" s="922" t="s">
        <v>1034</v>
      </c>
      <c r="F112" s="2239"/>
      <c r="G112" s="2240"/>
      <c r="H112" s="2241"/>
      <c r="I112" s="2270"/>
      <c r="J112" s="2239"/>
      <c r="K112" s="2239"/>
      <c r="L112" s="2239"/>
      <c r="M112" s="210"/>
      <c r="N112" s="2239"/>
      <c r="O112" s="210">
        <f t="shared" si="5"/>
        <v>0</v>
      </c>
      <c r="P112" s="3248"/>
      <c r="Q112" s="103">
        <f>'Abs23. NPPCF'!Q10</f>
        <v>0</v>
      </c>
      <c r="R112" s="675">
        <f>'Abs23. NPPCF'!R10</f>
        <v>0</v>
      </c>
    </row>
    <row r="113" spans="1:18" ht="45" x14ac:dyDescent="0.2">
      <c r="A113" s="123" t="s">
        <v>2087</v>
      </c>
      <c r="B113" s="920" t="s">
        <v>2088</v>
      </c>
      <c r="C113" s="920" t="s">
        <v>2089</v>
      </c>
      <c r="D113" s="921" t="s">
        <v>90</v>
      </c>
      <c r="E113" s="922" t="s">
        <v>205</v>
      </c>
      <c r="F113" s="2239"/>
      <c r="G113" s="2269"/>
      <c r="H113" s="2244"/>
      <c r="I113" s="2255"/>
      <c r="J113" s="2239"/>
      <c r="K113" s="2239"/>
      <c r="L113" s="2239"/>
      <c r="M113" s="210"/>
      <c r="N113" s="2239"/>
      <c r="O113" s="210">
        <f t="shared" si="5"/>
        <v>0</v>
      </c>
      <c r="P113" s="2247"/>
      <c r="Q113" s="103">
        <f>'Ab1. RMNCH+A'!Q396</f>
        <v>0</v>
      </c>
      <c r="R113" s="675">
        <f>'Ab1. RMNCH+A'!R396</f>
        <v>0</v>
      </c>
    </row>
    <row r="114" spans="1:18" ht="30" x14ac:dyDescent="0.2">
      <c r="A114" s="123" t="s">
        <v>2090</v>
      </c>
      <c r="B114" s="920" t="s">
        <v>1379</v>
      </c>
      <c r="C114" s="920" t="s">
        <v>2853</v>
      </c>
      <c r="D114" s="891" t="s">
        <v>85</v>
      </c>
      <c r="E114" s="922" t="s">
        <v>314</v>
      </c>
      <c r="F114" s="2239"/>
      <c r="G114" s="2269"/>
      <c r="H114" s="2244"/>
      <c r="I114" s="2255"/>
      <c r="J114" s="2250"/>
      <c r="K114" s="2239"/>
      <c r="L114" s="2241"/>
      <c r="M114" s="210"/>
      <c r="N114" s="2239"/>
      <c r="O114" s="210">
        <f t="shared" si="5"/>
        <v>0</v>
      </c>
      <c r="P114" s="2271"/>
      <c r="Q114" s="103">
        <f>'Abs25. NPPC'!Q7</f>
        <v>0</v>
      </c>
      <c r="R114" s="675">
        <f>'Abs25. NPPC'!R7</f>
        <v>0</v>
      </c>
    </row>
    <row r="115" spans="1:18" x14ac:dyDescent="0.2">
      <c r="A115" s="123" t="s">
        <v>2687</v>
      </c>
      <c r="B115" s="123"/>
      <c r="C115" s="103" t="s">
        <v>1310</v>
      </c>
      <c r="D115" s="886" t="s">
        <v>70</v>
      </c>
      <c r="E115" s="922" t="s">
        <v>70</v>
      </c>
      <c r="F115" s="2239"/>
      <c r="G115" s="2269"/>
      <c r="H115" s="2244"/>
      <c r="I115" s="2255"/>
      <c r="J115" s="2239"/>
      <c r="K115" s="2238"/>
      <c r="L115" s="2238"/>
      <c r="M115" s="210"/>
      <c r="N115" s="2239"/>
      <c r="O115" s="210">
        <f t="shared" si="5"/>
        <v>0</v>
      </c>
      <c r="P115" s="2247"/>
      <c r="Q115" s="192"/>
      <c r="R115" s="230"/>
    </row>
    <row r="117" spans="1:18" x14ac:dyDescent="0.2">
      <c r="N117" s="956"/>
      <c r="O117" s="956">
        <f>O7-O118</f>
        <v>0</v>
      </c>
      <c r="R117" s="956">
        <f>R7-R118</f>
        <v>0</v>
      </c>
    </row>
    <row r="118" spans="1:18" x14ac:dyDescent="0.2">
      <c r="N118" s="956"/>
      <c r="O118" s="956">
        <f>O106+O105+O98+O86</f>
        <v>0</v>
      </c>
      <c r="R118" s="956">
        <f>R106+R105+R98+R86</f>
        <v>0</v>
      </c>
    </row>
    <row r="120" spans="1:18" x14ac:dyDescent="0.2">
      <c r="H120" s="955"/>
    </row>
  </sheetData>
  <sheetProtection formatCells="0" formatColumns="0" formatRows="0" autoFilter="0"/>
  <autoFilter ref="A6:IQ115"/>
  <mergeCells count="15">
    <mergeCell ref="AP1:BA1"/>
    <mergeCell ref="A1:C1"/>
    <mergeCell ref="F5:J5"/>
    <mergeCell ref="A5:A6"/>
    <mergeCell ref="B5:B6"/>
    <mergeCell ref="C5:C6"/>
    <mergeCell ref="D5:D6"/>
    <mergeCell ref="E5:E6"/>
    <mergeCell ref="F1:N1"/>
    <mergeCell ref="A2:A4"/>
    <mergeCell ref="E1:E2"/>
    <mergeCell ref="K5:P5"/>
    <mergeCell ref="Q5:R5"/>
    <mergeCell ref="AI1:AO1"/>
    <mergeCell ref="O1:AH1"/>
  </mergeCells>
  <phoneticPr fontId="57" type="noConversion"/>
  <pageMargins left="0.7" right="0.7" top="0.75" bottom="0.75" header="0.3" footer="0.3"/>
  <pageSetup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A81"/>
  <sheetViews>
    <sheetView zoomScale="70" zoomScaleNormal="70" workbookViewId="0">
      <pane xSplit="5" ySplit="7" topLeftCell="M8" activePane="bottomRight" state="frozen"/>
      <selection pane="topRight" activeCell="F1" sqref="F1"/>
      <selection pane="bottomLeft" activeCell="A8" sqref="A8"/>
      <selection pane="bottomRight" activeCell="O11" sqref="O11"/>
    </sheetView>
  </sheetViews>
  <sheetFormatPr defaultColWidth="9.140625" defaultRowHeight="14.25" x14ac:dyDescent="0.2"/>
  <cols>
    <col min="1" max="1" width="8.140625" style="2381" customWidth="1"/>
    <col min="2" max="2" width="9.140625" style="2381" customWidth="1"/>
    <col min="3" max="3" width="51.7109375" style="2381" customWidth="1"/>
    <col min="4" max="4" width="9.140625" style="2305" customWidth="1"/>
    <col min="5" max="5" width="11.140625" style="2305" customWidth="1"/>
    <col min="6" max="6" width="24.42578125" style="2305" customWidth="1"/>
    <col min="7" max="7" width="32.85546875" style="2305" customWidth="1"/>
    <col min="8" max="8" width="17.28515625" style="2305" customWidth="1"/>
    <col min="9" max="9" width="19.42578125" style="2305" customWidth="1"/>
    <col min="10" max="10" width="20.85546875" style="2305" customWidth="1"/>
    <col min="11" max="11" width="17.28515625" style="2305" customWidth="1"/>
    <col min="12" max="12" width="15.140625" style="2305" customWidth="1"/>
    <col min="13" max="13" width="16" style="2383" customWidth="1"/>
    <col min="14" max="14" width="22.5703125" style="2305" customWidth="1"/>
    <col min="15" max="15" width="17.140625" style="2383" bestFit="1" customWidth="1"/>
    <col min="16" max="16" width="34" style="2381" customWidth="1"/>
    <col min="17" max="17" width="34.7109375" style="2381" customWidth="1"/>
    <col min="18" max="18" width="11.85546875" style="2383" customWidth="1"/>
    <col min="19" max="19" width="10" style="2288" customWidth="1"/>
    <col min="20" max="20" width="6.28515625" style="2288" bestFit="1" customWidth="1"/>
    <col min="21" max="21" width="6.28515625" style="2288" customWidth="1"/>
    <col min="22" max="22" width="6.28515625" style="2288" bestFit="1" customWidth="1"/>
    <col min="23" max="23" width="6.7109375" style="2288" bestFit="1" customWidth="1"/>
    <col min="24" max="24" width="8.140625" style="2288" bestFit="1" customWidth="1"/>
    <col min="25" max="25" width="9.42578125" style="2288" bestFit="1" customWidth="1"/>
    <col min="26" max="26" width="14.42578125" style="2288" customWidth="1"/>
    <col min="27" max="27" width="6.28515625" style="2288" bestFit="1" customWidth="1"/>
    <col min="28" max="28" width="11.28515625" style="2288" bestFit="1" customWidth="1"/>
    <col min="29" max="30" width="6.7109375" style="2288" bestFit="1" customWidth="1"/>
    <col min="31" max="32" width="18.140625" style="2288" bestFit="1" customWidth="1"/>
    <col min="33" max="34" width="11" style="2288" bestFit="1" customWidth="1"/>
    <col min="35" max="35" width="10.42578125" style="2288" bestFit="1" customWidth="1"/>
    <col min="36" max="36" width="9.85546875" style="2288" bestFit="1" customWidth="1"/>
    <col min="37" max="38" width="10.85546875" style="2288" bestFit="1" customWidth="1"/>
    <col min="39" max="39" width="12.140625" style="2288" bestFit="1" customWidth="1"/>
    <col min="40" max="40" width="7.85546875" style="2288" bestFit="1" customWidth="1"/>
    <col min="41" max="41" width="12.5703125" style="2288" bestFit="1" customWidth="1"/>
    <col min="42" max="43" width="8.5703125" style="2288" bestFit="1" customWidth="1"/>
    <col min="44" max="45" width="10.85546875" style="2288" bestFit="1" customWidth="1"/>
    <col min="46" max="46" width="9.140625" style="2288"/>
    <col min="47" max="47" width="8.7109375" style="2288" bestFit="1" customWidth="1"/>
    <col min="48" max="48" width="9.140625" style="2288"/>
    <col min="49" max="49" width="9.5703125" style="2288" bestFit="1" customWidth="1"/>
    <col min="50" max="50" width="10.85546875" style="2288" bestFit="1" customWidth="1"/>
    <col min="51" max="51" width="12.5703125" style="2288" bestFit="1" customWidth="1"/>
    <col min="52" max="52" width="11.42578125" style="2288" bestFit="1" customWidth="1"/>
    <col min="53" max="54" width="12.85546875" style="2288" bestFit="1" customWidth="1"/>
    <col min="55" max="16384" width="9.140625" style="2288"/>
  </cols>
  <sheetData>
    <row r="1" spans="1:53" x14ac:dyDescent="0.2">
      <c r="A1" s="3842" t="s">
        <v>2137</v>
      </c>
      <c r="B1" s="3842"/>
      <c r="C1" s="3842"/>
      <c r="D1" s="2287"/>
      <c r="E1" s="3845" t="s">
        <v>4719</v>
      </c>
      <c r="F1" s="3846" t="s">
        <v>4717</v>
      </c>
      <c r="G1" s="3846"/>
      <c r="H1" s="3846"/>
      <c r="I1" s="3846"/>
      <c r="J1" s="3846"/>
      <c r="K1" s="3846"/>
      <c r="L1" s="3846"/>
      <c r="M1" s="3846"/>
      <c r="N1" s="3846"/>
      <c r="O1" s="3834" t="s">
        <v>70</v>
      </c>
      <c r="P1" s="3835"/>
      <c r="Q1" s="3835"/>
      <c r="R1" s="3835"/>
      <c r="S1" s="3835"/>
      <c r="T1" s="3835"/>
      <c r="U1" s="3835"/>
      <c r="V1" s="3835"/>
      <c r="W1" s="3835"/>
      <c r="X1" s="3835"/>
      <c r="Y1" s="3835"/>
      <c r="Z1" s="3835"/>
      <c r="AA1" s="3835"/>
      <c r="AB1" s="3835"/>
      <c r="AC1" s="3835"/>
      <c r="AD1" s="3835"/>
      <c r="AE1" s="3835"/>
      <c r="AF1" s="3835"/>
      <c r="AG1" s="3835"/>
      <c r="AH1" s="3836"/>
      <c r="AI1" s="3837" t="s">
        <v>4366</v>
      </c>
      <c r="AJ1" s="3838"/>
      <c r="AK1" s="3838"/>
      <c r="AL1" s="3838"/>
      <c r="AM1" s="3838"/>
      <c r="AN1" s="3838"/>
      <c r="AO1" s="3839"/>
      <c r="AP1" s="3840" t="s">
        <v>85</v>
      </c>
      <c r="AQ1" s="3841"/>
      <c r="AR1" s="3841"/>
      <c r="AS1" s="3841"/>
      <c r="AT1" s="3841"/>
      <c r="AU1" s="3841"/>
      <c r="AV1" s="3841"/>
      <c r="AW1" s="3841"/>
      <c r="AX1" s="3841"/>
      <c r="AY1" s="3841"/>
      <c r="AZ1" s="3841"/>
      <c r="BA1" s="3841"/>
    </row>
    <row r="2" spans="1:53" s="2298" customFormat="1" ht="28.5" x14ac:dyDescent="0.2">
      <c r="A2" s="3847" t="str">
        <f>HYPERLINK("#Index!A4", "Index Pg")</f>
        <v>Index Pg</v>
      </c>
      <c r="B2" s="2289"/>
      <c r="C2" s="2289"/>
      <c r="D2" s="2289"/>
      <c r="E2" s="3845"/>
      <c r="F2" s="2290" t="s">
        <v>118</v>
      </c>
      <c r="G2" s="2290" t="s">
        <v>131</v>
      </c>
      <c r="H2" s="2290" t="s">
        <v>91</v>
      </c>
      <c r="I2" s="2290" t="s">
        <v>4715</v>
      </c>
      <c r="J2" s="2290" t="s">
        <v>96</v>
      </c>
      <c r="K2" s="2290" t="s">
        <v>4071</v>
      </c>
      <c r="L2" s="2291" t="s">
        <v>4716</v>
      </c>
      <c r="M2" s="2290" t="s">
        <v>4720</v>
      </c>
      <c r="N2" s="2291" t="s">
        <v>208</v>
      </c>
      <c r="O2" s="2292" t="s">
        <v>4365</v>
      </c>
      <c r="P2" s="2293" t="s">
        <v>3855</v>
      </c>
      <c r="Q2" s="2293" t="s">
        <v>4729</v>
      </c>
      <c r="R2" s="2293" t="s">
        <v>4726</v>
      </c>
      <c r="S2" s="2293" t="s">
        <v>4727</v>
      </c>
      <c r="T2" s="2293" t="s">
        <v>4728</v>
      </c>
      <c r="U2" s="2293" t="s">
        <v>4730</v>
      </c>
      <c r="V2" s="2293" t="s">
        <v>4704</v>
      </c>
      <c r="W2" s="2293" t="s">
        <v>4731</v>
      </c>
      <c r="X2" s="2293" t="s">
        <v>33</v>
      </c>
      <c r="Y2" s="2293" t="s">
        <v>4732</v>
      </c>
      <c r="Z2" s="2293" t="s">
        <v>4733</v>
      </c>
      <c r="AA2" s="2293" t="s">
        <v>4723</v>
      </c>
      <c r="AB2" s="2293" t="s">
        <v>742</v>
      </c>
      <c r="AC2" s="2293" t="s">
        <v>4724</v>
      </c>
      <c r="AD2" s="2293" t="s">
        <v>4725</v>
      </c>
      <c r="AE2" s="2293" t="s">
        <v>2383</v>
      </c>
      <c r="AF2" s="2293" t="s">
        <v>4734</v>
      </c>
      <c r="AG2" s="2293" t="s">
        <v>3854</v>
      </c>
      <c r="AH2" s="2293" t="s">
        <v>307</v>
      </c>
      <c r="AI2" s="2294" t="s">
        <v>293</v>
      </c>
      <c r="AJ2" s="2294" t="s">
        <v>114</v>
      </c>
      <c r="AK2" s="2294" t="s">
        <v>146</v>
      </c>
      <c r="AL2" s="2294" t="s">
        <v>4683</v>
      </c>
      <c r="AM2" s="2294" t="s">
        <v>3323</v>
      </c>
      <c r="AN2" s="2294" t="s">
        <v>3993</v>
      </c>
      <c r="AO2" s="2294" t="s">
        <v>4553</v>
      </c>
      <c r="AP2" s="2295" t="s">
        <v>86</v>
      </c>
      <c r="AQ2" s="2295" t="s">
        <v>150</v>
      </c>
      <c r="AR2" s="2295" t="s">
        <v>399</v>
      </c>
      <c r="AS2" s="2295" t="s">
        <v>152</v>
      </c>
      <c r="AT2" s="2295" t="s">
        <v>415</v>
      </c>
      <c r="AU2" s="2295" t="s">
        <v>4607</v>
      </c>
      <c r="AV2" s="2295" t="s">
        <v>4132</v>
      </c>
      <c r="AW2" s="2296" t="s">
        <v>312</v>
      </c>
      <c r="AX2" s="2297" t="s">
        <v>314</v>
      </c>
      <c r="AY2" s="2297" t="s">
        <v>1034</v>
      </c>
      <c r="AZ2" s="2297" t="s">
        <v>1020</v>
      </c>
      <c r="BA2" s="2297" t="s">
        <v>4718</v>
      </c>
    </row>
    <row r="3" spans="1:53" s="2303" customFormat="1" x14ac:dyDescent="0.2">
      <c r="A3" s="3848"/>
      <c r="B3" s="2304" t="str">
        <f>HYPERLINK("#'Budget Summary I'!A1:AL1", "Budget Summary I")</f>
        <v>Budget Summary I</v>
      </c>
      <c r="C3" s="2299" t="s">
        <v>4608</v>
      </c>
      <c r="D3" s="2300"/>
      <c r="E3" s="2301">
        <f>R7</f>
        <v>0</v>
      </c>
      <c r="F3" s="2300">
        <f>R34+R35+R36+R37+R38</f>
        <v>0</v>
      </c>
      <c r="G3" s="2300">
        <f>R56</f>
        <v>0</v>
      </c>
      <c r="H3" s="2300">
        <f>R20</f>
        <v>0</v>
      </c>
      <c r="I3" s="2300">
        <f>R21+R39+R40</f>
        <v>0</v>
      </c>
      <c r="J3" s="2300">
        <f>R22+R23</f>
        <v>0</v>
      </c>
      <c r="K3" s="2302"/>
      <c r="L3" s="2300">
        <f>R25+R26+R27+R28+R43+R44</f>
        <v>0</v>
      </c>
      <c r="M3" s="2300">
        <f>R41+R42</f>
        <v>0</v>
      </c>
      <c r="N3" s="2302"/>
      <c r="O3" s="2302"/>
      <c r="P3" s="2302"/>
      <c r="Q3" s="2302"/>
      <c r="R3" s="2302"/>
      <c r="S3" s="2302">
        <f>R10+R11+R13+R14+R24+R30</f>
        <v>0</v>
      </c>
      <c r="T3" s="2302"/>
      <c r="U3" s="2302"/>
      <c r="V3" s="2302"/>
      <c r="W3" s="2302"/>
      <c r="X3" s="2302"/>
      <c r="Y3" s="2302"/>
      <c r="Z3" s="2302"/>
      <c r="AA3" s="2302"/>
      <c r="AB3" s="2302"/>
      <c r="AC3" s="2302"/>
      <c r="AD3" s="2302"/>
      <c r="AE3" s="2302"/>
      <c r="AF3" s="2302">
        <f>R16</f>
        <v>0</v>
      </c>
      <c r="AG3" s="2302"/>
      <c r="AH3" s="2302">
        <f>R18+R65</f>
        <v>0</v>
      </c>
      <c r="AI3" s="2302"/>
      <c r="AJ3" s="2302">
        <f>R29+R53</f>
        <v>0</v>
      </c>
      <c r="AK3" s="2302">
        <f>R48</f>
        <v>0</v>
      </c>
      <c r="AL3" s="2302">
        <f>R54</f>
        <v>0</v>
      </c>
      <c r="AM3" s="2302">
        <f>R45</f>
        <v>0</v>
      </c>
      <c r="AN3" s="2302"/>
      <c r="AO3" s="2302"/>
      <c r="AP3" s="2302">
        <f>R17+R50+R57+R58</f>
        <v>0</v>
      </c>
      <c r="AQ3" s="2302">
        <f>R49</f>
        <v>0</v>
      </c>
      <c r="AR3" s="2302">
        <f>R52</f>
        <v>0</v>
      </c>
      <c r="AS3" s="2302">
        <f>R51+R60+R61+R62+R63+R64</f>
        <v>0</v>
      </c>
      <c r="AT3" s="2302">
        <f>R47</f>
        <v>0</v>
      </c>
      <c r="AU3" s="2302"/>
      <c r="AV3" s="2302"/>
      <c r="AW3" s="2302"/>
      <c r="AX3" s="2302"/>
      <c r="AY3" s="2302"/>
      <c r="AZ3" s="2302"/>
      <c r="BA3" s="2302"/>
    </row>
    <row r="4" spans="1:53" s="2303" customFormat="1" x14ac:dyDescent="0.2">
      <c r="A4" s="3849"/>
      <c r="B4" s="2304" t="str">
        <f>HYPERLINK("#'Budget Summary II'!A3:B5", "Budget Summary II")</f>
        <v>Budget Summary II</v>
      </c>
      <c r="C4" s="2299" t="s">
        <v>4609</v>
      </c>
      <c r="D4" s="2302"/>
      <c r="E4" s="2301">
        <f>O7</f>
        <v>360</v>
      </c>
      <c r="F4" s="2300">
        <f>O34+O35+O36+O37+O38</f>
        <v>0</v>
      </c>
      <c r="G4" s="2300">
        <f>O56</f>
        <v>0</v>
      </c>
      <c r="H4" s="2300">
        <f>O20</f>
        <v>0</v>
      </c>
      <c r="I4" s="2300">
        <f>O21+O39+O40</f>
        <v>0</v>
      </c>
      <c r="J4" s="2300">
        <f>O22+O23</f>
        <v>241.5</v>
      </c>
      <c r="K4" s="2302"/>
      <c r="L4" s="2300">
        <f>O25+O26+O27+O28+O43+O44</f>
        <v>0</v>
      </c>
      <c r="M4" s="2300">
        <f>O41+O42</f>
        <v>0</v>
      </c>
      <c r="N4" s="2302"/>
      <c r="O4" s="2302"/>
      <c r="P4" s="2302"/>
      <c r="Q4" s="2302"/>
      <c r="R4" s="2302"/>
      <c r="S4" s="2302">
        <f>O10+O11+O13+O14+O24+O30</f>
        <v>118.5</v>
      </c>
      <c r="T4" s="2302"/>
      <c r="U4" s="2302"/>
      <c r="V4" s="2302"/>
      <c r="W4" s="2302"/>
      <c r="X4" s="2302"/>
      <c r="Y4" s="2302"/>
      <c r="Z4" s="2302"/>
      <c r="AA4" s="2302"/>
      <c r="AB4" s="2302"/>
      <c r="AC4" s="2302"/>
      <c r="AD4" s="2302"/>
      <c r="AE4" s="2302"/>
      <c r="AF4" s="2302">
        <f>O16</f>
        <v>0</v>
      </c>
      <c r="AG4" s="2302"/>
      <c r="AH4" s="2302">
        <f>O18+O65</f>
        <v>0</v>
      </c>
      <c r="AI4" s="2302"/>
      <c r="AJ4" s="2302">
        <f>O29+O53</f>
        <v>0</v>
      </c>
      <c r="AK4" s="2302">
        <f>O48</f>
        <v>0</v>
      </c>
      <c r="AL4" s="2302">
        <f>O54</f>
        <v>0</v>
      </c>
      <c r="AM4" s="2302">
        <f>O45</f>
        <v>0</v>
      </c>
      <c r="AN4" s="2302"/>
      <c r="AO4" s="2302"/>
      <c r="AP4" s="2302">
        <f>O17+O50+O57+O58</f>
        <v>0</v>
      </c>
      <c r="AQ4" s="2302">
        <f>O49</f>
        <v>0</v>
      </c>
      <c r="AR4" s="2302">
        <f>O52</f>
        <v>0</v>
      </c>
      <c r="AS4" s="2302">
        <f>O51+O60+O61+O62+O63+O64</f>
        <v>0</v>
      </c>
      <c r="AT4" s="2302">
        <f>O47</f>
        <v>0</v>
      </c>
      <c r="AU4" s="2302"/>
      <c r="AV4" s="2302"/>
      <c r="AW4" s="2302"/>
      <c r="AX4" s="2302"/>
      <c r="AY4" s="2302"/>
      <c r="AZ4" s="2302"/>
      <c r="BA4" s="2302"/>
    </row>
    <row r="5" spans="1:53" s="2305" customFormat="1" x14ac:dyDescent="0.2">
      <c r="A5" s="3844" t="s">
        <v>53</v>
      </c>
      <c r="B5" s="3844" t="s">
        <v>54</v>
      </c>
      <c r="C5" s="3844" t="s">
        <v>55</v>
      </c>
      <c r="D5" s="3844" t="s">
        <v>56</v>
      </c>
      <c r="E5" s="3844" t="s">
        <v>57</v>
      </c>
      <c r="F5" s="3843" t="s">
        <v>4629</v>
      </c>
      <c r="G5" s="3843"/>
      <c r="H5" s="3843"/>
      <c r="I5" s="3843"/>
      <c r="J5" s="3843"/>
      <c r="K5" s="3850" t="s">
        <v>4640</v>
      </c>
      <c r="L5" s="3851"/>
      <c r="M5" s="3851"/>
      <c r="N5" s="3851"/>
      <c r="O5" s="3851"/>
      <c r="P5" s="3851"/>
      <c r="Q5" s="3833" t="s">
        <v>4670</v>
      </c>
      <c r="R5" s="3833"/>
    </row>
    <row r="6" spans="1:53" s="2305" customFormat="1" ht="42.75" x14ac:dyDescent="0.2">
      <c r="A6" s="3844"/>
      <c r="B6" s="3844"/>
      <c r="C6" s="3844"/>
      <c r="D6" s="3844"/>
      <c r="E6" s="3844"/>
      <c r="F6" s="2306" t="s">
        <v>4630</v>
      </c>
      <c r="G6" s="2306" t="s">
        <v>4638</v>
      </c>
      <c r="H6" s="2306" t="s">
        <v>4631</v>
      </c>
      <c r="I6" s="2306" t="s">
        <v>4639</v>
      </c>
      <c r="J6" s="2306" t="s">
        <v>2538</v>
      </c>
      <c r="K6" s="2307" t="s">
        <v>58</v>
      </c>
      <c r="L6" s="2307" t="s">
        <v>59</v>
      </c>
      <c r="M6" s="2308" t="s">
        <v>60</v>
      </c>
      <c r="N6" s="2307" t="s">
        <v>61</v>
      </c>
      <c r="O6" s="2308" t="s">
        <v>62</v>
      </c>
      <c r="P6" s="2309" t="s">
        <v>5547</v>
      </c>
      <c r="Q6" s="2310" t="s">
        <v>2540</v>
      </c>
      <c r="R6" s="2311" t="s">
        <v>4671</v>
      </c>
      <c r="S6" s="2305" t="s">
        <v>4724</v>
      </c>
    </row>
    <row r="7" spans="1:53" x14ac:dyDescent="0.2">
      <c r="A7" s="2312">
        <v>2</v>
      </c>
      <c r="B7" s="2313"/>
      <c r="C7" s="2312" t="s">
        <v>6</v>
      </c>
      <c r="D7" s="2314"/>
      <c r="E7" s="2314"/>
      <c r="F7" s="2314"/>
      <c r="G7" s="2314"/>
      <c r="H7" s="2315">
        <f>H8+H19+H31</f>
        <v>0</v>
      </c>
      <c r="I7" s="2315">
        <f t="shared" ref="I7" si="0">I8+I19+I31</f>
        <v>1.0900000000000001</v>
      </c>
      <c r="J7" s="2315">
        <f>J8+J19+J31</f>
        <v>0</v>
      </c>
      <c r="K7" s="2314"/>
      <c r="L7" s="2314"/>
      <c r="M7" s="2315"/>
      <c r="N7" s="2314"/>
      <c r="O7" s="2315">
        <f>O8+O19+O31</f>
        <v>360</v>
      </c>
      <c r="P7" s="2315"/>
      <c r="Q7" s="2316"/>
      <c r="R7" s="2317">
        <f>R8+R19+R31</f>
        <v>0</v>
      </c>
      <c r="S7" s="2288">
        <f>SUM(S8:S65)</f>
        <v>0.55000000000000004</v>
      </c>
    </row>
    <row r="8" spans="1:53" x14ac:dyDescent="0.2">
      <c r="A8" s="2318">
        <v>2.1</v>
      </c>
      <c r="B8" s="2319"/>
      <c r="C8" s="2318" t="s">
        <v>7</v>
      </c>
      <c r="D8" s="2320"/>
      <c r="E8" s="2320"/>
      <c r="F8" s="2320"/>
      <c r="G8" s="2320"/>
      <c r="H8" s="2321">
        <f>H9+H12+H15</f>
        <v>0</v>
      </c>
      <c r="I8" s="2321">
        <f t="shared" ref="I8" si="1">I9+I12+I15</f>
        <v>1.0900000000000001</v>
      </c>
      <c r="J8" s="2321">
        <f>J9+J12+J15</f>
        <v>0</v>
      </c>
      <c r="K8" s="2320"/>
      <c r="L8" s="2320"/>
      <c r="M8" s="2321"/>
      <c r="N8" s="2320"/>
      <c r="O8" s="2321">
        <f>O9+O12+O15</f>
        <v>118.5</v>
      </c>
      <c r="P8" s="2321"/>
      <c r="Q8" s="2322"/>
      <c r="R8" s="2323">
        <f>R9+R12+R15</f>
        <v>0</v>
      </c>
    </row>
    <row r="9" spans="1:53" x14ac:dyDescent="0.2">
      <c r="A9" s="2324" t="s">
        <v>64</v>
      </c>
      <c r="B9" s="2325" t="s">
        <v>65</v>
      </c>
      <c r="C9" s="2326" t="s">
        <v>66</v>
      </c>
      <c r="D9" s="2327"/>
      <c r="E9" s="2327"/>
      <c r="F9" s="2327"/>
      <c r="G9" s="2327"/>
      <c r="H9" s="2329">
        <f>SUM(H10:H11)</f>
        <v>0</v>
      </c>
      <c r="I9" s="2329">
        <f t="shared" ref="I9" si="2">SUM(I10:I11)</f>
        <v>1.0900000000000001</v>
      </c>
      <c r="J9" s="2329">
        <f>SUM(J10:J11)</f>
        <v>0</v>
      </c>
      <c r="K9" s="2327"/>
      <c r="L9" s="2327"/>
      <c r="M9" s="2328"/>
      <c r="N9" s="2327"/>
      <c r="O9" s="2329">
        <f>SUM(O10:O11)</f>
        <v>118.5</v>
      </c>
      <c r="P9" s="2329"/>
      <c r="Q9" s="2330"/>
      <c r="R9" s="2331">
        <f>SUM(R10:R11)</f>
        <v>0</v>
      </c>
    </row>
    <row r="10" spans="1:53" x14ac:dyDescent="0.2">
      <c r="A10" s="2332" t="s">
        <v>67</v>
      </c>
      <c r="B10" s="2333" t="s">
        <v>68</v>
      </c>
      <c r="C10" s="2333" t="s">
        <v>69</v>
      </c>
      <c r="D10" s="2292" t="s">
        <v>70</v>
      </c>
      <c r="E10" s="2334" t="s">
        <v>4727</v>
      </c>
      <c r="F10" s="2272"/>
      <c r="G10" s="2272"/>
      <c r="H10" s="2273"/>
      <c r="I10" s="2273">
        <v>1.0900000000000001</v>
      </c>
      <c r="J10" s="2273"/>
      <c r="K10" s="2273"/>
      <c r="L10" s="2273"/>
      <c r="M10" s="2335">
        <f>L10/100000</f>
        <v>0</v>
      </c>
      <c r="N10" s="2336"/>
      <c r="O10" s="2335">
        <f>M10*N10</f>
        <v>0</v>
      </c>
      <c r="P10" s="2335"/>
      <c r="Q10" s="2337"/>
      <c r="R10" s="2338"/>
    </row>
    <row r="11" spans="1:53" ht="71.25" x14ac:dyDescent="0.2">
      <c r="A11" s="2332" t="s">
        <v>71</v>
      </c>
      <c r="B11" s="2333" t="s">
        <v>72</v>
      </c>
      <c r="C11" s="2333" t="s">
        <v>73</v>
      </c>
      <c r="D11" s="2292" t="s">
        <v>70</v>
      </c>
      <c r="E11" s="2334" t="s">
        <v>4727</v>
      </c>
      <c r="F11" s="2238"/>
      <c r="G11" s="2274"/>
      <c r="H11" s="2275"/>
      <c r="I11" s="2276"/>
      <c r="J11" s="2235"/>
      <c r="K11" s="2238" t="s">
        <v>5962</v>
      </c>
      <c r="L11" s="2238">
        <v>30000</v>
      </c>
      <c r="M11" s="2335">
        <f>+L11/100000</f>
        <v>0.3</v>
      </c>
      <c r="N11" s="2336">
        <v>395</v>
      </c>
      <c r="O11" s="2335">
        <f>M11*N11</f>
        <v>118.5</v>
      </c>
      <c r="P11" s="3717" t="s">
        <v>6007</v>
      </c>
      <c r="Q11" s="2337"/>
      <c r="R11" s="2338"/>
    </row>
    <row r="12" spans="1:53" ht="28.5" x14ac:dyDescent="0.2">
      <c r="A12" s="2324" t="s">
        <v>74</v>
      </c>
      <c r="B12" s="2325" t="s">
        <v>75</v>
      </c>
      <c r="C12" s="2326" t="s">
        <v>76</v>
      </c>
      <c r="D12" s="2327"/>
      <c r="E12" s="2327"/>
      <c r="F12" s="2339"/>
      <c r="G12" s="2339"/>
      <c r="H12" s="2329"/>
      <c r="I12" s="2329"/>
      <c r="J12" s="2329"/>
      <c r="K12" s="2339"/>
      <c r="L12" s="2339"/>
      <c r="M12" s="2328"/>
      <c r="N12" s="2339"/>
      <c r="O12" s="2329">
        <f>SUM(O13:O14)</f>
        <v>0</v>
      </c>
      <c r="P12" s="2329"/>
      <c r="Q12" s="2330"/>
      <c r="R12" s="2331">
        <f>SUM(R13:R14)</f>
        <v>0</v>
      </c>
    </row>
    <row r="13" spans="1:53" x14ac:dyDescent="0.2">
      <c r="A13" s="2332" t="s">
        <v>77</v>
      </c>
      <c r="B13" s="2340" t="s">
        <v>78</v>
      </c>
      <c r="C13" s="2340" t="s">
        <v>69</v>
      </c>
      <c r="D13" s="2292" t="s">
        <v>70</v>
      </c>
      <c r="E13" s="2334" t="s">
        <v>4727</v>
      </c>
      <c r="F13" s="2283"/>
      <c r="G13" s="2283"/>
      <c r="H13" s="2341"/>
      <c r="I13" s="2341"/>
      <c r="J13" s="2283"/>
      <c r="K13" s="2283"/>
      <c r="L13" s="2336"/>
      <c r="M13" s="2335"/>
      <c r="N13" s="2336"/>
      <c r="O13" s="2335">
        <f>M13*N13</f>
        <v>0</v>
      </c>
      <c r="P13" s="2335"/>
      <c r="Q13" s="2337"/>
      <c r="R13" s="2338"/>
    </row>
    <row r="14" spans="1:53" x14ac:dyDescent="0.2">
      <c r="A14" s="2332" t="s">
        <v>79</v>
      </c>
      <c r="B14" s="2340" t="s">
        <v>80</v>
      </c>
      <c r="C14" s="2340" t="s">
        <v>73</v>
      </c>
      <c r="D14" s="2292" t="s">
        <v>70</v>
      </c>
      <c r="E14" s="2334" t="s">
        <v>4727</v>
      </c>
      <c r="F14" s="2283"/>
      <c r="G14" s="2342"/>
      <c r="H14" s="2341"/>
      <c r="I14" s="2341"/>
      <c r="J14" s="2283"/>
      <c r="K14" s="2283"/>
      <c r="L14" s="2336"/>
      <c r="M14" s="2335"/>
      <c r="N14" s="2336"/>
      <c r="O14" s="2335">
        <f>M14*N14</f>
        <v>0</v>
      </c>
      <c r="P14" s="2335"/>
      <c r="Q14" s="2337"/>
      <c r="R14" s="2338"/>
    </row>
    <row r="15" spans="1:53" x14ac:dyDescent="0.2">
      <c r="A15" s="2324" t="s">
        <v>81</v>
      </c>
      <c r="B15" s="2325"/>
      <c r="C15" s="2326" t="s">
        <v>2691</v>
      </c>
      <c r="D15" s="2327"/>
      <c r="E15" s="2327"/>
      <c r="F15" s="2339"/>
      <c r="G15" s="2339"/>
      <c r="H15" s="2329"/>
      <c r="I15" s="2329"/>
      <c r="J15" s="2329"/>
      <c r="K15" s="2339"/>
      <c r="L15" s="2339"/>
      <c r="M15" s="2328"/>
      <c r="N15" s="2339"/>
      <c r="O15" s="2329">
        <f>SUM(O16:O18)</f>
        <v>0</v>
      </c>
      <c r="P15" s="2329"/>
      <c r="Q15" s="2330"/>
      <c r="R15" s="2331">
        <f>SUM(R16:R18)</f>
        <v>0</v>
      </c>
    </row>
    <row r="16" spans="1:53" ht="28.5" x14ac:dyDescent="0.2">
      <c r="A16" s="2343" t="s">
        <v>2692</v>
      </c>
      <c r="B16" s="2333" t="s">
        <v>82</v>
      </c>
      <c r="C16" s="2344" t="s">
        <v>4084</v>
      </c>
      <c r="D16" s="2292" t="s">
        <v>70</v>
      </c>
      <c r="E16" s="2345" t="s">
        <v>2091</v>
      </c>
      <c r="F16" s="2273"/>
      <c r="G16" s="2236"/>
      <c r="H16" s="2275"/>
      <c r="I16" s="2276"/>
      <c r="J16" s="2235"/>
      <c r="K16" s="2238"/>
      <c r="L16" s="2238"/>
      <c r="M16" s="2335"/>
      <c r="N16" s="2273"/>
      <c r="O16" s="2335">
        <f>M16*N16</f>
        <v>0</v>
      </c>
      <c r="P16" s="2335"/>
      <c r="Q16" s="2346">
        <f>'Abs5. Blood services &amp; Disorder'!Q10</f>
        <v>0</v>
      </c>
      <c r="R16" s="2347">
        <f>'Abs5. Blood services &amp; Disorder'!R10</f>
        <v>0</v>
      </c>
    </row>
    <row r="17" spans="1:19" x14ac:dyDescent="0.2">
      <c r="A17" s="2343" t="s">
        <v>2693</v>
      </c>
      <c r="B17" s="2333" t="s">
        <v>83</v>
      </c>
      <c r="C17" s="2333" t="s">
        <v>84</v>
      </c>
      <c r="D17" s="2295" t="s">
        <v>85</v>
      </c>
      <c r="E17" s="2345" t="s">
        <v>86</v>
      </c>
      <c r="F17" s="2238"/>
      <c r="G17" s="2278"/>
      <c r="H17" s="2238"/>
      <c r="I17" s="2238"/>
      <c r="J17" s="2238"/>
      <c r="K17" s="2238"/>
      <c r="L17" s="2238"/>
      <c r="M17" s="2335"/>
      <c r="N17" s="2238"/>
      <c r="O17" s="2335">
        <f>M17*N17</f>
        <v>0</v>
      </c>
      <c r="P17" s="2335"/>
      <c r="Q17" s="2346">
        <f>'Abs15. NPCB'!Q7</f>
        <v>0</v>
      </c>
      <c r="R17" s="2347">
        <f>'Abs15. NPCB'!R7</f>
        <v>0</v>
      </c>
    </row>
    <row r="18" spans="1:19" x14ac:dyDescent="0.2">
      <c r="A18" s="2343" t="s">
        <v>2694</v>
      </c>
      <c r="B18" s="2348"/>
      <c r="C18" s="2333" t="s">
        <v>1310</v>
      </c>
      <c r="D18" s="2292" t="s">
        <v>70</v>
      </c>
      <c r="E18" s="2345" t="s">
        <v>70</v>
      </c>
      <c r="F18" s="2238"/>
      <c r="G18" s="2236"/>
      <c r="H18" s="2275"/>
      <c r="I18" s="2276"/>
      <c r="J18" s="2238"/>
      <c r="K18" s="2238"/>
      <c r="L18" s="2238"/>
      <c r="M18" s="2335"/>
      <c r="N18" s="2238"/>
      <c r="O18" s="2335">
        <f>M18*N18</f>
        <v>0</v>
      </c>
      <c r="P18" s="2335"/>
      <c r="Q18" s="2337"/>
      <c r="R18" s="2338"/>
    </row>
    <row r="19" spans="1:19" x14ac:dyDescent="0.2">
      <c r="A19" s="2318">
        <v>2.2000000000000002</v>
      </c>
      <c r="B19" s="2319"/>
      <c r="C19" s="2318" t="s">
        <v>8</v>
      </c>
      <c r="D19" s="2320"/>
      <c r="E19" s="2320"/>
      <c r="F19" s="2349"/>
      <c r="G19" s="2349"/>
      <c r="H19" s="2321"/>
      <c r="I19" s="2321"/>
      <c r="J19" s="2321"/>
      <c r="K19" s="2349"/>
      <c r="L19" s="2349"/>
      <c r="M19" s="2321"/>
      <c r="N19" s="2349"/>
      <c r="O19" s="2321">
        <f>SUM(O20:O30)</f>
        <v>241.5</v>
      </c>
      <c r="P19" s="2321"/>
      <c r="Q19" s="2322"/>
      <c r="R19" s="2323">
        <f>SUM(R20:R30)</f>
        <v>0</v>
      </c>
    </row>
    <row r="20" spans="1:19" ht="28.5" x14ac:dyDescent="0.2">
      <c r="A20" s="2332" t="s">
        <v>87</v>
      </c>
      <c r="B20" s="2350" t="s">
        <v>88</v>
      </c>
      <c r="C20" s="2350" t="s">
        <v>89</v>
      </c>
      <c r="D20" s="2351" t="s">
        <v>90</v>
      </c>
      <c r="E20" s="2345" t="s">
        <v>91</v>
      </c>
      <c r="F20" s="2273"/>
      <c r="G20" s="2236"/>
      <c r="H20" s="2275"/>
      <c r="I20" s="2276"/>
      <c r="J20" s="2238"/>
      <c r="K20" s="2238"/>
      <c r="L20" s="2238"/>
      <c r="M20" s="2335"/>
      <c r="N20" s="2273"/>
      <c r="O20" s="2335">
        <f t="shared" ref="O20:O30" si="3">M20*N20</f>
        <v>0</v>
      </c>
      <c r="P20" s="2335"/>
      <c r="Q20" s="2346">
        <f>'Ab1. RMNCH+A'!Q212</f>
        <v>0</v>
      </c>
      <c r="R20" s="2352">
        <f>'Ab1. RMNCH+A'!R212</f>
        <v>0</v>
      </c>
    </row>
    <row r="21" spans="1:19" x14ac:dyDescent="0.2">
      <c r="A21" s="2332" t="s">
        <v>92</v>
      </c>
      <c r="B21" s="2350" t="s">
        <v>93</v>
      </c>
      <c r="C21" s="2350" t="s">
        <v>3126</v>
      </c>
      <c r="D21" s="2351" t="s">
        <v>90</v>
      </c>
      <c r="E21" s="2345" t="s">
        <v>193</v>
      </c>
      <c r="F21" s="2273"/>
      <c r="G21" s="2278"/>
      <c r="H21" s="2238"/>
      <c r="I21" s="2279"/>
      <c r="J21" s="2238"/>
      <c r="K21" s="2238"/>
      <c r="L21" s="2245"/>
      <c r="M21" s="2335"/>
      <c r="N21" s="2273"/>
      <c r="O21" s="2335">
        <f t="shared" si="3"/>
        <v>0</v>
      </c>
      <c r="P21" s="2335"/>
      <c r="Q21" s="2346">
        <f>'Ab1. RMNCH+A'!Q295</f>
        <v>0</v>
      </c>
      <c r="R21" s="2352">
        <f>'Ab1. RMNCH+A'!R295</f>
        <v>0</v>
      </c>
      <c r="S21" s="3447"/>
    </row>
    <row r="22" spans="1:19" ht="99.75" x14ac:dyDescent="0.2">
      <c r="A22" s="2332" t="s">
        <v>94</v>
      </c>
      <c r="B22" s="2333" t="s">
        <v>95</v>
      </c>
      <c r="C22" s="2333" t="s">
        <v>2695</v>
      </c>
      <c r="D22" s="2351" t="s">
        <v>90</v>
      </c>
      <c r="E22" s="2345" t="s">
        <v>96</v>
      </c>
      <c r="F22" s="2273"/>
      <c r="G22" s="2278"/>
      <c r="H22" s="2238"/>
      <c r="I22" s="2279"/>
      <c r="J22" s="2238"/>
      <c r="K22" s="2238" t="s">
        <v>5962</v>
      </c>
      <c r="L22" s="2245">
        <v>30000</v>
      </c>
      <c r="M22" s="2335">
        <f>+L22/100000</f>
        <v>0.3</v>
      </c>
      <c r="N22" s="2273">
        <v>805</v>
      </c>
      <c r="O22" s="2335">
        <f>M22*N22</f>
        <v>241.5</v>
      </c>
      <c r="P22" s="3684" t="s">
        <v>5963</v>
      </c>
      <c r="Q22" s="2346">
        <f>'Ab1. RMNCH+A'!Q349</f>
        <v>0</v>
      </c>
      <c r="R22" s="2352">
        <f>'Ab1. RMNCH+A'!R349</f>
        <v>0</v>
      </c>
    </row>
    <row r="23" spans="1:19" ht="28.5" x14ac:dyDescent="0.2">
      <c r="A23" s="2332" t="s">
        <v>97</v>
      </c>
      <c r="B23" s="2333" t="s">
        <v>2483</v>
      </c>
      <c r="C23" s="2333" t="s">
        <v>2696</v>
      </c>
      <c r="D23" s="2351" t="s">
        <v>90</v>
      </c>
      <c r="E23" s="2345" t="s">
        <v>96</v>
      </c>
      <c r="F23" s="2280"/>
      <c r="G23" s="2281"/>
      <c r="H23" s="2280"/>
      <c r="I23" s="2282"/>
      <c r="J23" s="2280"/>
      <c r="K23" s="2280"/>
      <c r="L23" s="2280"/>
      <c r="M23" s="2335"/>
      <c r="N23" s="2280"/>
      <c r="O23" s="2335">
        <f t="shared" si="3"/>
        <v>0</v>
      </c>
      <c r="P23" s="2335"/>
      <c r="Q23" s="2346">
        <f>'Ab1. RMNCH+A'!Q350</f>
        <v>0</v>
      </c>
      <c r="R23" s="2352">
        <f>'Ab1. RMNCH+A'!R350</f>
        <v>0</v>
      </c>
      <c r="S23" s="2288">
        <f>2500*22/100000</f>
        <v>0.55000000000000004</v>
      </c>
    </row>
    <row r="24" spans="1:19" ht="42.75" x14ac:dyDescent="0.2">
      <c r="A24" s="2332" t="s">
        <v>99</v>
      </c>
      <c r="B24" s="2333" t="s">
        <v>98</v>
      </c>
      <c r="C24" s="2350" t="s">
        <v>2697</v>
      </c>
      <c r="D24" s="2292" t="s">
        <v>70</v>
      </c>
      <c r="E24" s="2345" t="s">
        <v>4727</v>
      </c>
      <c r="F24" s="2273"/>
      <c r="G24" s="2278"/>
      <c r="H24" s="2238"/>
      <c r="I24" s="2238"/>
      <c r="J24" s="2238"/>
      <c r="K24" s="2238"/>
      <c r="L24" s="2273"/>
      <c r="M24" s="2335"/>
      <c r="N24" s="2273"/>
      <c r="O24" s="2335">
        <f t="shared" si="3"/>
        <v>0</v>
      </c>
      <c r="P24" s="2335"/>
      <c r="Q24" s="2337"/>
      <c r="R24" s="2338"/>
    </row>
    <row r="25" spans="1:19" x14ac:dyDescent="0.2">
      <c r="A25" s="2332" t="s">
        <v>102</v>
      </c>
      <c r="B25" s="2333" t="s">
        <v>100</v>
      </c>
      <c r="C25" s="2333" t="s">
        <v>101</v>
      </c>
      <c r="D25" s="2351" t="s">
        <v>90</v>
      </c>
      <c r="E25" s="2353" t="s">
        <v>205</v>
      </c>
      <c r="F25" s="2273"/>
      <c r="G25" s="2283"/>
      <c r="H25" s="2284"/>
      <c r="I25" s="2284"/>
      <c r="J25" s="2285"/>
      <c r="K25" s="2285"/>
      <c r="L25" s="2285"/>
      <c r="M25" s="2335"/>
      <c r="N25" s="2273"/>
      <c r="O25" s="2335">
        <f t="shared" si="3"/>
        <v>0</v>
      </c>
      <c r="P25" s="2335"/>
      <c r="Q25" s="2346">
        <f>'Ab1. RMNCH+A'!Q398</f>
        <v>0</v>
      </c>
      <c r="R25" s="2352">
        <f>'Ab1. RMNCH+A'!R398</f>
        <v>0</v>
      </c>
    </row>
    <row r="26" spans="1:19" x14ac:dyDescent="0.2">
      <c r="A26" s="2332" t="s">
        <v>105</v>
      </c>
      <c r="B26" s="2333" t="s">
        <v>103</v>
      </c>
      <c r="C26" s="2333" t="s">
        <v>104</v>
      </c>
      <c r="D26" s="2351" t="s">
        <v>90</v>
      </c>
      <c r="E26" s="2353" t="s">
        <v>205</v>
      </c>
      <c r="F26" s="2273"/>
      <c r="G26" s="2283"/>
      <c r="H26" s="2275"/>
      <c r="I26" s="2284"/>
      <c r="J26" s="2285"/>
      <c r="K26" s="2285"/>
      <c r="L26" s="2285"/>
      <c r="M26" s="2335"/>
      <c r="N26" s="2273"/>
      <c r="O26" s="2335">
        <f t="shared" si="3"/>
        <v>0</v>
      </c>
      <c r="P26" s="2335"/>
      <c r="Q26" s="2346">
        <f>'Ab1. RMNCH+A'!Q399</f>
        <v>0</v>
      </c>
      <c r="R26" s="2352">
        <f>'Ab1. RMNCH+A'!R399</f>
        <v>0</v>
      </c>
    </row>
    <row r="27" spans="1:19" x14ac:dyDescent="0.2">
      <c r="A27" s="2332" t="s">
        <v>108</v>
      </c>
      <c r="B27" s="2333" t="s">
        <v>106</v>
      </c>
      <c r="C27" s="2333" t="s">
        <v>107</v>
      </c>
      <c r="D27" s="2351" t="s">
        <v>90</v>
      </c>
      <c r="E27" s="2353" t="s">
        <v>205</v>
      </c>
      <c r="F27" s="2238"/>
      <c r="G27" s="2236"/>
      <c r="H27" s="2275"/>
      <c r="I27" s="2276"/>
      <c r="J27" s="2238"/>
      <c r="K27" s="2238"/>
      <c r="L27" s="2238"/>
      <c r="M27" s="2335"/>
      <c r="N27" s="2238"/>
      <c r="O27" s="2335">
        <f t="shared" si="3"/>
        <v>0</v>
      </c>
      <c r="P27" s="2335"/>
      <c r="Q27" s="2346">
        <f>'Ab1. RMNCH+A'!Q400</f>
        <v>0</v>
      </c>
      <c r="R27" s="2352">
        <f>'Ab1. RMNCH+A'!R400</f>
        <v>0</v>
      </c>
    </row>
    <row r="28" spans="1:19" x14ac:dyDescent="0.2">
      <c r="A28" s="2332" t="s">
        <v>111</v>
      </c>
      <c r="B28" s="2350" t="s">
        <v>109</v>
      </c>
      <c r="C28" s="2350" t="s">
        <v>110</v>
      </c>
      <c r="D28" s="2351" t="s">
        <v>90</v>
      </c>
      <c r="E28" s="2353" t="s">
        <v>205</v>
      </c>
      <c r="F28" s="2273"/>
      <c r="G28" s="2283"/>
      <c r="H28" s="2275"/>
      <c r="I28" s="2275"/>
      <c r="J28" s="2238"/>
      <c r="K28" s="2238"/>
      <c r="L28" s="2238"/>
      <c r="M28" s="2335"/>
      <c r="N28" s="2273"/>
      <c r="O28" s="2335">
        <f t="shared" si="3"/>
        <v>0</v>
      </c>
      <c r="P28" s="2335"/>
      <c r="Q28" s="2346">
        <f>'Ab1. RMNCH+A'!Q401</f>
        <v>0</v>
      </c>
      <c r="R28" s="2352">
        <f>'Ab1. RMNCH+A'!R401</f>
        <v>0</v>
      </c>
    </row>
    <row r="29" spans="1:19" ht="28.5" x14ac:dyDescent="0.2">
      <c r="A29" s="2332" t="s">
        <v>2560</v>
      </c>
      <c r="B29" s="2350" t="s">
        <v>112</v>
      </c>
      <c r="C29" s="2350" t="s">
        <v>2698</v>
      </c>
      <c r="D29" s="2354" t="s">
        <v>4366</v>
      </c>
      <c r="E29" s="2345" t="s">
        <v>4984</v>
      </c>
      <c r="F29" s="2273"/>
      <c r="G29" s="2278"/>
      <c r="H29" s="2238"/>
      <c r="I29" s="2238"/>
      <c r="J29" s="2238"/>
      <c r="K29" s="2238"/>
      <c r="L29" s="2273"/>
      <c r="M29" s="2335"/>
      <c r="N29" s="2273"/>
      <c r="O29" s="2335">
        <f t="shared" si="3"/>
        <v>0</v>
      </c>
      <c r="P29" s="2335"/>
      <c r="Q29" s="2346">
        <f>'Abs9. NVBDCP'!Q12</f>
        <v>0</v>
      </c>
      <c r="R29" s="2347">
        <f>'Abs9. NVBDCP'!R12</f>
        <v>0</v>
      </c>
    </row>
    <row r="30" spans="1:19" x14ac:dyDescent="0.2">
      <c r="A30" s="2332" t="s">
        <v>2561</v>
      </c>
      <c r="B30" s="2343"/>
      <c r="C30" s="2350" t="s">
        <v>1310</v>
      </c>
      <c r="D30" s="2292" t="s">
        <v>70</v>
      </c>
      <c r="E30" s="2345" t="s">
        <v>4727</v>
      </c>
      <c r="F30" s="2273"/>
      <c r="G30" s="2278"/>
      <c r="H30" s="2238"/>
      <c r="I30" s="2238"/>
      <c r="J30" s="2238"/>
      <c r="K30" s="2238"/>
      <c r="L30" s="2273"/>
      <c r="M30" s="2335"/>
      <c r="N30" s="2273"/>
      <c r="O30" s="2335">
        <f t="shared" si="3"/>
        <v>0</v>
      </c>
      <c r="P30" s="2335"/>
      <c r="Q30" s="2337"/>
      <c r="R30" s="2338"/>
    </row>
    <row r="31" spans="1:19" x14ac:dyDescent="0.2">
      <c r="A31" s="2318">
        <v>2.2999999999999998</v>
      </c>
      <c r="B31" s="2319"/>
      <c r="C31" s="2318" t="s">
        <v>9</v>
      </c>
      <c r="D31" s="2320"/>
      <c r="E31" s="2320"/>
      <c r="F31" s="2349"/>
      <c r="G31" s="2349"/>
      <c r="H31" s="2321"/>
      <c r="I31" s="2321"/>
      <c r="J31" s="2321"/>
      <c r="K31" s="2349"/>
      <c r="L31" s="2349"/>
      <c r="M31" s="2321"/>
      <c r="N31" s="2349"/>
      <c r="O31" s="2321">
        <f>O32+O46+O55+O65</f>
        <v>0</v>
      </c>
      <c r="P31" s="2321"/>
      <c r="Q31" s="2322"/>
      <c r="R31" s="2323">
        <f>R32+R46+R55+R65</f>
        <v>0</v>
      </c>
    </row>
    <row r="32" spans="1:19" x14ac:dyDescent="0.2">
      <c r="A32" s="2324" t="s">
        <v>115</v>
      </c>
      <c r="B32" s="2324"/>
      <c r="C32" s="2324" t="s">
        <v>2700</v>
      </c>
      <c r="D32" s="2355"/>
      <c r="E32" s="2355"/>
      <c r="F32" s="2356"/>
      <c r="G32" s="2356"/>
      <c r="H32" s="2329"/>
      <c r="I32" s="2329"/>
      <c r="J32" s="2329"/>
      <c r="K32" s="2356"/>
      <c r="L32" s="2356"/>
      <c r="M32" s="2329"/>
      <c r="N32" s="2356"/>
      <c r="O32" s="2329">
        <f>O33+SUM(O36:O45)</f>
        <v>0</v>
      </c>
      <c r="P32" s="2329"/>
      <c r="Q32" s="2330"/>
      <c r="R32" s="2331">
        <f>R33+SUM(R36:R45)</f>
        <v>0</v>
      </c>
    </row>
    <row r="33" spans="1:18" s="2363" customFormat="1" ht="57" x14ac:dyDescent="0.2">
      <c r="A33" s="2357" t="s">
        <v>2689</v>
      </c>
      <c r="B33" s="2357" t="s">
        <v>116</v>
      </c>
      <c r="C33" s="2357" t="s">
        <v>117</v>
      </c>
      <c r="D33" s="2358"/>
      <c r="E33" s="2358"/>
      <c r="F33" s="2359"/>
      <c r="G33" s="2359"/>
      <c r="H33" s="2360"/>
      <c r="I33" s="2360"/>
      <c r="J33" s="2360"/>
      <c r="K33" s="2359"/>
      <c r="L33" s="2359"/>
      <c r="M33" s="2360"/>
      <c r="N33" s="2359"/>
      <c r="O33" s="2360">
        <f>SUM(O34:O35)</f>
        <v>0</v>
      </c>
      <c r="P33" s="2360"/>
      <c r="Q33" s="2361"/>
      <c r="R33" s="2362">
        <f>SUM(R34:R35)</f>
        <v>0</v>
      </c>
    </row>
    <row r="34" spans="1:18" ht="28.5" x14ac:dyDescent="0.2">
      <c r="A34" s="2332" t="s">
        <v>4168</v>
      </c>
      <c r="B34" s="2364" t="s">
        <v>120</v>
      </c>
      <c r="C34" s="2333" t="s">
        <v>121</v>
      </c>
      <c r="D34" s="2351" t="s">
        <v>90</v>
      </c>
      <c r="E34" s="2345" t="s">
        <v>118</v>
      </c>
      <c r="F34" s="2273"/>
      <c r="G34" s="2278"/>
      <c r="H34" s="2238"/>
      <c r="I34" s="2238"/>
      <c r="J34" s="2238"/>
      <c r="K34" s="2238"/>
      <c r="L34" s="2273"/>
      <c r="M34" s="2335"/>
      <c r="N34" s="2273"/>
      <c r="O34" s="2335">
        <f t="shared" ref="O34:O45" si="4">M34*N34</f>
        <v>0</v>
      </c>
      <c r="P34" s="2335"/>
      <c r="Q34" s="2346">
        <f>'Ab1. RMNCH+A'!Q21</f>
        <v>0</v>
      </c>
      <c r="R34" s="2352">
        <f>'Ab1. RMNCH+A'!R21</f>
        <v>0</v>
      </c>
    </row>
    <row r="35" spans="1:18" ht="28.5" x14ac:dyDescent="0.2">
      <c r="A35" s="2332" t="s">
        <v>4169</v>
      </c>
      <c r="B35" s="2333" t="s">
        <v>123</v>
      </c>
      <c r="C35" s="2333" t="s">
        <v>124</v>
      </c>
      <c r="D35" s="2351" t="s">
        <v>90</v>
      </c>
      <c r="E35" s="2345" t="s">
        <v>118</v>
      </c>
      <c r="F35" s="2273"/>
      <c r="G35" s="2278"/>
      <c r="H35" s="2238"/>
      <c r="I35" s="2238"/>
      <c r="J35" s="2238"/>
      <c r="K35" s="2238"/>
      <c r="L35" s="2273"/>
      <c r="M35" s="2335"/>
      <c r="N35" s="2273"/>
      <c r="O35" s="2335">
        <f t="shared" si="4"/>
        <v>0</v>
      </c>
      <c r="P35" s="2335"/>
      <c r="Q35" s="2346">
        <f>'Ab1. RMNCH+A'!Q22</f>
        <v>0</v>
      </c>
      <c r="R35" s="2352">
        <f>'Ab1. RMNCH+A'!R22</f>
        <v>0</v>
      </c>
    </row>
    <row r="36" spans="1:18" x14ac:dyDescent="0.2">
      <c r="A36" s="2332" t="s">
        <v>2690</v>
      </c>
      <c r="B36" s="2350" t="s">
        <v>126</v>
      </c>
      <c r="C36" s="2350" t="s">
        <v>127</v>
      </c>
      <c r="D36" s="2351" t="s">
        <v>90</v>
      </c>
      <c r="E36" s="2345" t="s">
        <v>118</v>
      </c>
      <c r="F36" s="2273"/>
      <c r="G36" s="2283"/>
      <c r="H36" s="2284"/>
      <c r="I36" s="2284"/>
      <c r="J36" s="2384"/>
      <c r="K36" s="2385"/>
      <c r="L36" s="2385"/>
      <c r="M36" s="2335"/>
      <c r="N36" s="2273"/>
      <c r="O36" s="2335">
        <f t="shared" si="4"/>
        <v>0</v>
      </c>
      <c r="P36" s="2335"/>
      <c r="Q36" s="2346">
        <f>'Ab1. RMNCH+A'!Q23</f>
        <v>0</v>
      </c>
      <c r="R36" s="2352">
        <f>'Ab1. RMNCH+A'!R23</f>
        <v>0</v>
      </c>
    </row>
    <row r="37" spans="1:18" x14ac:dyDescent="0.2">
      <c r="A37" s="2332" t="s">
        <v>2701</v>
      </c>
      <c r="B37" s="2350" t="s">
        <v>128</v>
      </c>
      <c r="C37" s="2350" t="s">
        <v>129</v>
      </c>
      <c r="D37" s="2351" t="s">
        <v>90</v>
      </c>
      <c r="E37" s="2345" t="s">
        <v>118</v>
      </c>
      <c r="F37" s="2273"/>
      <c r="G37" s="2278"/>
      <c r="H37" s="2238"/>
      <c r="I37" s="2238"/>
      <c r="J37" s="2238"/>
      <c r="K37" s="2238"/>
      <c r="L37" s="2273"/>
      <c r="M37" s="2335"/>
      <c r="N37" s="2273"/>
      <c r="O37" s="2335">
        <f t="shared" si="4"/>
        <v>0</v>
      </c>
      <c r="P37" s="2335"/>
      <c r="Q37" s="2346">
        <f>'Ab1. RMNCH+A'!Q24</f>
        <v>0</v>
      </c>
      <c r="R37" s="2352">
        <f>'Ab1. RMNCH+A'!R24</f>
        <v>0</v>
      </c>
    </row>
    <row r="38" spans="1:18" ht="28.5" x14ac:dyDescent="0.2">
      <c r="A38" s="2332" t="s">
        <v>2702</v>
      </c>
      <c r="B38" s="2350" t="s">
        <v>130</v>
      </c>
      <c r="C38" s="2350" t="s">
        <v>4085</v>
      </c>
      <c r="D38" s="2351" t="s">
        <v>90</v>
      </c>
      <c r="E38" s="2345" t="s">
        <v>118</v>
      </c>
      <c r="F38" s="2273"/>
      <c r="G38" s="2278"/>
      <c r="H38" s="2238"/>
      <c r="I38" s="2238"/>
      <c r="J38" s="2238"/>
      <c r="K38" s="2238"/>
      <c r="L38" s="2273"/>
      <c r="M38" s="2335"/>
      <c r="N38" s="2273"/>
      <c r="O38" s="2335">
        <f t="shared" si="4"/>
        <v>0</v>
      </c>
      <c r="P38" s="2335"/>
      <c r="Q38" s="2346">
        <f>'Ab1. RMNCH+A'!Q25</f>
        <v>0</v>
      </c>
      <c r="R38" s="2352">
        <f>'Ab1. RMNCH+A'!R25</f>
        <v>0</v>
      </c>
    </row>
    <row r="39" spans="1:18" x14ac:dyDescent="0.2">
      <c r="A39" s="2332" t="s">
        <v>2703</v>
      </c>
      <c r="B39" s="2350" t="s">
        <v>134</v>
      </c>
      <c r="C39" s="2350" t="s">
        <v>135</v>
      </c>
      <c r="D39" s="2351" t="s">
        <v>90</v>
      </c>
      <c r="E39" s="2345" t="s">
        <v>193</v>
      </c>
      <c r="F39" s="2273"/>
      <c r="G39" s="2278"/>
      <c r="H39" s="2238"/>
      <c r="I39" s="2279"/>
      <c r="J39" s="2285"/>
      <c r="K39" s="2238"/>
      <c r="L39" s="2245"/>
      <c r="M39" s="2335"/>
      <c r="N39" s="2273"/>
      <c r="O39" s="2335">
        <f t="shared" si="4"/>
        <v>0</v>
      </c>
      <c r="P39" s="2335"/>
      <c r="Q39" s="2346">
        <f>'Ab1. RMNCH+A'!Q296</f>
        <v>0</v>
      </c>
      <c r="R39" s="2352">
        <f>'Ab1. RMNCH+A'!R296</f>
        <v>0</v>
      </c>
    </row>
    <row r="40" spans="1:18" ht="28.5" x14ac:dyDescent="0.2">
      <c r="A40" s="2332" t="s">
        <v>2704</v>
      </c>
      <c r="B40" s="2344" t="s">
        <v>1988</v>
      </c>
      <c r="C40" s="2344" t="s">
        <v>1989</v>
      </c>
      <c r="D40" s="2351" t="s">
        <v>90</v>
      </c>
      <c r="E40" s="2345" t="s">
        <v>193</v>
      </c>
      <c r="F40" s="2273"/>
      <c r="G40" s="2278"/>
      <c r="H40" s="2386"/>
      <c r="I40" s="2279"/>
      <c r="J40" s="2387"/>
      <c r="K40" s="2238"/>
      <c r="L40" s="2273"/>
      <c r="M40" s="2335"/>
      <c r="N40" s="2273"/>
      <c r="O40" s="2335">
        <f t="shared" si="4"/>
        <v>0</v>
      </c>
      <c r="P40" s="2335"/>
      <c r="Q40" s="2346">
        <f>'Ab1. RMNCH+A'!Q297</f>
        <v>0</v>
      </c>
      <c r="R40" s="2352">
        <f>'Ab1. RMNCH+A'!R297</f>
        <v>0</v>
      </c>
    </row>
    <row r="41" spans="1:18" x14ac:dyDescent="0.2">
      <c r="A41" s="2332" t="s">
        <v>2705</v>
      </c>
      <c r="B41" s="2364" t="s">
        <v>139</v>
      </c>
      <c r="C41" s="2333" t="s">
        <v>2699</v>
      </c>
      <c r="D41" s="2351" t="s">
        <v>90</v>
      </c>
      <c r="E41" s="2345" t="s">
        <v>90</v>
      </c>
      <c r="F41" s="2273"/>
      <c r="G41" s="2278"/>
      <c r="H41" s="2238"/>
      <c r="I41" s="2238"/>
      <c r="J41" s="2238"/>
      <c r="K41" s="2238"/>
      <c r="L41" s="2273"/>
      <c r="M41" s="2335"/>
      <c r="N41" s="2273"/>
      <c r="O41" s="2335">
        <f t="shared" si="4"/>
        <v>0</v>
      </c>
      <c r="P41" s="2335"/>
      <c r="Q41" s="2346">
        <f>'Ab1. RMNCH+A'!Q438</f>
        <v>0</v>
      </c>
      <c r="R41" s="2352">
        <f>'Ab1. RMNCH+A'!R438</f>
        <v>0</v>
      </c>
    </row>
    <row r="42" spans="1:18" x14ac:dyDescent="0.2">
      <c r="A42" s="2332" t="s">
        <v>2706</v>
      </c>
      <c r="B42" s="2350" t="s">
        <v>140</v>
      </c>
      <c r="C42" s="2350" t="s">
        <v>141</v>
      </c>
      <c r="D42" s="2351" t="s">
        <v>90</v>
      </c>
      <c r="E42" s="2345" t="s">
        <v>90</v>
      </c>
      <c r="F42" s="2238"/>
      <c r="G42" s="2278"/>
      <c r="H42" s="2238"/>
      <c r="I42" s="2238"/>
      <c r="J42" s="2238"/>
      <c r="K42" s="2238"/>
      <c r="L42" s="2238"/>
      <c r="M42" s="2335"/>
      <c r="N42" s="2238"/>
      <c r="O42" s="2335">
        <f t="shared" si="4"/>
        <v>0</v>
      </c>
      <c r="P42" s="2335"/>
      <c r="Q42" s="2346">
        <f>'Ab1. RMNCH+A'!Q439</f>
        <v>0</v>
      </c>
      <c r="R42" s="2352">
        <f>'Ab1. RMNCH+A'!R439</f>
        <v>0</v>
      </c>
    </row>
    <row r="43" spans="1:18" ht="42.75" x14ac:dyDescent="0.2">
      <c r="A43" s="2332" t="s">
        <v>2707</v>
      </c>
      <c r="B43" s="2333" t="s">
        <v>143</v>
      </c>
      <c r="C43" s="2333" t="s">
        <v>144</v>
      </c>
      <c r="D43" s="2351" t="s">
        <v>90</v>
      </c>
      <c r="E43" s="2353" t="s">
        <v>205</v>
      </c>
      <c r="F43" s="2273"/>
      <c r="G43" s="2283"/>
      <c r="H43" s="2275"/>
      <c r="I43" s="2276"/>
      <c r="J43" s="2238"/>
      <c r="K43" s="2238"/>
      <c r="L43" s="2238"/>
      <c r="M43" s="2335"/>
      <c r="N43" s="2273"/>
      <c r="O43" s="2335">
        <f t="shared" si="4"/>
        <v>0</v>
      </c>
      <c r="P43" s="2335"/>
      <c r="Q43" s="2346">
        <f>'Ab1. RMNCH+A'!Q402</f>
        <v>0</v>
      </c>
      <c r="R43" s="2352">
        <f>'Ab1. RMNCH+A'!R402</f>
        <v>0</v>
      </c>
    </row>
    <row r="44" spans="1:18" ht="28.5" x14ac:dyDescent="0.2">
      <c r="A44" s="2332" t="s">
        <v>2708</v>
      </c>
      <c r="B44" s="2348"/>
      <c r="C44" s="2333" t="s">
        <v>4086</v>
      </c>
      <c r="D44" s="2351" t="s">
        <v>90</v>
      </c>
      <c r="E44" s="2353" t="s">
        <v>205</v>
      </c>
      <c r="F44" s="2273"/>
      <c r="G44" s="2283"/>
      <c r="H44" s="2275"/>
      <c r="I44" s="2276"/>
      <c r="J44" s="2238"/>
      <c r="K44" s="2238"/>
      <c r="L44" s="2238"/>
      <c r="M44" s="2335"/>
      <c r="N44" s="2273"/>
      <c r="O44" s="2335">
        <f t="shared" si="4"/>
        <v>0</v>
      </c>
      <c r="P44" s="2335"/>
      <c r="Q44" s="2346">
        <f>'Ab1. RMNCH+A'!Q403</f>
        <v>0</v>
      </c>
      <c r="R44" s="2352">
        <f>'Ab1. RMNCH+A'!R403</f>
        <v>0</v>
      </c>
    </row>
    <row r="45" spans="1:18" s="2367" customFormat="1" ht="42.75" x14ac:dyDescent="0.2">
      <c r="A45" s="2332" t="s">
        <v>4409</v>
      </c>
      <c r="B45" s="2348"/>
      <c r="C45" s="2348" t="s">
        <v>4410</v>
      </c>
      <c r="D45" s="2354" t="s">
        <v>4366</v>
      </c>
      <c r="E45" s="2365" t="s">
        <v>3323</v>
      </c>
      <c r="F45" s="2388"/>
      <c r="G45" s="2366"/>
      <c r="H45" s="2389"/>
      <c r="I45" s="2389"/>
      <c r="J45" s="2390"/>
      <c r="K45" s="82"/>
      <c r="L45" s="304"/>
      <c r="M45" s="2335"/>
      <c r="N45" s="2388"/>
      <c r="O45" s="2335">
        <f t="shared" si="4"/>
        <v>0</v>
      </c>
      <c r="P45" s="2335"/>
      <c r="Q45" s="2346">
        <f>'Abs12. NVHCP'!Q13</f>
        <v>0</v>
      </c>
      <c r="R45" s="2347">
        <f>'Abs12. NVHCP'!R13</f>
        <v>0</v>
      </c>
    </row>
    <row r="46" spans="1:18" x14ac:dyDescent="0.2">
      <c r="A46" s="2324" t="s">
        <v>119</v>
      </c>
      <c r="B46" s="2324"/>
      <c r="C46" s="2324" t="s">
        <v>2715</v>
      </c>
      <c r="D46" s="2355"/>
      <c r="E46" s="2355"/>
      <c r="F46" s="2356"/>
      <c r="G46" s="2356"/>
      <c r="H46" s="2329"/>
      <c r="I46" s="2329"/>
      <c r="J46" s="2329"/>
      <c r="K46" s="2356"/>
      <c r="L46" s="2356"/>
      <c r="M46" s="2329"/>
      <c r="N46" s="2356"/>
      <c r="O46" s="2329">
        <f>SUM(O47:O54)</f>
        <v>0</v>
      </c>
      <c r="P46" s="2329"/>
      <c r="Q46" s="2330"/>
      <c r="R46" s="2331">
        <f>SUM(R47:R54)</f>
        <v>0</v>
      </c>
    </row>
    <row r="47" spans="1:18" ht="42.75" x14ac:dyDescent="0.2">
      <c r="A47" s="2332" t="s">
        <v>2709</v>
      </c>
      <c r="B47" s="2333" t="s">
        <v>142</v>
      </c>
      <c r="C47" s="2333" t="s">
        <v>4796</v>
      </c>
      <c r="D47" s="2297" t="s">
        <v>85</v>
      </c>
      <c r="E47" s="2368" t="s">
        <v>415</v>
      </c>
      <c r="F47" s="2391"/>
      <c r="G47" s="2392"/>
      <c r="H47" s="2391"/>
      <c r="I47" s="2393"/>
      <c r="J47" s="2391"/>
      <c r="K47" s="2391"/>
      <c r="L47" s="2391"/>
      <c r="M47" s="2335"/>
      <c r="N47" s="2391"/>
      <c r="O47" s="2335">
        <f t="shared" ref="O47:O54" si="5">M47*N47</f>
        <v>0</v>
      </c>
      <c r="P47" s="2335"/>
      <c r="Q47" s="2346">
        <f>'Abs19. NPCDCS'!Q14</f>
        <v>0</v>
      </c>
      <c r="R47" s="2347">
        <f>'Abs19. NPCDCS'!R14</f>
        <v>0</v>
      </c>
    </row>
    <row r="48" spans="1:18" x14ac:dyDescent="0.2">
      <c r="A48" s="2332" t="s">
        <v>2710</v>
      </c>
      <c r="B48" s="2340" t="s">
        <v>145</v>
      </c>
      <c r="C48" s="2340" t="s">
        <v>2714</v>
      </c>
      <c r="D48" s="2354" t="s">
        <v>4366</v>
      </c>
      <c r="E48" s="2334" t="s">
        <v>146</v>
      </c>
      <c r="F48" s="2273"/>
      <c r="G48" s="2272"/>
      <c r="H48" s="2273"/>
      <c r="I48" s="2273"/>
      <c r="J48" s="2273"/>
      <c r="K48" s="2273"/>
      <c r="L48" s="2273"/>
      <c r="M48" s="2335"/>
      <c r="N48" s="2273"/>
      <c r="O48" s="2335">
        <f t="shared" si="5"/>
        <v>0</v>
      </c>
      <c r="P48" s="2335"/>
      <c r="Q48" s="2369">
        <f>'Abs10. NLEP'!Q12</f>
        <v>0</v>
      </c>
      <c r="R48" s="2370">
        <f>'Abs10. NLEP'!R12</f>
        <v>0</v>
      </c>
    </row>
    <row r="49" spans="1:18" ht="57" x14ac:dyDescent="0.2">
      <c r="A49" s="2332" t="s">
        <v>2711</v>
      </c>
      <c r="B49" s="2350" t="s">
        <v>149</v>
      </c>
      <c r="C49" s="2350" t="s">
        <v>2717</v>
      </c>
      <c r="D49" s="2295" t="s">
        <v>85</v>
      </c>
      <c r="E49" s="2345" t="s">
        <v>150</v>
      </c>
      <c r="F49" s="2273"/>
      <c r="G49" s="2283"/>
      <c r="H49" s="2284"/>
      <c r="I49" s="2284"/>
      <c r="J49" s="2285"/>
      <c r="K49" s="2238"/>
      <c r="L49" s="2238"/>
      <c r="M49" s="2335"/>
      <c r="N49" s="2273"/>
      <c r="O49" s="2335">
        <f t="shared" si="5"/>
        <v>0</v>
      </c>
      <c r="P49" s="2335"/>
      <c r="Q49" s="2346">
        <f>'Abs16. NMHP'!Q7</f>
        <v>0</v>
      </c>
      <c r="R49" s="2347">
        <f>'Abs16. NMHP'!R7</f>
        <v>0</v>
      </c>
    </row>
    <row r="50" spans="1:18" ht="28.5" x14ac:dyDescent="0.2">
      <c r="A50" s="2332" t="s">
        <v>2712</v>
      </c>
      <c r="B50" s="2350" t="s">
        <v>2843</v>
      </c>
      <c r="C50" s="2350" t="s">
        <v>2842</v>
      </c>
      <c r="D50" s="2295" t="s">
        <v>85</v>
      </c>
      <c r="E50" s="2345" t="s">
        <v>86</v>
      </c>
      <c r="F50" s="2273"/>
      <c r="G50" s="2278"/>
      <c r="H50" s="2238"/>
      <c r="I50" s="2279"/>
      <c r="J50" s="2238"/>
      <c r="K50" s="2238"/>
      <c r="L50" s="2273"/>
      <c r="M50" s="2335"/>
      <c r="N50" s="2273"/>
      <c r="O50" s="2335">
        <f t="shared" si="5"/>
        <v>0</v>
      </c>
      <c r="P50" s="2335"/>
      <c r="Q50" s="2346">
        <f>'Abs15. NPCB'!Q8</f>
        <v>0</v>
      </c>
      <c r="R50" s="2347">
        <f>'Abs15. NPCB'!R8</f>
        <v>0</v>
      </c>
    </row>
    <row r="51" spans="1:18" ht="28.5" x14ac:dyDescent="0.2">
      <c r="A51" s="2332" t="s">
        <v>2713</v>
      </c>
      <c r="B51" s="2350" t="s">
        <v>161</v>
      </c>
      <c r="C51" s="2350" t="s">
        <v>2716</v>
      </c>
      <c r="D51" s="2295" t="s">
        <v>85</v>
      </c>
      <c r="E51" s="2345" t="s">
        <v>152</v>
      </c>
      <c r="F51" s="2396"/>
      <c r="G51" s="2397"/>
      <c r="H51" s="2398"/>
      <c r="I51" s="2398"/>
      <c r="J51" s="2398"/>
      <c r="K51" s="2398"/>
      <c r="L51" s="2396"/>
      <c r="M51" s="2372"/>
      <c r="N51" s="2396"/>
      <c r="O51" s="2372"/>
      <c r="P51" s="2372"/>
      <c r="Q51" s="2373" t="s">
        <v>4564</v>
      </c>
      <c r="R51" s="2374"/>
    </row>
    <row r="52" spans="1:18" s="2367" customFormat="1" x14ac:dyDescent="0.2">
      <c r="A52" s="2332" t="s">
        <v>4431</v>
      </c>
      <c r="B52" s="2343"/>
      <c r="C52" s="2343" t="s">
        <v>4432</v>
      </c>
      <c r="D52" s="2295" t="s">
        <v>85</v>
      </c>
      <c r="E52" s="2375" t="s">
        <v>399</v>
      </c>
      <c r="F52" s="2388"/>
      <c r="G52" s="2394"/>
      <c r="H52" s="2279"/>
      <c r="I52" s="2279"/>
      <c r="J52" s="2279"/>
      <c r="K52" s="2279"/>
      <c r="L52" s="2388"/>
      <c r="M52" s="2335"/>
      <c r="N52" s="2388"/>
      <c r="O52" s="2335">
        <f t="shared" si="5"/>
        <v>0</v>
      </c>
      <c r="P52" s="2335"/>
      <c r="Q52" s="2346">
        <f>'Abs17. NPHCE'!Q7</f>
        <v>0</v>
      </c>
      <c r="R52" s="2347">
        <f>'Abs17. NPHCE'!R7</f>
        <v>0</v>
      </c>
    </row>
    <row r="53" spans="1:18" s="2367" customFormat="1" ht="42.75" x14ac:dyDescent="0.2">
      <c r="A53" s="2332" t="s">
        <v>4442</v>
      </c>
      <c r="B53" s="2343"/>
      <c r="C53" s="2343" t="s">
        <v>4443</v>
      </c>
      <c r="D53" s="2354" t="s">
        <v>4366</v>
      </c>
      <c r="E53" s="2375" t="s">
        <v>4985</v>
      </c>
      <c r="F53" s="2388"/>
      <c r="G53" s="2394"/>
      <c r="H53" s="2279"/>
      <c r="I53" s="2279"/>
      <c r="J53" s="2279"/>
      <c r="K53" s="2279"/>
      <c r="L53" s="2388"/>
      <c r="M53" s="2335"/>
      <c r="N53" s="2388"/>
      <c r="O53" s="2335">
        <f t="shared" si="5"/>
        <v>0</v>
      </c>
      <c r="P53" s="2335"/>
      <c r="Q53" s="2346">
        <f>'Abs9. NVBDCP'!Q13</f>
        <v>0</v>
      </c>
      <c r="R53" s="2347">
        <f>'Abs9. NVBDCP'!R13</f>
        <v>0</v>
      </c>
    </row>
    <row r="54" spans="1:18" s="2367" customFormat="1" ht="28.5" x14ac:dyDescent="0.2">
      <c r="A54" s="2332" t="s">
        <v>4521</v>
      </c>
      <c r="B54" s="2343"/>
      <c r="C54" s="2376" t="s">
        <v>4522</v>
      </c>
      <c r="D54" s="2354" t="s">
        <v>4366</v>
      </c>
      <c r="E54" s="2375" t="s">
        <v>4683</v>
      </c>
      <c r="F54" s="2279"/>
      <c r="G54" s="2394"/>
      <c r="H54" s="2279"/>
      <c r="I54" s="2393"/>
      <c r="J54" s="2279"/>
      <c r="K54" s="2279"/>
      <c r="L54" s="2279"/>
      <c r="M54" s="2335"/>
      <c r="N54" s="2279"/>
      <c r="O54" s="2335">
        <f t="shared" si="5"/>
        <v>0</v>
      </c>
      <c r="P54" s="2335"/>
      <c r="Q54" s="2346">
        <f>'Abs11. NTEP'!Q11</f>
        <v>0</v>
      </c>
      <c r="R54" s="2347">
        <f>'Abs11. NTEP'!R11</f>
        <v>0</v>
      </c>
    </row>
    <row r="55" spans="1:18" x14ac:dyDescent="0.2">
      <c r="A55" s="2324" t="s">
        <v>122</v>
      </c>
      <c r="B55" s="2324"/>
      <c r="C55" s="2324" t="s">
        <v>2718</v>
      </c>
      <c r="D55" s="2355"/>
      <c r="E55" s="2355"/>
      <c r="F55" s="2356"/>
      <c r="G55" s="2356"/>
      <c r="H55" s="2329"/>
      <c r="I55" s="2329"/>
      <c r="J55" s="2329"/>
      <c r="K55" s="2356"/>
      <c r="L55" s="2356"/>
      <c r="M55" s="2329"/>
      <c r="N55" s="2356"/>
      <c r="O55" s="2329">
        <f>SUM(O56:O59)</f>
        <v>0</v>
      </c>
      <c r="P55" s="2329"/>
      <c r="Q55" s="2330"/>
      <c r="R55" s="2331">
        <f>SUM(R56:R59)</f>
        <v>0</v>
      </c>
    </row>
    <row r="56" spans="1:18" ht="42.75" x14ac:dyDescent="0.2">
      <c r="A56" s="2332" t="s">
        <v>2719</v>
      </c>
      <c r="B56" s="2350" t="s">
        <v>133</v>
      </c>
      <c r="C56" s="2350" t="s">
        <v>4381</v>
      </c>
      <c r="D56" s="2351" t="s">
        <v>90</v>
      </c>
      <c r="E56" s="2345" t="s">
        <v>131</v>
      </c>
      <c r="F56" s="2273"/>
      <c r="G56" s="2278"/>
      <c r="H56" s="2238"/>
      <c r="I56" s="2279"/>
      <c r="J56" s="2238"/>
      <c r="K56" s="2238"/>
      <c r="L56" s="2273"/>
      <c r="M56" s="2335"/>
      <c r="N56" s="2273"/>
      <c r="O56" s="2335">
        <f>M56*N56</f>
        <v>0</v>
      </c>
      <c r="P56" s="2335"/>
      <c r="Q56" s="2346">
        <f>'Ab1. RMNCH+A'!Q112</f>
        <v>0</v>
      </c>
      <c r="R56" s="2352">
        <f>'Ab1. RMNCH+A'!R112</f>
        <v>0</v>
      </c>
    </row>
    <row r="57" spans="1:18" x14ac:dyDescent="0.2">
      <c r="A57" s="2332" t="s">
        <v>2720</v>
      </c>
      <c r="B57" s="2377" t="s">
        <v>147</v>
      </c>
      <c r="C57" s="2377" t="s">
        <v>3977</v>
      </c>
      <c r="D57" s="2295" t="s">
        <v>85</v>
      </c>
      <c r="E57" s="2345" t="s">
        <v>86</v>
      </c>
      <c r="F57" s="2238"/>
      <c r="G57" s="2278"/>
      <c r="H57" s="2238"/>
      <c r="I57" s="2279"/>
      <c r="J57" s="2238"/>
      <c r="K57" s="2238"/>
      <c r="L57" s="2238"/>
      <c r="M57" s="2335"/>
      <c r="N57" s="2238"/>
      <c r="O57" s="2335">
        <f>M57*N57</f>
        <v>0</v>
      </c>
      <c r="P57" s="2335"/>
      <c r="Q57" s="2346">
        <f>'Abs15. NPCB'!Q9</f>
        <v>0</v>
      </c>
      <c r="R57" s="2347">
        <f>'Abs15. NPCB'!R9</f>
        <v>0</v>
      </c>
    </row>
    <row r="58" spans="1:18" ht="28.5" x14ac:dyDescent="0.2">
      <c r="A58" s="2332" t="s">
        <v>2721</v>
      </c>
      <c r="B58" s="2377" t="s">
        <v>148</v>
      </c>
      <c r="C58" s="2377" t="s">
        <v>3978</v>
      </c>
      <c r="D58" s="2295" t="s">
        <v>85</v>
      </c>
      <c r="E58" s="2345" t="s">
        <v>86</v>
      </c>
      <c r="F58" s="2238"/>
      <c r="G58" s="2278"/>
      <c r="H58" s="2238"/>
      <c r="I58" s="2279"/>
      <c r="J58" s="2238"/>
      <c r="K58" s="2238"/>
      <c r="L58" s="2238"/>
      <c r="M58" s="2335"/>
      <c r="N58" s="2238"/>
      <c r="O58" s="2335">
        <f>M58*N58</f>
        <v>0</v>
      </c>
      <c r="P58" s="2335"/>
      <c r="Q58" s="2346">
        <f>'Abs15. NPCB'!Q10</f>
        <v>0</v>
      </c>
      <c r="R58" s="2347">
        <f>'Abs15. NPCB'!R10</f>
        <v>0</v>
      </c>
    </row>
    <row r="59" spans="1:18" ht="42.75" x14ac:dyDescent="0.2">
      <c r="A59" s="2357" t="s">
        <v>2722</v>
      </c>
      <c r="B59" s="2357" t="s">
        <v>151</v>
      </c>
      <c r="C59" s="2357" t="s">
        <v>5280</v>
      </c>
      <c r="D59" s="2358"/>
      <c r="E59" s="2358"/>
      <c r="F59" s="2359"/>
      <c r="G59" s="2359"/>
      <c r="H59" s="2833"/>
      <c r="I59" s="2833"/>
      <c r="J59" s="2833"/>
      <c r="K59" s="2359"/>
      <c r="L59" s="2359"/>
      <c r="M59" s="2360"/>
      <c r="N59" s="2359"/>
      <c r="O59" s="2360">
        <f>SUM(O60:O64)</f>
        <v>0</v>
      </c>
      <c r="P59" s="2360"/>
      <c r="Q59" s="2361"/>
      <c r="R59" s="2362">
        <f>SUM(R60:R64)</f>
        <v>0</v>
      </c>
    </row>
    <row r="60" spans="1:18" ht="28.5" x14ac:dyDescent="0.2">
      <c r="A60" s="2332" t="s">
        <v>2723</v>
      </c>
      <c r="B60" s="2350" t="s">
        <v>153</v>
      </c>
      <c r="C60" s="2350" t="s">
        <v>5281</v>
      </c>
      <c r="D60" s="2295" t="s">
        <v>85</v>
      </c>
      <c r="E60" s="2345" t="s">
        <v>152</v>
      </c>
      <c r="F60" s="2273"/>
      <c r="G60" s="2278"/>
      <c r="H60" s="2399"/>
      <c r="I60" s="2279"/>
      <c r="J60" s="2238"/>
      <c r="K60" s="2238"/>
      <c r="L60" s="2336"/>
      <c r="M60" s="2335"/>
      <c r="N60" s="2336"/>
      <c r="O60" s="2335">
        <f>M60*N60</f>
        <v>0</v>
      </c>
      <c r="P60" s="2335"/>
      <c r="Q60" s="2346">
        <f>'Abs18. NTCP'!Q7</f>
        <v>0</v>
      </c>
      <c r="R60" s="2347">
        <f>'Abs18. NTCP'!R7</f>
        <v>0</v>
      </c>
    </row>
    <row r="61" spans="1:18" ht="28.5" x14ac:dyDescent="0.2">
      <c r="A61" s="2332" t="s">
        <v>2724</v>
      </c>
      <c r="B61" s="2350" t="s">
        <v>154</v>
      </c>
      <c r="C61" s="2350" t="s">
        <v>155</v>
      </c>
      <c r="D61" s="2295" t="s">
        <v>85</v>
      </c>
      <c r="E61" s="2345" t="s">
        <v>152</v>
      </c>
      <c r="F61" s="2273"/>
      <c r="G61" s="2278"/>
      <c r="H61" s="2399"/>
      <c r="I61" s="2279"/>
      <c r="J61" s="2238"/>
      <c r="K61" s="2371"/>
      <c r="L61" s="2371"/>
      <c r="M61" s="2372"/>
      <c r="N61" s="2371"/>
      <c r="O61" s="2372"/>
      <c r="P61" s="2372"/>
      <c r="Q61" s="2373" t="s">
        <v>4564</v>
      </c>
      <c r="R61" s="2374"/>
    </row>
    <row r="62" spans="1:18" ht="28.5" x14ac:dyDescent="0.2">
      <c r="A62" s="2332" t="s">
        <v>2725</v>
      </c>
      <c r="B62" s="2350" t="s">
        <v>156</v>
      </c>
      <c r="C62" s="2350" t="s">
        <v>157</v>
      </c>
      <c r="D62" s="2295" t="s">
        <v>85</v>
      </c>
      <c r="E62" s="2345" t="s">
        <v>152</v>
      </c>
      <c r="F62" s="2273"/>
      <c r="G62" s="2278"/>
      <c r="H62" s="2238"/>
      <c r="I62" s="2279"/>
      <c r="J62" s="2238"/>
      <c r="K62" s="2371"/>
      <c r="L62" s="2371"/>
      <c r="M62" s="2372"/>
      <c r="N62" s="2371"/>
      <c r="O62" s="2372"/>
      <c r="P62" s="2372"/>
      <c r="Q62" s="2373" t="s">
        <v>4564</v>
      </c>
      <c r="R62" s="2374"/>
    </row>
    <row r="63" spans="1:18" ht="28.5" x14ac:dyDescent="0.2">
      <c r="A63" s="2332" t="s">
        <v>2726</v>
      </c>
      <c r="B63" s="2350" t="s">
        <v>158</v>
      </c>
      <c r="C63" s="2350" t="s">
        <v>159</v>
      </c>
      <c r="D63" s="2295" t="s">
        <v>85</v>
      </c>
      <c r="E63" s="2345" t="s">
        <v>152</v>
      </c>
      <c r="F63" s="2273"/>
      <c r="G63" s="2278"/>
      <c r="H63" s="2238"/>
      <c r="I63" s="2279"/>
      <c r="J63" s="2238"/>
      <c r="K63" s="2371"/>
      <c r="L63" s="2371"/>
      <c r="M63" s="2372"/>
      <c r="N63" s="2371"/>
      <c r="O63" s="2372"/>
      <c r="P63" s="2372"/>
      <c r="Q63" s="2373" t="s">
        <v>4564</v>
      </c>
      <c r="R63" s="2374"/>
    </row>
    <row r="64" spans="1:18" ht="28.5" x14ac:dyDescent="0.2">
      <c r="A64" s="2332" t="s">
        <v>2727</v>
      </c>
      <c r="B64" s="2350" t="s">
        <v>160</v>
      </c>
      <c r="C64" s="2350" t="s">
        <v>5282</v>
      </c>
      <c r="D64" s="2295" t="s">
        <v>85</v>
      </c>
      <c r="E64" s="2345" t="s">
        <v>152</v>
      </c>
      <c r="F64" s="2273"/>
      <c r="G64" s="2278"/>
      <c r="H64" s="2399"/>
      <c r="I64" s="2279"/>
      <c r="J64" s="2238"/>
      <c r="K64" s="2238"/>
      <c r="L64" s="2273"/>
      <c r="M64" s="2335"/>
      <c r="N64" s="2336"/>
      <c r="O64" s="2335">
        <f>M64*N64</f>
        <v>0</v>
      </c>
      <c r="P64" s="2335"/>
      <c r="Q64" s="2346">
        <f>'Abs18. NTCP'!Q8</f>
        <v>0</v>
      </c>
      <c r="R64" s="2347">
        <f>'Abs18. NTCP'!R8</f>
        <v>0</v>
      </c>
    </row>
    <row r="65" spans="1:18" s="2363" customFormat="1" x14ac:dyDescent="0.2">
      <c r="A65" s="2378" t="s">
        <v>125</v>
      </c>
      <c r="B65" s="2378"/>
      <c r="C65" s="2378" t="s">
        <v>1310</v>
      </c>
      <c r="D65" s="2292" t="s">
        <v>70</v>
      </c>
      <c r="E65" s="2375" t="s">
        <v>70</v>
      </c>
      <c r="F65" s="2379"/>
      <c r="G65" s="2379"/>
      <c r="H65" s="2379"/>
      <c r="I65" s="2379"/>
      <c r="J65" s="2379"/>
      <c r="K65" s="2379"/>
      <c r="L65" s="2336"/>
      <c r="M65" s="2380"/>
      <c r="N65" s="2336"/>
      <c r="O65" s="2380">
        <f>M65*N65</f>
        <v>0</v>
      </c>
      <c r="P65" s="2380"/>
      <c r="Q65" s="2337"/>
      <c r="R65" s="2338"/>
    </row>
    <row r="67" spans="1:18" ht="15" x14ac:dyDescent="0.2">
      <c r="C67" s="2382"/>
      <c r="N67" s="956"/>
      <c r="O67" s="2383">
        <f>O7-O68</f>
        <v>360</v>
      </c>
      <c r="R67" s="2383">
        <f>R7-R68</f>
        <v>0</v>
      </c>
    </row>
    <row r="68" spans="1:18" ht="15" x14ac:dyDescent="0.2">
      <c r="N68" s="956"/>
      <c r="O68" s="2383">
        <f>O54+O45+O17</f>
        <v>0</v>
      </c>
      <c r="R68" s="2383">
        <f>R54+R45+R17</f>
        <v>0</v>
      </c>
    </row>
    <row r="75" spans="1:18" x14ac:dyDescent="0.2">
      <c r="C75" s="2382"/>
    </row>
    <row r="76" spans="1:18" x14ac:dyDescent="0.2">
      <c r="C76" s="2382"/>
    </row>
    <row r="77" spans="1:18" x14ac:dyDescent="0.2">
      <c r="C77" s="2382"/>
    </row>
    <row r="78" spans="1:18" x14ac:dyDescent="0.2">
      <c r="C78" s="2382"/>
    </row>
    <row r="79" spans="1:18" x14ac:dyDescent="0.2">
      <c r="C79" s="2382"/>
    </row>
    <row r="80" spans="1:18" x14ac:dyDescent="0.2">
      <c r="C80" s="2382"/>
    </row>
    <row r="81" spans="3:3" x14ac:dyDescent="0.2">
      <c r="C81" s="2382"/>
    </row>
  </sheetData>
  <sheetProtection formatCells="0" formatColumns="0" formatRows="0" autoFilter="0"/>
  <autoFilter ref="A6:R65"/>
  <mergeCells count="15">
    <mergeCell ref="Q5:R5"/>
    <mergeCell ref="O1:AH1"/>
    <mergeCell ref="AI1:AO1"/>
    <mergeCell ref="AP1:BA1"/>
    <mergeCell ref="A1:C1"/>
    <mergeCell ref="F5:J5"/>
    <mergeCell ref="A5:A6"/>
    <mergeCell ref="B5:B6"/>
    <mergeCell ref="C5:C6"/>
    <mergeCell ref="D5:D6"/>
    <mergeCell ref="E5:E6"/>
    <mergeCell ref="E1:E2"/>
    <mergeCell ref="F1:N1"/>
    <mergeCell ref="A2:A4"/>
    <mergeCell ref="K5:P5"/>
  </mergeCells>
  <phoneticPr fontId="57" type="noConversion"/>
  <pageMargins left="0.7" right="0.7" top="0.75" bottom="0.75" header="0.3" footer="0.3"/>
  <pageSetup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60"/>
  <sheetViews>
    <sheetView zoomScale="70" zoomScaleNormal="70" workbookViewId="0">
      <pane xSplit="5" ySplit="7" topLeftCell="M8" activePane="bottomRight" state="frozen"/>
      <selection activeCell="A2" sqref="A2:A4"/>
      <selection pane="topRight" activeCell="A2" sqref="A2:A4"/>
      <selection pane="bottomLeft" activeCell="A2" sqref="A2:A4"/>
      <selection pane="bottomRight" activeCell="P53" sqref="P53:P55"/>
    </sheetView>
  </sheetViews>
  <sheetFormatPr defaultColWidth="64.5703125" defaultRowHeight="15" x14ac:dyDescent="0.2"/>
  <cols>
    <col min="1" max="1" width="12.42578125" style="1086" customWidth="1"/>
    <col min="2" max="2" width="6.85546875" style="1072" customWidth="1"/>
    <col min="3" max="3" width="36.7109375" style="1087" customWidth="1"/>
    <col min="4" max="4" width="8.140625" style="999" customWidth="1"/>
    <col min="5" max="5" width="17.85546875" style="999" customWidth="1"/>
    <col min="6" max="6" width="15.85546875" style="989" customWidth="1"/>
    <col min="7" max="7" width="22.85546875" style="989" customWidth="1"/>
    <col min="8" max="8" width="15.85546875" style="989" customWidth="1"/>
    <col min="9" max="9" width="15.140625" style="989" customWidth="1"/>
    <col min="10" max="10" width="15" style="989" customWidth="1"/>
    <col min="11" max="11" width="21.85546875" style="1088" customWidth="1"/>
    <col min="12" max="12" width="12.42578125" style="989" customWidth="1"/>
    <col min="13" max="13" width="31.42578125" style="1089" customWidth="1"/>
    <col min="14" max="14" width="22.85546875" style="999" customWidth="1"/>
    <col min="15" max="15" width="16.85546875" style="1089" bestFit="1" customWidth="1"/>
    <col min="16" max="16" width="27.42578125" style="1086" customWidth="1"/>
    <col min="17" max="17" width="33.42578125" style="1179" customWidth="1"/>
    <col min="18" max="18" width="15" style="989" bestFit="1" customWidth="1"/>
    <col min="19" max="19" width="8.7109375" style="989" bestFit="1" customWidth="1"/>
    <col min="20" max="20" width="9.28515625" style="989" customWidth="1"/>
    <col min="21" max="21" width="6.28515625" style="989" bestFit="1" customWidth="1"/>
    <col min="22" max="22" width="6.7109375" style="989" bestFit="1" customWidth="1"/>
    <col min="23" max="23" width="5.85546875" style="989" bestFit="1" customWidth="1"/>
    <col min="24" max="24" width="8.140625" style="989" bestFit="1" customWidth="1"/>
    <col min="25" max="25" width="9.42578125" style="989" bestFit="1" customWidth="1"/>
    <col min="26" max="26" width="11" style="989" bestFit="1" customWidth="1"/>
    <col min="27" max="27" width="6.28515625" style="989" bestFit="1" customWidth="1"/>
    <col min="28" max="28" width="11.85546875" style="989" bestFit="1" customWidth="1"/>
    <col min="29" max="29" width="6.7109375" style="989" bestFit="1" customWidth="1"/>
    <col min="30" max="30" width="6" style="989" bestFit="1" customWidth="1"/>
    <col min="31" max="31" width="18.140625" style="989" bestFit="1" customWidth="1"/>
    <col min="32" max="32" width="6" style="989" bestFit="1" customWidth="1"/>
    <col min="33" max="33" width="11" style="989" bestFit="1" customWidth="1"/>
    <col min="34" max="34" width="10.42578125" style="989" bestFit="1" customWidth="1"/>
    <col min="35" max="35" width="9.85546875" style="989" bestFit="1" customWidth="1"/>
    <col min="36" max="36" width="12" style="989" customWidth="1"/>
    <col min="37" max="37" width="10.85546875" style="989" bestFit="1" customWidth="1"/>
    <col min="38" max="38" width="11" style="989" bestFit="1" customWidth="1"/>
    <col min="39" max="39" width="12.140625" style="989" bestFit="1" customWidth="1"/>
    <col min="40" max="40" width="7.85546875" style="989" bestFit="1" customWidth="1"/>
    <col min="41" max="41" width="12.5703125" style="989" bestFit="1" customWidth="1"/>
    <col min="42" max="42" width="8.5703125" style="989" bestFit="1" customWidth="1"/>
    <col min="43" max="43" width="8.7109375" style="989" bestFit="1" customWidth="1"/>
    <col min="44" max="44" width="10.85546875" style="989" bestFit="1" customWidth="1"/>
    <col min="45" max="45" width="9.140625" style="989" bestFit="1" customWidth="1"/>
    <col min="46" max="46" width="8.7109375" style="989" bestFit="1" customWidth="1"/>
    <col min="47" max="47" width="9.140625" style="989" bestFit="1" customWidth="1"/>
    <col min="48" max="48" width="9.5703125" style="989" bestFit="1" customWidth="1"/>
    <col min="49" max="49" width="10.85546875" style="989" bestFit="1" customWidth="1"/>
    <col min="50" max="50" width="9" style="989" bestFit="1" customWidth="1"/>
    <col min="51" max="51" width="12.5703125" style="989" bestFit="1" customWidth="1"/>
    <col min="52" max="52" width="11.42578125" style="989" bestFit="1" customWidth="1"/>
    <col min="53" max="53" width="12.85546875" style="989" bestFit="1" customWidth="1"/>
    <col min="54" max="54" width="8.28515625" style="989" bestFit="1" customWidth="1"/>
    <col min="55" max="55" width="8.140625" style="989" bestFit="1" customWidth="1"/>
    <col min="56" max="56" width="9.5703125" style="989" bestFit="1" customWidth="1"/>
    <col min="57" max="57" width="9.7109375" style="989" bestFit="1" customWidth="1"/>
    <col min="58" max="58" width="10.85546875" style="989" bestFit="1" customWidth="1"/>
    <col min="59" max="16384" width="64.5703125" style="989"/>
  </cols>
  <sheetData>
    <row r="1" spans="1:53" x14ac:dyDescent="0.2">
      <c r="A1" s="3852" t="s">
        <v>162</v>
      </c>
      <c r="B1" s="3853"/>
      <c r="C1" s="3854"/>
      <c r="D1" s="988"/>
      <c r="E1" s="3855" t="s">
        <v>4719</v>
      </c>
      <c r="F1" s="3857" t="s">
        <v>4717</v>
      </c>
      <c r="G1" s="3858"/>
      <c r="H1" s="3858"/>
      <c r="I1" s="3858"/>
      <c r="J1" s="3858"/>
      <c r="K1" s="3858"/>
      <c r="L1" s="3858"/>
      <c r="M1" s="3858"/>
      <c r="N1" s="3859"/>
      <c r="O1" s="3866" t="s">
        <v>70</v>
      </c>
      <c r="P1" s="3867"/>
      <c r="Q1" s="3867"/>
      <c r="R1" s="3867"/>
      <c r="S1" s="3867"/>
      <c r="T1" s="3867"/>
      <c r="U1" s="3867"/>
      <c r="V1" s="3867"/>
      <c r="W1" s="3867"/>
      <c r="X1" s="3867"/>
      <c r="Y1" s="3867"/>
      <c r="Z1" s="3867"/>
      <c r="AA1" s="3867"/>
      <c r="AB1" s="3867"/>
      <c r="AC1" s="3867"/>
      <c r="AD1" s="3867"/>
      <c r="AE1" s="3867"/>
      <c r="AF1" s="3867"/>
      <c r="AG1" s="3867"/>
      <c r="AH1" s="3868"/>
      <c r="AI1" s="3869" t="s">
        <v>4366</v>
      </c>
      <c r="AJ1" s="3870"/>
      <c r="AK1" s="3870"/>
      <c r="AL1" s="3870"/>
      <c r="AM1" s="3870"/>
      <c r="AN1" s="3870"/>
      <c r="AO1" s="3871"/>
      <c r="AP1" s="3872" t="s">
        <v>85</v>
      </c>
      <c r="AQ1" s="3873"/>
      <c r="AR1" s="3873"/>
      <c r="AS1" s="3873"/>
      <c r="AT1" s="3873"/>
      <c r="AU1" s="3873"/>
      <c r="AV1" s="3873"/>
      <c r="AW1" s="3873"/>
      <c r="AX1" s="3873"/>
      <c r="AY1" s="3873"/>
      <c r="AZ1" s="3873"/>
      <c r="BA1" s="3874"/>
    </row>
    <row r="2" spans="1:53" s="996" customFormat="1" x14ac:dyDescent="0.2">
      <c r="A2" s="3811" t="str">
        <f>HYPERLINK("#Index!A4", "Index Pg")</f>
        <v>Index Pg</v>
      </c>
      <c r="B2" s="990"/>
      <c r="C2" s="959"/>
      <c r="D2" s="990"/>
      <c r="E2" s="3856"/>
      <c r="F2" s="991" t="s">
        <v>118</v>
      </c>
      <c r="G2" s="991" t="s">
        <v>131</v>
      </c>
      <c r="H2" s="991" t="s">
        <v>91</v>
      </c>
      <c r="I2" s="991" t="s">
        <v>4715</v>
      </c>
      <c r="J2" s="991" t="s">
        <v>96</v>
      </c>
      <c r="K2" s="992" t="s">
        <v>4071</v>
      </c>
      <c r="L2" s="993" t="s">
        <v>4716</v>
      </c>
      <c r="M2" s="993" t="s">
        <v>4720</v>
      </c>
      <c r="N2" s="993" t="s">
        <v>208</v>
      </c>
      <c r="O2" s="994" t="s">
        <v>4365</v>
      </c>
      <c r="P2" s="994" t="s">
        <v>3855</v>
      </c>
      <c r="Q2" s="887" t="s">
        <v>4729</v>
      </c>
      <c r="R2" s="994" t="s">
        <v>4726</v>
      </c>
      <c r="S2" s="994" t="s">
        <v>4727</v>
      </c>
      <c r="T2" s="994" t="s">
        <v>4728</v>
      </c>
      <c r="U2" s="994" t="s">
        <v>4730</v>
      </c>
      <c r="V2" s="994" t="s">
        <v>4704</v>
      </c>
      <c r="W2" s="994" t="s">
        <v>4731</v>
      </c>
      <c r="X2" s="994" t="s">
        <v>33</v>
      </c>
      <c r="Y2" s="994" t="s">
        <v>4732</v>
      </c>
      <c r="Z2" s="994" t="s">
        <v>4733</v>
      </c>
      <c r="AA2" s="994" t="s">
        <v>4723</v>
      </c>
      <c r="AB2" s="994" t="s">
        <v>742</v>
      </c>
      <c r="AC2" s="994" t="s">
        <v>4724</v>
      </c>
      <c r="AD2" s="994" t="s">
        <v>4725</v>
      </c>
      <c r="AE2" s="994" t="s">
        <v>2383</v>
      </c>
      <c r="AF2" s="994" t="s">
        <v>4734</v>
      </c>
      <c r="AG2" s="994" t="s">
        <v>3854</v>
      </c>
      <c r="AH2" s="994" t="s">
        <v>307</v>
      </c>
      <c r="AI2" s="995" t="s">
        <v>293</v>
      </c>
      <c r="AJ2" s="995" t="s">
        <v>114</v>
      </c>
      <c r="AK2" s="995" t="s">
        <v>146</v>
      </c>
      <c r="AL2" s="995" t="s">
        <v>4683</v>
      </c>
      <c r="AM2" s="995" t="s">
        <v>3323</v>
      </c>
      <c r="AN2" s="995" t="s">
        <v>3993</v>
      </c>
      <c r="AO2" s="995" t="s">
        <v>4553</v>
      </c>
      <c r="AP2" s="889" t="s">
        <v>86</v>
      </c>
      <c r="AQ2" s="889" t="s">
        <v>150</v>
      </c>
      <c r="AR2" s="889" t="s">
        <v>399</v>
      </c>
      <c r="AS2" s="889" t="s">
        <v>152</v>
      </c>
      <c r="AT2" s="889" t="s">
        <v>415</v>
      </c>
      <c r="AU2" s="889" t="s">
        <v>4607</v>
      </c>
      <c r="AV2" s="889" t="s">
        <v>4132</v>
      </c>
      <c r="AW2" s="889" t="s">
        <v>312</v>
      </c>
      <c r="AX2" s="889" t="s">
        <v>314</v>
      </c>
      <c r="AY2" s="889" t="s">
        <v>1034</v>
      </c>
      <c r="AZ2" s="889" t="s">
        <v>1020</v>
      </c>
      <c r="BA2" s="889" t="s">
        <v>4718</v>
      </c>
    </row>
    <row r="3" spans="1:53" s="998" customFormat="1" x14ac:dyDescent="0.2">
      <c r="A3" s="3812"/>
      <c r="B3" s="892" t="str">
        <f>HYPERLINK("#'Budget Summary I'!A1:AL1", "Budget Summary I")</f>
        <v>Budget Summary I</v>
      </c>
      <c r="C3" s="832" t="s">
        <v>4608</v>
      </c>
      <c r="D3" s="960"/>
      <c r="E3" s="960">
        <f>R7</f>
        <v>0</v>
      </c>
      <c r="F3" s="960">
        <f>R11</f>
        <v>0</v>
      </c>
      <c r="G3" s="960">
        <f>R12</f>
        <v>0</v>
      </c>
      <c r="H3" s="960">
        <f>R14+R35</f>
        <v>0</v>
      </c>
      <c r="I3" s="960">
        <f>R15+R36</f>
        <v>0</v>
      </c>
      <c r="J3" s="960"/>
      <c r="K3" s="997"/>
      <c r="L3" s="960">
        <f>R13</f>
        <v>0</v>
      </c>
      <c r="M3" s="960"/>
      <c r="N3" s="997">
        <f>R17</f>
        <v>0</v>
      </c>
      <c r="O3" s="997"/>
      <c r="P3" s="997">
        <f>R23+R24+R26+R27+R28+R30+R31+R32+R48+R16+R21+R22</f>
        <v>0</v>
      </c>
      <c r="Q3" s="961"/>
      <c r="R3" s="997"/>
      <c r="S3" s="997"/>
      <c r="T3" s="997">
        <f>R47</f>
        <v>0</v>
      </c>
      <c r="U3" s="997"/>
      <c r="V3" s="997"/>
      <c r="W3" s="997"/>
      <c r="X3" s="997"/>
      <c r="Y3" s="997"/>
      <c r="Z3" s="997"/>
      <c r="AA3" s="997"/>
      <c r="AB3" s="997"/>
      <c r="AC3" s="997"/>
      <c r="AD3" s="997"/>
      <c r="AE3" s="997"/>
      <c r="AF3" s="997"/>
      <c r="AG3" s="997"/>
      <c r="AH3" s="997">
        <f>R50+R51+R56</f>
        <v>0</v>
      </c>
      <c r="AI3" s="997">
        <f>R53</f>
        <v>0</v>
      </c>
      <c r="AJ3" s="997">
        <f>R19+R38</f>
        <v>0</v>
      </c>
      <c r="AK3" s="997">
        <f>R20</f>
        <v>0</v>
      </c>
      <c r="AL3" s="997">
        <f>SUM(R41:R44)</f>
        <v>0</v>
      </c>
      <c r="AM3" s="997">
        <f>R39</f>
        <v>0</v>
      </c>
      <c r="AN3" s="997"/>
      <c r="AO3" s="997"/>
      <c r="AP3" s="997"/>
      <c r="AQ3" s="997">
        <f>R46</f>
        <v>0</v>
      </c>
      <c r="AR3" s="997"/>
      <c r="AS3" s="997">
        <f>R54</f>
        <v>0</v>
      </c>
      <c r="AT3" s="997"/>
      <c r="AU3" s="997"/>
      <c r="AV3" s="997">
        <f>R55</f>
        <v>0</v>
      </c>
      <c r="AW3" s="997"/>
      <c r="AX3" s="997"/>
      <c r="AY3" s="997"/>
      <c r="AZ3" s="997"/>
      <c r="BA3" s="997"/>
    </row>
    <row r="4" spans="1:53" s="996" customFormat="1" x14ac:dyDescent="0.25">
      <c r="A4" s="3813"/>
      <c r="B4" s="831" t="str">
        <f>HYPERLINK("#'Budget Summary II'!A3:B5", "Budget Summary II")</f>
        <v>Budget Summary II</v>
      </c>
      <c r="C4" s="832" t="s">
        <v>4609</v>
      </c>
      <c r="D4" s="997"/>
      <c r="E4" s="960">
        <f>O7</f>
        <v>0</v>
      </c>
      <c r="F4" s="960">
        <f>O11</f>
        <v>0</v>
      </c>
      <c r="G4" s="960">
        <f>O12</f>
        <v>0</v>
      </c>
      <c r="H4" s="960">
        <f>O14+O35</f>
        <v>0</v>
      </c>
      <c r="I4" s="960">
        <f>O15+O36</f>
        <v>0</v>
      </c>
      <c r="J4" s="960"/>
      <c r="K4" s="997"/>
      <c r="L4" s="960">
        <f>O13</f>
        <v>0</v>
      </c>
      <c r="M4" s="960"/>
      <c r="N4" s="997">
        <f>O17</f>
        <v>0</v>
      </c>
      <c r="O4" s="997"/>
      <c r="P4" s="997">
        <f>O23+O24+O26+O27+O28+O30+O31+O32+O48+O16+O21+O22</f>
        <v>0</v>
      </c>
      <c r="Q4" s="961"/>
      <c r="R4" s="997"/>
      <c r="S4" s="997"/>
      <c r="T4" s="997">
        <f>O47</f>
        <v>0</v>
      </c>
      <c r="U4" s="997"/>
      <c r="V4" s="997"/>
      <c r="W4" s="997"/>
      <c r="X4" s="997"/>
      <c r="Y4" s="997"/>
      <c r="Z4" s="997"/>
      <c r="AA4" s="997"/>
      <c r="AB4" s="997"/>
      <c r="AC4" s="997"/>
      <c r="AD4" s="997"/>
      <c r="AE4" s="997"/>
      <c r="AF4" s="997"/>
      <c r="AG4" s="997"/>
      <c r="AH4" s="997">
        <f>O50+O51+O56</f>
        <v>0</v>
      </c>
      <c r="AI4" s="997">
        <f>O53</f>
        <v>0</v>
      </c>
      <c r="AJ4" s="997">
        <f>O19+O38</f>
        <v>0</v>
      </c>
      <c r="AK4" s="997">
        <f>O20</f>
        <v>0</v>
      </c>
      <c r="AL4" s="997">
        <f>SUM(O41:O44)</f>
        <v>0</v>
      </c>
      <c r="AM4" s="997">
        <f>O39</f>
        <v>0</v>
      </c>
      <c r="AN4" s="997"/>
      <c r="AO4" s="997"/>
      <c r="AP4" s="997"/>
      <c r="AQ4" s="997">
        <f>O46</f>
        <v>0</v>
      </c>
      <c r="AR4" s="997"/>
      <c r="AS4" s="997">
        <f>O54</f>
        <v>0</v>
      </c>
      <c r="AT4" s="997"/>
      <c r="AU4" s="997"/>
      <c r="AV4" s="997">
        <f>O55</f>
        <v>0</v>
      </c>
      <c r="AW4" s="997"/>
      <c r="AX4" s="997"/>
      <c r="AY4" s="997"/>
      <c r="AZ4" s="997"/>
      <c r="BA4" s="997"/>
    </row>
    <row r="5" spans="1:53" s="999" customFormat="1" ht="12.75" customHeight="1" x14ac:dyDescent="0.2">
      <c r="A5" s="3860" t="s">
        <v>53</v>
      </c>
      <c r="B5" s="3860" t="s">
        <v>54</v>
      </c>
      <c r="C5" s="3823" t="s">
        <v>55</v>
      </c>
      <c r="D5" s="3860" t="s">
        <v>56</v>
      </c>
      <c r="E5" s="3860" t="s">
        <v>57</v>
      </c>
      <c r="F5" s="3875" t="s">
        <v>4629</v>
      </c>
      <c r="G5" s="3875"/>
      <c r="H5" s="3875"/>
      <c r="I5" s="3875"/>
      <c r="J5" s="3875"/>
      <c r="K5" s="3861" t="s">
        <v>4640</v>
      </c>
      <c r="L5" s="3862"/>
      <c r="M5" s="3862"/>
      <c r="N5" s="3862"/>
      <c r="O5" s="3862"/>
      <c r="P5" s="3863"/>
      <c r="Q5" s="3864" t="s">
        <v>4670</v>
      </c>
      <c r="R5" s="3865"/>
    </row>
    <row r="6" spans="1:53" s="999" customFormat="1" x14ac:dyDescent="0.2">
      <c r="A6" s="3860"/>
      <c r="B6" s="3860"/>
      <c r="C6" s="3823"/>
      <c r="D6" s="3860"/>
      <c r="E6" s="3860"/>
      <c r="F6" s="1000" t="s">
        <v>4630</v>
      </c>
      <c r="G6" s="1000" t="s">
        <v>4638</v>
      </c>
      <c r="H6" s="1000" t="s">
        <v>4631</v>
      </c>
      <c r="I6" s="1000" t="s">
        <v>4639</v>
      </c>
      <c r="J6" s="1000" t="s">
        <v>2538</v>
      </c>
      <c r="K6" s="1001" t="s">
        <v>58</v>
      </c>
      <c r="L6" s="1002" t="s">
        <v>59</v>
      </c>
      <c r="M6" s="1003" t="s">
        <v>60</v>
      </c>
      <c r="N6" s="1002" t="s">
        <v>61</v>
      </c>
      <c r="O6" s="1003" t="s">
        <v>62</v>
      </c>
      <c r="P6" s="1002" t="s">
        <v>5547</v>
      </c>
      <c r="Q6" s="899" t="s">
        <v>2540</v>
      </c>
      <c r="R6" s="1004" t="s">
        <v>4671</v>
      </c>
    </row>
    <row r="7" spans="1:53" x14ac:dyDescent="0.2">
      <c r="A7" s="1005">
        <v>3</v>
      </c>
      <c r="B7" s="1006"/>
      <c r="C7" s="234" t="s">
        <v>10</v>
      </c>
      <c r="D7" s="1007"/>
      <c r="E7" s="1007"/>
      <c r="F7" s="1005"/>
      <c r="G7" s="1005"/>
      <c r="H7" s="1011">
        <f>H8+H33+H49</f>
        <v>2.5</v>
      </c>
      <c r="I7" s="1011">
        <f>I8+I33+I49</f>
        <v>0</v>
      </c>
      <c r="J7" s="1011">
        <f>J8+J33+J49</f>
        <v>0</v>
      </c>
      <c r="K7" s="1008"/>
      <c r="L7" s="1005"/>
      <c r="M7" s="1009"/>
      <c r="N7" s="1010"/>
      <c r="O7" s="1011">
        <f>O8+O33+O49</f>
        <v>0</v>
      </c>
      <c r="P7" s="1005"/>
      <c r="Q7" s="1199"/>
      <c r="R7" s="1012">
        <f>R8+R33+R49</f>
        <v>0</v>
      </c>
      <c r="S7" s="1013" t="s">
        <v>4724</v>
      </c>
    </row>
    <row r="8" spans="1:53" x14ac:dyDescent="0.2">
      <c r="A8" s="1014">
        <v>3.1</v>
      </c>
      <c r="B8" s="1015"/>
      <c r="C8" s="1016" t="s">
        <v>11</v>
      </c>
      <c r="D8" s="1017"/>
      <c r="E8" s="1017"/>
      <c r="F8" s="1018"/>
      <c r="G8" s="1018"/>
      <c r="H8" s="1020">
        <f>H9+H25+H29</f>
        <v>0</v>
      </c>
      <c r="I8" s="1020">
        <f>I9+I25+I29</f>
        <v>0</v>
      </c>
      <c r="J8" s="1020">
        <f>J9+J25+J29</f>
        <v>0</v>
      </c>
      <c r="K8" s="1019"/>
      <c r="L8" s="1018"/>
      <c r="M8" s="1020"/>
      <c r="N8" s="1017"/>
      <c r="O8" s="1020">
        <f>O9+O25+O29</f>
        <v>0</v>
      </c>
      <c r="P8" s="1014"/>
      <c r="Q8" s="1201"/>
      <c r="R8" s="1021">
        <f>R9+R25+R29</f>
        <v>0</v>
      </c>
      <c r="S8" s="1013">
        <f>SUM(S9:S56)</f>
        <v>0</v>
      </c>
    </row>
    <row r="9" spans="1:53" ht="30" x14ac:dyDescent="0.2">
      <c r="A9" s="1022" t="s">
        <v>46</v>
      </c>
      <c r="B9" s="1023"/>
      <c r="C9" s="1024" t="s">
        <v>163</v>
      </c>
      <c r="D9" s="1025"/>
      <c r="E9" s="1025"/>
      <c r="F9" s="1026"/>
      <c r="G9" s="1026"/>
      <c r="H9" s="1030">
        <f>H10+H18+H22+H23+H24+H17</f>
        <v>0</v>
      </c>
      <c r="I9" s="1030">
        <f>I10+I18+I22+I23+I24+I17</f>
        <v>0</v>
      </c>
      <c r="J9" s="1030">
        <f>J10+J18+J22+J23+J24+J17</f>
        <v>0</v>
      </c>
      <c r="K9" s="1027"/>
      <c r="L9" s="1026"/>
      <c r="M9" s="1028"/>
      <c r="N9" s="1029"/>
      <c r="O9" s="1030">
        <f>O10+O18+O22+O23+O24+O17</f>
        <v>0</v>
      </c>
      <c r="P9" s="1031"/>
      <c r="Q9" s="3464"/>
      <c r="R9" s="1032">
        <f>R10+R18+R22+R23+R24+R17</f>
        <v>0</v>
      </c>
      <c r="S9" s="1013"/>
    </row>
    <row r="10" spans="1:53" x14ac:dyDescent="0.2">
      <c r="A10" s="1033" t="s">
        <v>164</v>
      </c>
      <c r="B10" s="1034"/>
      <c r="C10" s="1035" t="s">
        <v>4826</v>
      </c>
      <c r="D10" s="1036" t="s">
        <v>90</v>
      </c>
      <c r="E10" s="1037"/>
      <c r="F10" s="772"/>
      <c r="G10" s="772"/>
      <c r="H10" s="1041">
        <f>SUM(H11:H16)</f>
        <v>0</v>
      </c>
      <c r="I10" s="1041">
        <f>SUM(I11:I16)</f>
        <v>0</v>
      </c>
      <c r="J10" s="1041">
        <f>SUM(J11:J16)</f>
        <v>0</v>
      </c>
      <c r="K10" s="1038"/>
      <c r="L10" s="772"/>
      <c r="M10" s="1039"/>
      <c r="N10" s="1040"/>
      <c r="O10" s="1041">
        <f>SUM(O11:O16)</f>
        <v>0</v>
      </c>
      <c r="P10" s="1042"/>
      <c r="Q10" s="3465"/>
      <c r="R10" s="773">
        <f>SUM(R11:R16)</f>
        <v>0</v>
      </c>
      <c r="S10" s="1013"/>
    </row>
    <row r="11" spans="1:53" x14ac:dyDescent="0.2">
      <c r="A11" s="1033" t="s">
        <v>2740</v>
      </c>
      <c r="B11" s="1034"/>
      <c r="C11" s="1043" t="s">
        <v>4827</v>
      </c>
      <c r="D11" s="1036" t="s">
        <v>90</v>
      </c>
      <c r="E11" s="1037" t="s">
        <v>4838</v>
      </c>
      <c r="F11" s="1044"/>
      <c r="G11" s="1045"/>
      <c r="H11" s="1039">
        <f>'3-A. CI Sub-Annex'!I7</f>
        <v>0</v>
      </c>
      <c r="I11" s="1039">
        <f>'3-A. CI Sub-Annex'!J7</f>
        <v>0</v>
      </c>
      <c r="J11" s="1039">
        <f>'3-A. CI Sub-Annex'!K7</f>
        <v>0</v>
      </c>
      <c r="K11" s="1046"/>
      <c r="L11" s="1047"/>
      <c r="M11" s="759"/>
      <c r="N11" s="1047"/>
      <c r="O11" s="1039">
        <f>'3-A. CI Sub-Annex'!P7</f>
        <v>0</v>
      </c>
      <c r="P11" s="1048"/>
      <c r="Q11" s="255" t="s">
        <v>5916</v>
      </c>
      <c r="R11" s="760">
        <f>'3-A. CI Sub-Annex'!S7</f>
        <v>0</v>
      </c>
      <c r="S11" s="1013"/>
    </row>
    <row r="12" spans="1:53" x14ac:dyDescent="0.2">
      <c r="A12" s="1033" t="s">
        <v>2741</v>
      </c>
      <c r="B12" s="1034"/>
      <c r="C12" s="1043" t="s">
        <v>4830</v>
      </c>
      <c r="D12" s="1036" t="s">
        <v>90</v>
      </c>
      <c r="E12" s="1037" t="s">
        <v>4378</v>
      </c>
      <c r="F12" s="1044"/>
      <c r="G12" s="1045"/>
      <c r="H12" s="1039">
        <f>'3-A. CI Sub-Annex'!I12</f>
        <v>0</v>
      </c>
      <c r="I12" s="1039">
        <f>'3-A. CI Sub-Annex'!J12</f>
        <v>0</v>
      </c>
      <c r="J12" s="1039">
        <f>'3-A. CI Sub-Annex'!K12</f>
        <v>0</v>
      </c>
      <c r="K12" s="1046"/>
      <c r="L12" s="1047"/>
      <c r="M12" s="759"/>
      <c r="N12" s="1047"/>
      <c r="O12" s="1039">
        <f>'3-A. CI Sub-Annex'!P12</f>
        <v>0</v>
      </c>
      <c r="P12" s="1048"/>
      <c r="Q12" s="255" t="s">
        <v>5916</v>
      </c>
      <c r="R12" s="760">
        <f>'3-A. CI Sub-Annex'!S12</f>
        <v>0</v>
      </c>
      <c r="S12" s="1013"/>
    </row>
    <row r="13" spans="1:53" x14ac:dyDescent="0.2">
      <c r="A13" s="1033" t="s">
        <v>2742</v>
      </c>
      <c r="B13" s="1034"/>
      <c r="C13" s="1043" t="s">
        <v>4831</v>
      </c>
      <c r="D13" s="1036" t="s">
        <v>90</v>
      </c>
      <c r="E13" s="1037" t="s">
        <v>4839</v>
      </c>
      <c r="F13" s="1044"/>
      <c r="G13" s="1045"/>
      <c r="H13" s="1039">
        <f>'3-A. CI Sub-Annex'!I20</f>
        <v>0</v>
      </c>
      <c r="I13" s="1039">
        <f>'3-A. CI Sub-Annex'!J20</f>
        <v>0</v>
      </c>
      <c r="J13" s="1039">
        <f>'3-A. CI Sub-Annex'!K20</f>
        <v>0</v>
      </c>
      <c r="K13" s="1046"/>
      <c r="L13" s="1047"/>
      <c r="M13" s="759"/>
      <c r="N13" s="1047"/>
      <c r="O13" s="1039">
        <f>'3-A. CI Sub-Annex'!P20</f>
        <v>0</v>
      </c>
      <c r="P13" s="1048"/>
      <c r="Q13" s="255" t="s">
        <v>5916</v>
      </c>
      <c r="R13" s="760">
        <f>'3-A. CI Sub-Annex'!S20</f>
        <v>0</v>
      </c>
      <c r="S13" s="1013"/>
    </row>
    <row r="14" spans="1:53" x14ac:dyDescent="0.2">
      <c r="A14" s="1033" t="s">
        <v>2743</v>
      </c>
      <c r="B14" s="1034"/>
      <c r="C14" s="1043" t="s">
        <v>2737</v>
      </c>
      <c r="D14" s="1036" t="s">
        <v>90</v>
      </c>
      <c r="E14" s="1037" t="s">
        <v>4840</v>
      </c>
      <c r="F14" s="1044"/>
      <c r="G14" s="1045"/>
      <c r="H14" s="1039">
        <f>'3-A. CI Sub-Annex'!I23</f>
        <v>0</v>
      </c>
      <c r="I14" s="1039">
        <f>'3-A. CI Sub-Annex'!J23</f>
        <v>0</v>
      </c>
      <c r="J14" s="1039">
        <f>'3-A. CI Sub-Annex'!K23</f>
        <v>0</v>
      </c>
      <c r="K14" s="1046"/>
      <c r="L14" s="1047"/>
      <c r="M14" s="759"/>
      <c r="N14" s="1047"/>
      <c r="O14" s="1039">
        <f>'3-A. CI Sub-Annex'!P23</f>
        <v>0</v>
      </c>
      <c r="P14" s="1042"/>
      <c r="Q14" s="255" t="s">
        <v>5916</v>
      </c>
      <c r="R14" s="761">
        <f>'3-A. CI Sub-Annex'!S23</f>
        <v>0</v>
      </c>
      <c r="S14" s="1013"/>
    </row>
    <row r="15" spans="1:53" x14ac:dyDescent="0.2">
      <c r="A15" s="1033" t="s">
        <v>2744</v>
      </c>
      <c r="B15" s="1034"/>
      <c r="C15" s="1043" t="s">
        <v>2738</v>
      </c>
      <c r="D15" s="1036" t="s">
        <v>90</v>
      </c>
      <c r="E15" s="1037" t="s">
        <v>4841</v>
      </c>
      <c r="F15" s="1044"/>
      <c r="G15" s="1045"/>
      <c r="H15" s="1039">
        <f>'3-A. CI Sub-Annex'!I33</f>
        <v>0</v>
      </c>
      <c r="I15" s="1039">
        <f>'3-A. CI Sub-Annex'!J33</f>
        <v>0</v>
      </c>
      <c r="J15" s="1039">
        <f>'3-A. CI Sub-Annex'!K33</f>
        <v>0</v>
      </c>
      <c r="K15" s="1046"/>
      <c r="L15" s="1047"/>
      <c r="M15" s="759"/>
      <c r="N15" s="1047"/>
      <c r="O15" s="1039">
        <f>'3-A. CI Sub-Annex'!P33</f>
        <v>0</v>
      </c>
      <c r="P15" s="1042"/>
      <c r="Q15" s="255" t="s">
        <v>5916</v>
      </c>
      <c r="R15" s="761">
        <f>'3-A. CI Sub-Annex'!S33</f>
        <v>0</v>
      </c>
      <c r="S15" s="1013"/>
    </row>
    <row r="16" spans="1:53" x14ac:dyDescent="0.2">
      <c r="A16" s="1033" t="s">
        <v>2745</v>
      </c>
      <c r="B16" s="1034"/>
      <c r="C16" s="1043" t="s">
        <v>2977</v>
      </c>
      <c r="D16" s="1049" t="s">
        <v>70</v>
      </c>
      <c r="E16" s="1037" t="s">
        <v>2673</v>
      </c>
      <c r="F16" s="1044"/>
      <c r="G16" s="1045"/>
      <c r="H16" s="1039">
        <f>'3-A. CI Sub-Annex'!I36</f>
        <v>0</v>
      </c>
      <c r="I16" s="1039">
        <f>'3-A. CI Sub-Annex'!J36</f>
        <v>0</v>
      </c>
      <c r="J16" s="1039">
        <f>'3-A. CI Sub-Annex'!K36</f>
        <v>0</v>
      </c>
      <c r="K16" s="1046"/>
      <c r="L16" s="1047"/>
      <c r="M16" s="759"/>
      <c r="N16" s="1047"/>
      <c r="O16" s="1039">
        <f>'3-A. CI Sub-Annex'!P36</f>
        <v>0</v>
      </c>
      <c r="P16" s="1042"/>
      <c r="Q16" s="255"/>
      <c r="R16" s="761">
        <f>'3-A. CI Sub-Annex'!S36</f>
        <v>0</v>
      </c>
      <c r="S16" s="1013"/>
    </row>
    <row r="17" spans="1:19" x14ac:dyDescent="0.2">
      <c r="A17" s="1033" t="s">
        <v>167</v>
      </c>
      <c r="B17" s="1034" t="s">
        <v>206</v>
      </c>
      <c r="C17" s="1035" t="s">
        <v>4871</v>
      </c>
      <c r="D17" s="1036" t="s">
        <v>90</v>
      </c>
      <c r="E17" s="1037" t="s">
        <v>2675</v>
      </c>
      <c r="F17" s="772"/>
      <c r="G17" s="772"/>
      <c r="H17" s="1041">
        <f>'3-A. CI Sub-Annex'!I37</f>
        <v>0</v>
      </c>
      <c r="I17" s="1041">
        <f>'3-A. CI Sub-Annex'!J37</f>
        <v>0</v>
      </c>
      <c r="J17" s="1041">
        <f>'3-A. CI Sub-Annex'!K37</f>
        <v>0</v>
      </c>
      <c r="K17" s="1038"/>
      <c r="L17" s="1047"/>
      <c r="M17" s="759"/>
      <c r="N17" s="1047"/>
      <c r="O17" s="1041">
        <f>'3-A. CI Sub-Annex'!P37</f>
        <v>0</v>
      </c>
      <c r="P17" s="1042"/>
      <c r="Q17" s="255" t="s">
        <v>5916</v>
      </c>
      <c r="R17" s="762">
        <f>'3-A. CI Sub-Annex'!S37</f>
        <v>0</v>
      </c>
      <c r="S17" s="1013"/>
    </row>
    <row r="18" spans="1:19" x14ac:dyDescent="0.2">
      <c r="A18" s="1033" t="s">
        <v>170</v>
      </c>
      <c r="B18" s="1034"/>
      <c r="C18" s="1035" t="s">
        <v>4884</v>
      </c>
      <c r="D18" s="1050" t="s">
        <v>4366</v>
      </c>
      <c r="E18" s="1037"/>
      <c r="F18" s="772"/>
      <c r="G18" s="772"/>
      <c r="H18" s="1041">
        <f>SUM(H19:H21)</f>
        <v>0</v>
      </c>
      <c r="I18" s="1041">
        <f>SUM(I19:I21)</f>
        <v>0</v>
      </c>
      <c r="J18" s="1041">
        <f>SUM(J19:J21)</f>
        <v>0</v>
      </c>
      <c r="K18" s="1038"/>
      <c r="L18" s="772"/>
      <c r="M18" s="1039"/>
      <c r="N18" s="1040"/>
      <c r="O18" s="1041">
        <f>SUM(O19:O21)</f>
        <v>0</v>
      </c>
      <c r="P18" s="1042"/>
      <c r="Q18" s="255"/>
      <c r="R18" s="773">
        <f>SUM(R19:R21)</f>
        <v>0</v>
      </c>
      <c r="S18" s="1013"/>
    </row>
    <row r="19" spans="1:19" x14ac:dyDescent="0.2">
      <c r="A19" s="1051" t="s">
        <v>2759</v>
      </c>
      <c r="B19" s="1034"/>
      <c r="C19" s="1043" t="s">
        <v>5599</v>
      </c>
      <c r="D19" s="1050" t="s">
        <v>4366</v>
      </c>
      <c r="E19" s="1037" t="s">
        <v>114</v>
      </c>
      <c r="F19" s="772"/>
      <c r="G19" s="772"/>
      <c r="H19" s="1039">
        <f>'3-A. CI Sub-Annex'!I39</f>
        <v>0</v>
      </c>
      <c r="I19" s="1039">
        <f>'3-A. CI Sub-Annex'!J39</f>
        <v>0</v>
      </c>
      <c r="J19" s="1039">
        <f>'3-A. CI Sub-Annex'!K39</f>
        <v>0</v>
      </c>
      <c r="K19" s="1046"/>
      <c r="L19" s="1047"/>
      <c r="M19" s="759"/>
      <c r="N19" s="1047"/>
      <c r="O19" s="1039">
        <f>'3-A. CI Sub-Annex'!P39</f>
        <v>0</v>
      </c>
      <c r="P19" s="1042"/>
      <c r="Q19" s="255" t="s">
        <v>5916</v>
      </c>
      <c r="R19" s="761">
        <f>'3-A. CI Sub-Annex'!S39</f>
        <v>0</v>
      </c>
      <c r="S19" s="1013"/>
    </row>
    <row r="20" spans="1:19" x14ac:dyDescent="0.2">
      <c r="A20" s="1051" t="s">
        <v>2760</v>
      </c>
      <c r="B20" s="1034"/>
      <c r="C20" s="1043" t="s">
        <v>4885</v>
      </c>
      <c r="D20" s="1050" t="s">
        <v>4366</v>
      </c>
      <c r="E20" s="1037" t="s">
        <v>146</v>
      </c>
      <c r="F20" s="772"/>
      <c r="G20" s="772"/>
      <c r="H20" s="1039">
        <f>'3-A. CI Sub-Annex'!I47</f>
        <v>0</v>
      </c>
      <c r="I20" s="1039">
        <f>'3-A. CI Sub-Annex'!J47</f>
        <v>0</v>
      </c>
      <c r="J20" s="1039">
        <f>'3-A. CI Sub-Annex'!K47</f>
        <v>0</v>
      </c>
      <c r="K20" s="1046"/>
      <c r="L20" s="1047"/>
      <c r="M20" s="759"/>
      <c r="N20" s="1047"/>
      <c r="O20" s="1039">
        <f>'3-A. CI Sub-Annex'!P47</f>
        <v>0</v>
      </c>
      <c r="P20" s="1042"/>
      <c r="Q20" s="255" t="s">
        <v>5916</v>
      </c>
      <c r="R20" s="761">
        <f>'3-A. CI Sub-Annex'!S47</f>
        <v>0</v>
      </c>
      <c r="S20" s="1013"/>
    </row>
    <row r="21" spans="1:19" x14ac:dyDescent="0.2">
      <c r="A21" s="1051" t="s">
        <v>2761</v>
      </c>
      <c r="B21" s="1034"/>
      <c r="C21" s="1043" t="s">
        <v>2977</v>
      </c>
      <c r="D21" s="1049" t="s">
        <v>70</v>
      </c>
      <c r="E21" s="1037" t="s">
        <v>2673</v>
      </c>
      <c r="F21" s="1044"/>
      <c r="G21" s="1045"/>
      <c r="H21" s="1039">
        <f>'3-A. CI Sub-Annex'!I51</f>
        <v>0</v>
      </c>
      <c r="I21" s="1039">
        <f>'3-A. CI Sub-Annex'!J51</f>
        <v>0</v>
      </c>
      <c r="J21" s="1039">
        <f>'3-A. CI Sub-Annex'!K51</f>
        <v>0</v>
      </c>
      <c r="K21" s="1046"/>
      <c r="L21" s="1047"/>
      <c r="M21" s="759"/>
      <c r="N21" s="1047"/>
      <c r="O21" s="1039">
        <f>'3-A. CI Sub-Annex'!P51</f>
        <v>0</v>
      </c>
      <c r="P21" s="1042"/>
      <c r="Q21" s="255" t="s">
        <v>5916</v>
      </c>
      <c r="R21" s="761">
        <f>'3-A. CI Sub-Annex'!S51</f>
        <v>0</v>
      </c>
      <c r="S21" s="1013"/>
    </row>
    <row r="22" spans="1:19" x14ac:dyDescent="0.2">
      <c r="A22" s="1033" t="s">
        <v>173</v>
      </c>
      <c r="B22" s="1034"/>
      <c r="C22" s="1035" t="s">
        <v>4870</v>
      </c>
      <c r="D22" s="1049" t="s">
        <v>70</v>
      </c>
      <c r="E22" s="1037" t="s">
        <v>2673</v>
      </c>
      <c r="F22" s="772"/>
      <c r="G22" s="772"/>
      <c r="H22" s="1041">
        <f>'3-A. CI Sub-Annex'!I53</f>
        <v>0</v>
      </c>
      <c r="I22" s="1041">
        <f>'3-A. CI Sub-Annex'!J53</f>
        <v>0</v>
      </c>
      <c r="J22" s="1041">
        <f>'3-A. CI Sub-Annex'!K53</f>
        <v>0</v>
      </c>
      <c r="K22" s="1038"/>
      <c r="L22" s="772"/>
      <c r="M22" s="1039"/>
      <c r="N22" s="1040"/>
      <c r="O22" s="1041">
        <f>'3-A. CI Sub-Annex'!P53</f>
        <v>0</v>
      </c>
      <c r="P22" s="1042"/>
      <c r="Q22" s="255" t="s">
        <v>5916</v>
      </c>
      <c r="R22" s="762">
        <f>'3-A. CI Sub-Annex'!S53</f>
        <v>0</v>
      </c>
      <c r="S22" s="1013"/>
    </row>
    <row r="23" spans="1:19" x14ac:dyDescent="0.2">
      <c r="A23" s="1033" t="s">
        <v>175</v>
      </c>
      <c r="B23" s="1034"/>
      <c r="C23" s="1035" t="s">
        <v>203</v>
      </c>
      <c r="D23" s="1052" t="s">
        <v>70</v>
      </c>
      <c r="E23" s="1037" t="s">
        <v>2673</v>
      </c>
      <c r="F23" s="1044"/>
      <c r="G23" s="1045"/>
      <c r="H23" s="1041">
        <f>'3-A. CI Sub-Annex'!I58</f>
        <v>0</v>
      </c>
      <c r="I23" s="1041">
        <f>'3-A. CI Sub-Annex'!J58</f>
        <v>0</v>
      </c>
      <c r="J23" s="1041">
        <f>'3-A. CI Sub-Annex'!K58</f>
        <v>0</v>
      </c>
      <c r="K23" s="1038"/>
      <c r="L23" s="1047"/>
      <c r="M23" s="759"/>
      <c r="N23" s="1047"/>
      <c r="O23" s="1041">
        <f>'3-A. CI Sub-Annex'!P58</f>
        <v>0</v>
      </c>
      <c r="P23" s="1042"/>
      <c r="Q23" s="255" t="s">
        <v>5916</v>
      </c>
      <c r="R23" s="762">
        <f>'3-A. CI Sub-Annex'!S58</f>
        <v>0</v>
      </c>
      <c r="S23" s="1013"/>
    </row>
    <row r="24" spans="1:19" x14ac:dyDescent="0.2">
      <c r="A24" s="1033" t="s">
        <v>3310</v>
      </c>
      <c r="B24" s="1051"/>
      <c r="C24" s="1035" t="s">
        <v>4842</v>
      </c>
      <c r="D24" s="1052" t="s">
        <v>70</v>
      </c>
      <c r="E24" s="1053" t="s">
        <v>2673</v>
      </c>
      <c r="F24" s="772"/>
      <c r="G24" s="772"/>
      <c r="H24" s="1041">
        <f>'3-A. CI Sub-Annex'!I59</f>
        <v>0</v>
      </c>
      <c r="I24" s="1041">
        <f>'3-A. CI Sub-Annex'!J59</f>
        <v>0</v>
      </c>
      <c r="J24" s="1041">
        <f>'3-A. CI Sub-Annex'!K59</f>
        <v>0</v>
      </c>
      <c r="K24" s="1038"/>
      <c r="L24" s="1047"/>
      <c r="M24" s="759"/>
      <c r="N24" s="1047"/>
      <c r="O24" s="1041">
        <f>'3-A. CI Sub-Annex'!P59</f>
        <v>0</v>
      </c>
      <c r="P24" s="1042"/>
      <c r="Q24" s="255" t="s">
        <v>5916</v>
      </c>
      <c r="R24" s="762">
        <f>'3-A. CI Sub-Annex'!S59</f>
        <v>0</v>
      </c>
      <c r="S24" s="1013"/>
    </row>
    <row r="25" spans="1:19" x14ac:dyDescent="0.2">
      <c r="A25" s="1022" t="s">
        <v>47</v>
      </c>
      <c r="B25" s="1023"/>
      <c r="C25" s="1024" t="s">
        <v>742</v>
      </c>
      <c r="D25" s="1025"/>
      <c r="E25" s="1025"/>
      <c r="F25" s="1026"/>
      <c r="G25" s="1026"/>
      <c r="H25" s="1030">
        <f>SUM(H26:H28)</f>
        <v>0</v>
      </c>
      <c r="I25" s="1030">
        <f>SUM(I26:I28)</f>
        <v>0</v>
      </c>
      <c r="J25" s="1030">
        <f>SUM(J26:J28)</f>
        <v>0</v>
      </c>
      <c r="K25" s="1027"/>
      <c r="L25" s="1026"/>
      <c r="M25" s="1028"/>
      <c r="N25" s="1029"/>
      <c r="O25" s="1030">
        <f>SUM(O26:O28)</f>
        <v>0</v>
      </c>
      <c r="P25" s="1031"/>
      <c r="Q25" s="3464"/>
      <c r="R25" s="1032">
        <f>SUM(R26:R28)</f>
        <v>0</v>
      </c>
      <c r="S25" s="1013"/>
    </row>
    <row r="26" spans="1:19" x14ac:dyDescent="0.2">
      <c r="A26" s="1042" t="s">
        <v>225</v>
      </c>
      <c r="B26" s="772"/>
      <c r="C26" s="872" t="s">
        <v>4843</v>
      </c>
      <c r="D26" s="1052" t="s">
        <v>70</v>
      </c>
      <c r="E26" s="1054" t="s">
        <v>2673</v>
      </c>
      <c r="F26" s="1055"/>
      <c r="G26" s="1055"/>
      <c r="H26" s="1056">
        <f>'3-A. CI Sub-Annex'!I61</f>
        <v>0</v>
      </c>
      <c r="I26" s="1056">
        <f>'3-A. CI Sub-Annex'!J61</f>
        <v>0</v>
      </c>
      <c r="J26" s="1056">
        <f>'3-A. CI Sub-Annex'!K61</f>
        <v>0</v>
      </c>
      <c r="K26" s="1038"/>
      <c r="L26" s="1055"/>
      <c r="M26" s="1056"/>
      <c r="N26" s="1054"/>
      <c r="O26" s="1056">
        <f>'3-A. CI Sub-Annex'!P61</f>
        <v>0</v>
      </c>
      <c r="P26" s="771"/>
      <c r="Q26" s="255" t="s">
        <v>5916</v>
      </c>
      <c r="R26" s="767">
        <f>'3-A. CI Sub-Annex'!S61</f>
        <v>0</v>
      </c>
    </row>
    <row r="27" spans="1:19" x14ac:dyDescent="0.2">
      <c r="A27" s="1042" t="s">
        <v>228</v>
      </c>
      <c r="B27" s="1057"/>
      <c r="C27" s="851" t="s">
        <v>1138</v>
      </c>
      <c r="D27" s="1052" t="s">
        <v>70</v>
      </c>
      <c r="E27" s="1054" t="s">
        <v>2673</v>
      </c>
      <c r="F27" s="1055"/>
      <c r="G27" s="1055"/>
      <c r="H27" s="1056">
        <f>'3-A. CI Sub-Annex'!I72</f>
        <v>0</v>
      </c>
      <c r="I27" s="1056">
        <f>'3-A. CI Sub-Annex'!J72</f>
        <v>0</v>
      </c>
      <c r="J27" s="1056">
        <f>'3-A. CI Sub-Annex'!K72</f>
        <v>0</v>
      </c>
      <c r="K27" s="1038"/>
      <c r="L27" s="1058"/>
      <c r="M27" s="765"/>
      <c r="N27" s="1058"/>
      <c r="O27" s="1056">
        <f>'3-A. CI Sub-Annex'!P72</f>
        <v>0</v>
      </c>
      <c r="P27" s="771"/>
      <c r="Q27" s="254"/>
      <c r="R27" s="767">
        <f>'3-A. CI Sub-Annex'!S72</f>
        <v>0</v>
      </c>
      <c r="S27" s="1013"/>
    </row>
    <row r="28" spans="1:19" x14ac:dyDescent="0.2">
      <c r="A28" s="1042" t="s">
        <v>234</v>
      </c>
      <c r="B28" s="1059"/>
      <c r="C28" s="240" t="s">
        <v>4523</v>
      </c>
      <c r="D28" s="1052" t="s">
        <v>70</v>
      </c>
      <c r="E28" s="1054" t="s">
        <v>2673</v>
      </c>
      <c r="F28" s="1055"/>
      <c r="G28" s="1055"/>
      <c r="H28" s="1056">
        <f>'3-A. CI Sub-Annex'!I75</f>
        <v>0</v>
      </c>
      <c r="I28" s="1056">
        <f>'3-A. CI Sub-Annex'!J75</f>
        <v>0</v>
      </c>
      <c r="J28" s="1056">
        <f>'3-A. CI Sub-Annex'!K75</f>
        <v>0</v>
      </c>
      <c r="K28" s="1038"/>
      <c r="L28" s="1058"/>
      <c r="M28" s="765"/>
      <c r="N28" s="1058"/>
      <c r="O28" s="1056">
        <f>'3-A. CI Sub-Annex'!P75</f>
        <v>0</v>
      </c>
      <c r="P28" s="771"/>
      <c r="Q28" s="255" t="s">
        <v>5916</v>
      </c>
      <c r="R28" s="767">
        <f>'3-A. CI Sub-Annex'!S75</f>
        <v>0</v>
      </c>
      <c r="S28" s="1013"/>
    </row>
    <row r="29" spans="1:19" s="1061" customFormat="1" x14ac:dyDescent="0.2">
      <c r="A29" s="1022" t="s">
        <v>48</v>
      </c>
      <c r="B29" s="1023"/>
      <c r="C29" s="1024" t="s">
        <v>4846</v>
      </c>
      <c r="D29" s="1025"/>
      <c r="E29" s="1025"/>
      <c r="F29" s="1026"/>
      <c r="G29" s="1026"/>
      <c r="H29" s="1030">
        <f>SUM(H30:H32)</f>
        <v>0</v>
      </c>
      <c r="I29" s="1030">
        <f>SUM(I30:I32)</f>
        <v>0</v>
      </c>
      <c r="J29" s="1030">
        <f>SUM(J30:J32)</f>
        <v>0</v>
      </c>
      <c r="K29" s="1027"/>
      <c r="L29" s="1026"/>
      <c r="M29" s="1028"/>
      <c r="N29" s="1029"/>
      <c r="O29" s="1030">
        <f>SUM(O30:O32)</f>
        <v>0</v>
      </c>
      <c r="P29" s="1031"/>
      <c r="Q29" s="3466"/>
      <c r="R29" s="768">
        <f>SUM(R30:R32)</f>
        <v>0</v>
      </c>
      <c r="S29" s="1060"/>
    </row>
    <row r="30" spans="1:19" ht="30" x14ac:dyDescent="0.2">
      <c r="A30" s="1051" t="s">
        <v>239</v>
      </c>
      <c r="B30" s="1057"/>
      <c r="C30" s="851" t="s">
        <v>4847</v>
      </c>
      <c r="D30" s="1062" t="s">
        <v>70</v>
      </c>
      <c r="E30" s="1054" t="s">
        <v>2673</v>
      </c>
      <c r="F30" s="1063"/>
      <c r="G30" s="1064"/>
      <c r="H30" s="1056">
        <f>'3-A. CI Sub-Annex'!I77</f>
        <v>0</v>
      </c>
      <c r="I30" s="1056">
        <f>'3-A. CI Sub-Annex'!J77</f>
        <v>0</v>
      </c>
      <c r="J30" s="1056">
        <f>'3-A. CI Sub-Annex'!K77</f>
        <v>0</v>
      </c>
      <c r="K30" s="1038"/>
      <c r="L30" s="1058"/>
      <c r="M30" s="765"/>
      <c r="N30" s="1058"/>
      <c r="O30" s="1056">
        <f>'3-A. CI Sub-Annex'!P77</f>
        <v>0</v>
      </c>
      <c r="P30" s="771"/>
      <c r="Q30" s="255" t="s">
        <v>5916</v>
      </c>
      <c r="R30" s="767">
        <f>'3-A. CI Sub-Annex'!S77</f>
        <v>0</v>
      </c>
      <c r="S30" s="1065"/>
    </row>
    <row r="31" spans="1:19" x14ac:dyDescent="0.2">
      <c r="A31" s="1051" t="s">
        <v>242</v>
      </c>
      <c r="B31" s="1057" t="s">
        <v>4861</v>
      </c>
      <c r="C31" s="851" t="s">
        <v>367</v>
      </c>
      <c r="D31" s="1062" t="s">
        <v>70</v>
      </c>
      <c r="E31" s="1037" t="s">
        <v>2673</v>
      </c>
      <c r="F31" s="1063"/>
      <c r="G31" s="1064"/>
      <c r="H31" s="1056">
        <f>'3-A. CI Sub-Annex'!I84</f>
        <v>0</v>
      </c>
      <c r="I31" s="1056">
        <f>'3-A. CI Sub-Annex'!J84</f>
        <v>0</v>
      </c>
      <c r="J31" s="1056">
        <f>'3-A. CI Sub-Annex'!K84</f>
        <v>0</v>
      </c>
      <c r="K31" s="1038"/>
      <c r="L31" s="1058"/>
      <c r="M31" s="765"/>
      <c r="N31" s="1058"/>
      <c r="O31" s="1056">
        <f>'3-A. CI Sub-Annex'!P84</f>
        <v>0</v>
      </c>
      <c r="P31" s="771"/>
      <c r="Q31" s="240"/>
      <c r="R31" s="767">
        <f>'3-A. CI Sub-Annex'!S84</f>
        <v>0</v>
      </c>
      <c r="S31" s="1013"/>
    </row>
    <row r="32" spans="1:19" x14ac:dyDescent="0.2">
      <c r="A32" s="1051" t="s">
        <v>244</v>
      </c>
      <c r="B32" s="1057"/>
      <c r="C32" s="851" t="s">
        <v>4523</v>
      </c>
      <c r="D32" s="1062" t="s">
        <v>70</v>
      </c>
      <c r="E32" s="1054" t="s">
        <v>2673</v>
      </c>
      <c r="F32" s="1063"/>
      <c r="G32" s="1064"/>
      <c r="H32" s="1056">
        <f>'3-A. CI Sub-Annex'!I85</f>
        <v>0</v>
      </c>
      <c r="I32" s="1056">
        <f>'3-A. CI Sub-Annex'!J85</f>
        <v>0</v>
      </c>
      <c r="J32" s="1056">
        <f>'3-A. CI Sub-Annex'!K85</f>
        <v>0</v>
      </c>
      <c r="K32" s="1038"/>
      <c r="L32" s="1058"/>
      <c r="M32" s="765"/>
      <c r="N32" s="1058"/>
      <c r="O32" s="1056">
        <f>'3-A. CI Sub-Annex'!P85</f>
        <v>0</v>
      </c>
      <c r="P32" s="771"/>
      <c r="Q32" s="254"/>
      <c r="R32" s="767">
        <f>'3-A. CI Sub-Annex'!S85</f>
        <v>0</v>
      </c>
      <c r="S32" s="1013"/>
    </row>
    <row r="33" spans="1:19" x14ac:dyDescent="0.2">
      <c r="A33" s="1014">
        <v>3.2</v>
      </c>
      <c r="B33" s="1015"/>
      <c r="C33" s="1016" t="s">
        <v>12</v>
      </c>
      <c r="D33" s="1017"/>
      <c r="E33" s="1017"/>
      <c r="F33" s="1018"/>
      <c r="G33" s="1018"/>
      <c r="H33" s="1020">
        <f>H34+H37+H45+H47+H48+H40</f>
        <v>0</v>
      </c>
      <c r="I33" s="1020">
        <f>I34+I37+I45+I47+I48+I40</f>
        <v>0</v>
      </c>
      <c r="J33" s="1020">
        <f>J34+J37+J45+J47+J48+J40</f>
        <v>0</v>
      </c>
      <c r="K33" s="1019"/>
      <c r="L33" s="1018"/>
      <c r="M33" s="1020"/>
      <c r="N33" s="1017"/>
      <c r="O33" s="1020">
        <f>O34+O37+O45+O47+O48+O40</f>
        <v>0</v>
      </c>
      <c r="P33" s="1014"/>
      <c r="Q33" s="3467"/>
      <c r="R33" s="1020">
        <f>R34+R37+R45+R47+R48+R40</f>
        <v>0</v>
      </c>
      <c r="S33" s="1013"/>
    </row>
    <row r="34" spans="1:19" ht="30.6" customHeight="1" x14ac:dyDescent="0.2">
      <c r="A34" s="1066" t="s">
        <v>249</v>
      </c>
      <c r="B34" s="1023"/>
      <c r="C34" s="1024" t="s">
        <v>4868</v>
      </c>
      <c r="D34" s="1067"/>
      <c r="E34" s="1067"/>
      <c r="F34" s="1068"/>
      <c r="G34" s="1068"/>
      <c r="H34" s="1030">
        <f>SUM(H35:H36)</f>
        <v>0</v>
      </c>
      <c r="I34" s="1030">
        <f>SUM(I35:I36)</f>
        <v>0</v>
      </c>
      <c r="J34" s="1030">
        <f>SUM(J35:J36)</f>
        <v>0</v>
      </c>
      <c r="K34" s="1069"/>
      <c r="L34" s="1068"/>
      <c r="M34" s="1030"/>
      <c r="N34" s="1067"/>
      <c r="O34" s="1030">
        <f>SUM(O35:O36)</f>
        <v>0</v>
      </c>
      <c r="P34" s="1066"/>
      <c r="Q34" s="3468"/>
      <c r="R34" s="1070">
        <f>SUM(R35:R36)</f>
        <v>0</v>
      </c>
      <c r="S34" s="1013"/>
    </row>
    <row r="35" spans="1:19" ht="30" x14ac:dyDescent="0.2">
      <c r="A35" s="1051" t="s">
        <v>4872</v>
      </c>
      <c r="B35" s="1034" t="s">
        <v>250</v>
      </c>
      <c r="C35" s="1043" t="s">
        <v>4867</v>
      </c>
      <c r="D35" s="1036" t="s">
        <v>90</v>
      </c>
      <c r="E35" s="1054" t="s">
        <v>91</v>
      </c>
      <c r="F35" s="1063"/>
      <c r="G35" s="1063"/>
      <c r="H35" s="1056">
        <f>'3-A. CI Sub-Annex'!I88</f>
        <v>0</v>
      </c>
      <c r="I35" s="1056">
        <f>'3-A. CI Sub-Annex'!J88</f>
        <v>0</v>
      </c>
      <c r="J35" s="1056">
        <f>'3-A. CI Sub-Annex'!K88</f>
        <v>0</v>
      </c>
      <c r="K35" s="1038"/>
      <c r="L35" s="1058"/>
      <c r="M35" s="765"/>
      <c r="N35" s="1058"/>
      <c r="O35" s="1056">
        <f>'3-A. CI Sub-Annex'!P88</f>
        <v>0</v>
      </c>
      <c r="P35" s="771"/>
      <c r="Q35" s="254"/>
      <c r="R35" s="767">
        <f>'3-A. CI Sub-Annex'!S88</f>
        <v>0</v>
      </c>
      <c r="S35" s="1013"/>
    </row>
    <row r="36" spans="1:19" ht="30" x14ac:dyDescent="0.2">
      <c r="A36" s="1051" t="s">
        <v>4873</v>
      </c>
      <c r="B36" s="1034" t="s">
        <v>252</v>
      </c>
      <c r="C36" s="1043" t="s">
        <v>4874</v>
      </c>
      <c r="D36" s="1036" t="s">
        <v>90</v>
      </c>
      <c r="E36" s="1054" t="s">
        <v>193</v>
      </c>
      <c r="F36" s="1063"/>
      <c r="G36" s="1064"/>
      <c r="H36" s="1056">
        <f>'3-A. CI Sub-Annex'!I90</f>
        <v>0</v>
      </c>
      <c r="I36" s="1056">
        <f>'3-A. CI Sub-Annex'!J90</f>
        <v>0</v>
      </c>
      <c r="J36" s="1056">
        <f>'3-A. CI Sub-Annex'!K90</f>
        <v>0</v>
      </c>
      <c r="K36" s="1038"/>
      <c r="L36" s="1058"/>
      <c r="M36" s="765"/>
      <c r="N36" s="1058"/>
      <c r="O36" s="1056">
        <f>'3-A. CI Sub-Annex'!P90</f>
        <v>0</v>
      </c>
      <c r="P36" s="771"/>
      <c r="Q36" s="255" t="s">
        <v>5916</v>
      </c>
      <c r="R36" s="767">
        <f>'3-A. CI Sub-Annex'!S90</f>
        <v>0</v>
      </c>
      <c r="S36" s="1013"/>
    </row>
    <row r="37" spans="1:19" ht="29.45" customHeight="1" x14ac:dyDescent="0.2">
      <c r="A37" s="1022" t="s">
        <v>251</v>
      </c>
      <c r="B37" s="1023"/>
      <c r="C37" s="1024" t="s">
        <v>5581</v>
      </c>
      <c r="D37" s="1025"/>
      <c r="E37" s="1025"/>
      <c r="F37" s="1026"/>
      <c r="G37" s="1026"/>
      <c r="H37" s="1030">
        <f>SUM(H38:H39)</f>
        <v>0</v>
      </c>
      <c r="I37" s="1030">
        <f>SUM(I38:I39)</f>
        <v>0</v>
      </c>
      <c r="J37" s="1030">
        <f>SUM(J38:J39)</f>
        <v>0</v>
      </c>
      <c r="K37" s="1027"/>
      <c r="L37" s="1026"/>
      <c r="M37" s="1028"/>
      <c r="N37" s="1029"/>
      <c r="O37" s="1030">
        <f>SUM(O38:O39)</f>
        <v>0</v>
      </c>
      <c r="P37" s="1031"/>
      <c r="Q37" s="3466"/>
      <c r="R37" s="1032">
        <f>SUM(R38:R39)</f>
        <v>0</v>
      </c>
      <c r="S37" s="1013"/>
    </row>
    <row r="38" spans="1:19" s="1072" customFormat="1" ht="30" x14ac:dyDescent="0.2">
      <c r="A38" s="1051" t="s">
        <v>4882</v>
      </c>
      <c r="B38" s="1051"/>
      <c r="C38" s="1043" t="s">
        <v>4878</v>
      </c>
      <c r="D38" s="1050" t="s">
        <v>4366</v>
      </c>
      <c r="E38" s="1037" t="s">
        <v>114</v>
      </c>
      <c r="F38" s="1044"/>
      <c r="G38" s="1045"/>
      <c r="H38" s="1041">
        <f>'3-A. CI Sub-Annex'!I93</f>
        <v>0</v>
      </c>
      <c r="I38" s="1041">
        <f>'3-A. CI Sub-Annex'!J93</f>
        <v>0</v>
      </c>
      <c r="J38" s="1041">
        <f>'3-A. CI Sub-Annex'!K93</f>
        <v>0</v>
      </c>
      <c r="K38" s="1038"/>
      <c r="L38" s="1044"/>
      <c r="M38" s="1039"/>
      <c r="N38" s="1037"/>
      <c r="O38" s="1041">
        <f>'3-A. CI Sub-Annex'!P93</f>
        <v>0</v>
      </c>
      <c r="P38" s="1042"/>
      <c r="Q38" s="255" t="s">
        <v>5916</v>
      </c>
      <c r="R38" s="773">
        <f>'3-A. CI Sub-Annex'!S93</f>
        <v>0</v>
      </c>
      <c r="S38" s="1071"/>
    </row>
    <row r="39" spans="1:19" s="1072" customFormat="1" ht="30" x14ac:dyDescent="0.2">
      <c r="A39" s="1051" t="s">
        <v>4883</v>
      </c>
      <c r="B39" s="1051"/>
      <c r="C39" s="1043" t="s">
        <v>4875</v>
      </c>
      <c r="D39" s="1050" t="s">
        <v>4366</v>
      </c>
      <c r="E39" s="1037" t="s">
        <v>3323</v>
      </c>
      <c r="F39" s="1044"/>
      <c r="G39" s="1045"/>
      <c r="H39" s="1041">
        <f>'3-A. CI Sub-Annex'!I112</f>
        <v>0</v>
      </c>
      <c r="I39" s="1041">
        <f>'3-A. CI Sub-Annex'!J112</f>
        <v>0</v>
      </c>
      <c r="J39" s="1041">
        <f>'3-A. CI Sub-Annex'!K112</f>
        <v>0</v>
      </c>
      <c r="K39" s="1038"/>
      <c r="L39" s="1058"/>
      <c r="M39" s="765"/>
      <c r="N39" s="1058"/>
      <c r="O39" s="1041">
        <f>'3-A. CI Sub-Annex'!P112</f>
        <v>0</v>
      </c>
      <c r="P39" s="1042"/>
      <c r="Q39" s="255" t="s">
        <v>5916</v>
      </c>
      <c r="R39" s="762">
        <f>'3-A. CI Sub-Annex'!S112</f>
        <v>0</v>
      </c>
      <c r="S39" s="1071"/>
    </row>
    <row r="40" spans="1:19" s="1072" customFormat="1" ht="30" x14ac:dyDescent="0.2">
      <c r="A40" s="1022" t="s">
        <v>254</v>
      </c>
      <c r="B40" s="1023"/>
      <c r="C40" s="1024" t="s">
        <v>5582</v>
      </c>
      <c r="D40" s="1025"/>
      <c r="E40" s="1025"/>
      <c r="F40" s="1026"/>
      <c r="G40" s="1026"/>
      <c r="H40" s="1030">
        <f>SUM(H41:H44)</f>
        <v>0</v>
      </c>
      <c r="I40" s="1030">
        <f>SUM(I41:I44)</f>
        <v>0</v>
      </c>
      <c r="J40" s="1030">
        <f>SUM(J41:J44)</f>
        <v>0</v>
      </c>
      <c r="K40" s="1027"/>
      <c r="L40" s="1026"/>
      <c r="M40" s="1028"/>
      <c r="N40" s="1029"/>
      <c r="O40" s="1030">
        <f>SUM(O41:O44)</f>
        <v>0</v>
      </c>
      <c r="P40" s="1031"/>
      <c r="Q40" s="3466"/>
      <c r="R40" s="1030">
        <f>SUM(R41:R44)</f>
        <v>0</v>
      </c>
      <c r="S40" s="1071"/>
    </row>
    <row r="41" spans="1:19" s="1072" customFormat="1" ht="30" x14ac:dyDescent="0.2">
      <c r="A41" s="1051" t="s">
        <v>4076</v>
      </c>
      <c r="B41" s="1051" t="s">
        <v>4385</v>
      </c>
      <c r="C41" s="1043" t="s">
        <v>4383</v>
      </c>
      <c r="D41" s="1050" t="s">
        <v>4366</v>
      </c>
      <c r="E41" s="1037" t="s">
        <v>4683</v>
      </c>
      <c r="F41" s="772">
        <f>'3-A. CI Sub-Annex'!G107</f>
        <v>0</v>
      </c>
      <c r="G41" s="772">
        <f>'3-A. CI Sub-Annex'!H107</f>
        <v>0</v>
      </c>
      <c r="H41" s="544">
        <f>'3-A. CI Sub-Annex'!I107</f>
        <v>0</v>
      </c>
      <c r="I41" s="544">
        <f>'3-A. CI Sub-Annex'!J107</f>
        <v>0</v>
      </c>
      <c r="J41" s="544">
        <f>'3-A. CI Sub-Annex'!K107</f>
        <v>0</v>
      </c>
      <c r="K41" s="1038">
        <f>'3-A. CI Sub-Annex'!L107</f>
        <v>0</v>
      </c>
      <c r="L41" s="1038">
        <f>'3-A. CI Sub-Annex'!M107</f>
        <v>0</v>
      </c>
      <c r="M41" s="544">
        <f>'3-A. CI Sub-Annex'!N107</f>
        <v>0</v>
      </c>
      <c r="N41" s="1038">
        <f>'3-A. CI Sub-Annex'!O107</f>
        <v>0</v>
      </c>
      <c r="O41" s="544">
        <f>'3-A. CI Sub-Annex'!P107</f>
        <v>0</v>
      </c>
      <c r="P41" s="480">
        <f>'3-A. CI Sub-Annex'!Q107</f>
        <v>0</v>
      </c>
      <c r="Q41" s="410">
        <f>'3-A. CI Sub-Annex'!R107</f>
        <v>0</v>
      </c>
      <c r="R41" s="544">
        <f>'3-A. CI Sub-Annex'!S107</f>
        <v>0</v>
      </c>
      <c r="S41" s="1071"/>
    </row>
    <row r="42" spans="1:19" s="1072" customFormat="1" ht="30" x14ac:dyDescent="0.2">
      <c r="A42" s="1051" t="s">
        <v>4077</v>
      </c>
      <c r="B42" s="1051" t="s">
        <v>4386</v>
      </c>
      <c r="C42" s="1043" t="s">
        <v>4384</v>
      </c>
      <c r="D42" s="1050" t="s">
        <v>4366</v>
      </c>
      <c r="E42" s="1037" t="s">
        <v>4683</v>
      </c>
      <c r="F42" s="772">
        <f>'3-A. CI Sub-Annex'!G108</f>
        <v>0</v>
      </c>
      <c r="G42" s="772">
        <f>'3-A. CI Sub-Annex'!H108</f>
        <v>0</v>
      </c>
      <c r="H42" s="544">
        <f>'3-A. CI Sub-Annex'!I108</f>
        <v>0</v>
      </c>
      <c r="I42" s="544">
        <f>'3-A. CI Sub-Annex'!J108</f>
        <v>0</v>
      </c>
      <c r="J42" s="544">
        <f>'3-A. CI Sub-Annex'!K108</f>
        <v>0</v>
      </c>
      <c r="K42" s="1038">
        <f>'3-A. CI Sub-Annex'!L108</f>
        <v>0</v>
      </c>
      <c r="L42" s="1038">
        <f>'3-A. CI Sub-Annex'!M108</f>
        <v>0</v>
      </c>
      <c r="M42" s="544">
        <f>'3-A. CI Sub-Annex'!N108</f>
        <v>0</v>
      </c>
      <c r="N42" s="1038">
        <f>'3-A. CI Sub-Annex'!O108</f>
        <v>0</v>
      </c>
      <c r="O42" s="544">
        <f>'3-A. CI Sub-Annex'!P108</f>
        <v>0</v>
      </c>
      <c r="P42" s="480">
        <f>'3-A. CI Sub-Annex'!Q108</f>
        <v>0</v>
      </c>
      <c r="Q42" s="410">
        <f>'3-A. CI Sub-Annex'!R108</f>
        <v>0</v>
      </c>
      <c r="R42" s="544">
        <f>'3-A. CI Sub-Annex'!S108</f>
        <v>0</v>
      </c>
      <c r="S42" s="1071"/>
    </row>
    <row r="43" spans="1:19" s="1072" customFormat="1" x14ac:dyDescent="0.2">
      <c r="A43" s="1051" t="s">
        <v>4556</v>
      </c>
      <c r="B43" s="1051"/>
      <c r="C43" s="1043" t="s">
        <v>4557</v>
      </c>
      <c r="D43" s="1050" t="s">
        <v>4366</v>
      </c>
      <c r="E43" s="1037" t="s">
        <v>4683</v>
      </c>
      <c r="F43" s="772">
        <f>'3-A. CI Sub-Annex'!G109</f>
        <v>0</v>
      </c>
      <c r="G43" s="772">
        <f>'3-A. CI Sub-Annex'!H109</f>
        <v>0</v>
      </c>
      <c r="H43" s="544">
        <f>'3-A. CI Sub-Annex'!I109</f>
        <v>0</v>
      </c>
      <c r="I43" s="544">
        <f>'3-A. CI Sub-Annex'!J109</f>
        <v>0</v>
      </c>
      <c r="J43" s="544">
        <f>'3-A. CI Sub-Annex'!K109</f>
        <v>0</v>
      </c>
      <c r="K43" s="1038">
        <f>'3-A. CI Sub-Annex'!L109</f>
        <v>0</v>
      </c>
      <c r="L43" s="1038">
        <f>'3-A. CI Sub-Annex'!M109</f>
        <v>0</v>
      </c>
      <c r="M43" s="544">
        <f>'3-A. CI Sub-Annex'!N109</f>
        <v>0</v>
      </c>
      <c r="N43" s="1038">
        <f>'3-A. CI Sub-Annex'!O109</f>
        <v>0</v>
      </c>
      <c r="O43" s="544">
        <f>'3-A. CI Sub-Annex'!P109</f>
        <v>0</v>
      </c>
      <c r="P43" s="480">
        <f>'3-A. CI Sub-Annex'!Q109</f>
        <v>0</v>
      </c>
      <c r="Q43" s="410">
        <f>'3-A. CI Sub-Annex'!R109</f>
        <v>0</v>
      </c>
      <c r="R43" s="544">
        <f>'3-A. CI Sub-Annex'!S109</f>
        <v>0</v>
      </c>
      <c r="S43" s="1071"/>
    </row>
    <row r="44" spans="1:19" s="1072" customFormat="1" x14ac:dyDescent="0.2">
      <c r="A44" s="1051" t="s">
        <v>5583</v>
      </c>
      <c r="B44" s="1051"/>
      <c r="C44" s="1043" t="s">
        <v>5584</v>
      </c>
      <c r="D44" s="1050" t="s">
        <v>4366</v>
      </c>
      <c r="E44" s="1037" t="s">
        <v>4683</v>
      </c>
      <c r="F44" s="1044"/>
      <c r="G44" s="1045"/>
      <c r="H44" s="1041">
        <f>'3-A. CI Sub-Annex'!I110+'3-A. CI Sub-Annex'!I111</f>
        <v>0</v>
      </c>
      <c r="I44" s="1041">
        <f>'3-A. CI Sub-Annex'!J110+'3-A. CI Sub-Annex'!J111</f>
        <v>0</v>
      </c>
      <c r="J44" s="1041">
        <f>'3-A. CI Sub-Annex'!K110+'3-A. CI Sub-Annex'!K111</f>
        <v>0</v>
      </c>
      <c r="K44" s="1038"/>
      <c r="L44" s="1058"/>
      <c r="M44" s="765"/>
      <c r="N44" s="1058"/>
      <c r="O44" s="1041">
        <f>'3-A. CI Sub-Annex'!P110+'3-A. CI Sub-Annex'!P111</f>
        <v>0</v>
      </c>
      <c r="P44" s="1042"/>
      <c r="Q44" s="255"/>
      <c r="R44" s="1041">
        <f>'3-A. CI Sub-Annex'!S110+'3-A. CI Sub-Annex'!S111</f>
        <v>0</v>
      </c>
      <c r="S44" s="1071"/>
    </row>
    <row r="45" spans="1:19" s="1072" customFormat="1" ht="30" x14ac:dyDescent="0.2">
      <c r="A45" s="1022" t="s">
        <v>2564</v>
      </c>
      <c r="B45" s="1023"/>
      <c r="C45" s="1024" t="s">
        <v>4879</v>
      </c>
      <c r="D45" s="1025"/>
      <c r="E45" s="1025"/>
      <c r="F45" s="1026"/>
      <c r="G45" s="1026"/>
      <c r="H45" s="1030">
        <f>H46</f>
        <v>0</v>
      </c>
      <c r="I45" s="1030">
        <f>I46</f>
        <v>0</v>
      </c>
      <c r="J45" s="1030">
        <f>J46</f>
        <v>0</v>
      </c>
      <c r="K45" s="1027"/>
      <c r="L45" s="1026"/>
      <c r="M45" s="1028"/>
      <c r="N45" s="1029"/>
      <c r="O45" s="1030">
        <f>O46</f>
        <v>0</v>
      </c>
      <c r="P45" s="1031"/>
      <c r="Q45" s="3466"/>
      <c r="R45" s="1032">
        <f>R46</f>
        <v>0</v>
      </c>
      <c r="S45" s="1071"/>
    </row>
    <row r="46" spans="1:19" s="1072" customFormat="1" ht="30" x14ac:dyDescent="0.2">
      <c r="A46" s="1051" t="s">
        <v>2565</v>
      </c>
      <c r="B46" s="1051" t="s">
        <v>2355</v>
      </c>
      <c r="C46" s="1043" t="s">
        <v>4881</v>
      </c>
      <c r="D46" s="1073" t="s">
        <v>85</v>
      </c>
      <c r="E46" s="1037" t="s">
        <v>150</v>
      </c>
      <c r="F46" s="1044"/>
      <c r="G46" s="1045"/>
      <c r="H46" s="1041">
        <f>'3-A. CI Sub-Annex'!I116</f>
        <v>0</v>
      </c>
      <c r="I46" s="1041">
        <f>'3-A. CI Sub-Annex'!J116</f>
        <v>0</v>
      </c>
      <c r="J46" s="1041">
        <f>'3-A. CI Sub-Annex'!K116</f>
        <v>0</v>
      </c>
      <c r="K46" s="1038"/>
      <c r="L46" s="1044"/>
      <c r="M46" s="1039"/>
      <c r="N46" s="1037"/>
      <c r="O46" s="1041">
        <f>'3-A. CI Sub-Annex'!P116</f>
        <v>0</v>
      </c>
      <c r="P46" s="1042"/>
      <c r="Q46" s="1141"/>
      <c r="R46" s="773">
        <f>'3-A. CI Sub-Annex'!S116</f>
        <v>0</v>
      </c>
      <c r="S46" s="1071"/>
    </row>
    <row r="47" spans="1:19" s="1072" customFormat="1" x14ac:dyDescent="0.2">
      <c r="A47" s="1033" t="s">
        <v>265</v>
      </c>
      <c r="B47" s="1034" t="s">
        <v>255</v>
      </c>
      <c r="C47" s="1035" t="s">
        <v>4876</v>
      </c>
      <c r="D47" s="1062" t="s">
        <v>70</v>
      </c>
      <c r="E47" s="1054" t="s">
        <v>70</v>
      </c>
      <c r="F47" s="772"/>
      <c r="G47" s="772"/>
      <c r="H47" s="1041">
        <f>'3-A. CI Sub-Annex'!I119</f>
        <v>0</v>
      </c>
      <c r="I47" s="1041">
        <f>'3-A. CI Sub-Annex'!J119</f>
        <v>0</v>
      </c>
      <c r="J47" s="1041">
        <f>'3-A. CI Sub-Annex'!K119</f>
        <v>0</v>
      </c>
      <c r="K47" s="1038"/>
      <c r="L47" s="772"/>
      <c r="M47" s="1039"/>
      <c r="N47" s="1040"/>
      <c r="O47" s="1041">
        <f>'3-A. CI Sub-Annex'!P119</f>
        <v>0</v>
      </c>
      <c r="P47" s="1042"/>
      <c r="Q47" s="255"/>
      <c r="R47" s="762">
        <f>'3-A. CI Sub-Annex'!S119</f>
        <v>0</v>
      </c>
      <c r="S47" s="1071"/>
    </row>
    <row r="48" spans="1:19" x14ac:dyDescent="0.2">
      <c r="A48" s="1074" t="s">
        <v>5585</v>
      </c>
      <c r="B48" s="1075"/>
      <c r="C48" s="1076" t="s">
        <v>3876</v>
      </c>
      <c r="D48" s="1062" t="s">
        <v>70</v>
      </c>
      <c r="E48" s="1077" t="s">
        <v>2673</v>
      </c>
      <c r="F48" s="769"/>
      <c r="G48" s="770"/>
      <c r="H48" s="1079">
        <f>F48*G48</f>
        <v>0</v>
      </c>
      <c r="I48" s="1079">
        <f>G48*H48</f>
        <v>0</v>
      </c>
      <c r="J48" s="1079">
        <f>H48*I48</f>
        <v>0</v>
      </c>
      <c r="K48" s="462"/>
      <c r="L48" s="462"/>
      <c r="M48" s="774">
        <f>L48/100000</f>
        <v>0</v>
      </c>
      <c r="N48" s="462"/>
      <c r="O48" s="1079">
        <f>M48*N48</f>
        <v>0</v>
      </c>
      <c r="P48" s="766"/>
      <c r="Q48" s="3469"/>
      <c r="R48" s="775"/>
      <c r="S48" s="1013"/>
    </row>
    <row r="49" spans="1:19" x14ac:dyDescent="0.2">
      <c r="A49" s="1014">
        <v>3.3</v>
      </c>
      <c r="B49" s="1015" t="s">
        <v>2728</v>
      </c>
      <c r="C49" s="1016" t="s">
        <v>13</v>
      </c>
      <c r="D49" s="1017"/>
      <c r="E49" s="1017"/>
      <c r="F49" s="750"/>
      <c r="G49" s="750"/>
      <c r="H49" s="1020">
        <f>H50+H51+H52+H56</f>
        <v>2.5</v>
      </c>
      <c r="I49" s="1020">
        <f>I50+I51+I52+I56</f>
        <v>0</v>
      </c>
      <c r="J49" s="1020">
        <f>J50+J51+J52+J56</f>
        <v>0</v>
      </c>
      <c r="K49" s="751"/>
      <c r="L49" s="750"/>
      <c r="M49" s="1020"/>
      <c r="N49" s="752"/>
      <c r="O49" s="1020">
        <f>O50+O51+O52+O56</f>
        <v>0</v>
      </c>
      <c r="P49" s="753"/>
      <c r="Q49" s="3467"/>
      <c r="R49" s="1080">
        <f>R50+R51+R52+R56</f>
        <v>0</v>
      </c>
      <c r="S49" s="1013"/>
    </row>
    <row r="50" spans="1:19" ht="28.5" customHeight="1" x14ac:dyDescent="0.2">
      <c r="A50" s="1042" t="s">
        <v>282</v>
      </c>
      <c r="B50" s="1057" t="s">
        <v>283</v>
      </c>
      <c r="C50" s="872" t="s">
        <v>284</v>
      </c>
      <c r="D50" s="1062" t="s">
        <v>70</v>
      </c>
      <c r="E50" s="1054" t="s">
        <v>70</v>
      </c>
      <c r="F50" s="763"/>
      <c r="G50" s="763"/>
      <c r="H50" s="1056">
        <f t="shared" ref="H50:J51" si="0">F50*G50</f>
        <v>0</v>
      </c>
      <c r="I50" s="1056">
        <f t="shared" si="0"/>
        <v>0</v>
      </c>
      <c r="J50" s="1056">
        <f t="shared" si="0"/>
        <v>0</v>
      </c>
      <c r="K50" s="462"/>
      <c r="L50" s="764"/>
      <c r="M50" s="765">
        <f>L50/100000</f>
        <v>0</v>
      </c>
      <c r="N50" s="764"/>
      <c r="O50" s="1056">
        <f>M50*N50</f>
        <v>0</v>
      </c>
      <c r="P50" s="766"/>
      <c r="Q50" s="3469"/>
      <c r="R50" s="776"/>
      <c r="S50" s="1013"/>
    </row>
    <row r="51" spans="1:19" ht="45" x14ac:dyDescent="0.2">
      <c r="A51" s="1042" t="s">
        <v>285</v>
      </c>
      <c r="B51" s="1057" t="s">
        <v>286</v>
      </c>
      <c r="C51" s="872" t="s">
        <v>287</v>
      </c>
      <c r="D51" s="1062" t="s">
        <v>70</v>
      </c>
      <c r="E51" s="1054" t="s">
        <v>70</v>
      </c>
      <c r="F51" s="763"/>
      <c r="G51" s="763"/>
      <c r="H51" s="1056">
        <f t="shared" si="0"/>
        <v>0</v>
      </c>
      <c r="I51" s="1056">
        <f t="shared" si="0"/>
        <v>0</v>
      </c>
      <c r="J51" s="1056">
        <f t="shared" si="0"/>
        <v>0</v>
      </c>
      <c r="K51" s="2572"/>
      <c r="L51" s="2572"/>
      <c r="M51" s="765">
        <f>L51/100000</f>
        <v>0</v>
      </c>
      <c r="N51" s="764"/>
      <c r="O51" s="1056">
        <f>M51*N51</f>
        <v>0</v>
      </c>
      <c r="P51" s="2574"/>
      <c r="Q51" s="3469"/>
      <c r="R51" s="776"/>
      <c r="S51" s="1013"/>
    </row>
    <row r="52" spans="1:19" x14ac:dyDescent="0.2">
      <c r="A52" s="1022" t="s">
        <v>288</v>
      </c>
      <c r="B52" s="1023"/>
      <c r="C52" s="1024" t="s">
        <v>289</v>
      </c>
      <c r="D52" s="1025"/>
      <c r="E52" s="1025"/>
      <c r="F52" s="754"/>
      <c r="G52" s="754"/>
      <c r="H52" s="1081">
        <f>SUM(H53:H55)</f>
        <v>2.5</v>
      </c>
      <c r="I52" s="1081">
        <f>SUM(I53:I55)</f>
        <v>0</v>
      </c>
      <c r="J52" s="1081">
        <f>SUM(J53:J55)</f>
        <v>0</v>
      </c>
      <c r="K52" s="755"/>
      <c r="L52" s="754"/>
      <c r="M52" s="1028"/>
      <c r="N52" s="756"/>
      <c r="O52" s="1081">
        <f>SUM(O53:O55)</f>
        <v>0</v>
      </c>
      <c r="P52" s="757"/>
      <c r="Q52" s="3466"/>
      <c r="R52" s="768">
        <f>SUM(R53:R55)</f>
        <v>0</v>
      </c>
      <c r="S52" s="1013"/>
    </row>
    <row r="53" spans="1:19" x14ac:dyDescent="0.2">
      <c r="A53" s="1042" t="s">
        <v>290</v>
      </c>
      <c r="B53" s="771" t="s">
        <v>291</v>
      </c>
      <c r="C53" s="240" t="s">
        <v>292</v>
      </c>
      <c r="D53" s="1050" t="s">
        <v>4366</v>
      </c>
      <c r="E53" s="1054" t="s">
        <v>293</v>
      </c>
      <c r="F53" s="763">
        <v>32</v>
      </c>
      <c r="G53" s="763"/>
      <c r="H53" s="1056">
        <v>1</v>
      </c>
      <c r="I53" s="1056">
        <f t="shared" ref="I53:J56" si="1">G53*H53</f>
        <v>0</v>
      </c>
      <c r="J53" s="1056">
        <f t="shared" si="1"/>
        <v>0</v>
      </c>
      <c r="K53" s="2834"/>
      <c r="L53" s="764"/>
      <c r="M53" s="765"/>
      <c r="N53" s="764"/>
      <c r="O53" s="1056">
        <f>M53*N53</f>
        <v>0</v>
      </c>
      <c r="P53" s="2835"/>
      <c r="Q53" s="254">
        <f>'Abs8. IDSP'!Q7</f>
        <v>0</v>
      </c>
      <c r="R53" s="1082">
        <f>'Abs8. IDSP'!R7</f>
        <v>0</v>
      </c>
      <c r="S53" s="1013"/>
    </row>
    <row r="54" spans="1:19" ht="60" x14ac:dyDescent="0.2">
      <c r="A54" s="1042" t="s">
        <v>294</v>
      </c>
      <c r="B54" s="1057" t="s">
        <v>295</v>
      </c>
      <c r="C54" s="851" t="s">
        <v>296</v>
      </c>
      <c r="D54" s="889" t="s">
        <v>85</v>
      </c>
      <c r="E54" s="1054" t="s">
        <v>152</v>
      </c>
      <c r="F54" s="2572">
        <v>10</v>
      </c>
      <c r="G54" s="2537"/>
      <c r="H54" s="1056">
        <v>1.5</v>
      </c>
      <c r="I54" s="1056">
        <f t="shared" si="1"/>
        <v>0</v>
      </c>
      <c r="J54" s="1056">
        <f t="shared" si="1"/>
        <v>0</v>
      </c>
      <c r="K54" s="2572"/>
      <c r="L54" s="2572"/>
      <c r="M54" s="765"/>
      <c r="N54" s="764"/>
      <c r="O54" s="1056">
        <f>M54*N54</f>
        <v>0</v>
      </c>
      <c r="P54" s="2574"/>
      <c r="Q54" s="254">
        <f>'Abs18. NTCP'!Q10</f>
        <v>0</v>
      </c>
      <c r="R54" s="1082">
        <f>'Abs18. NTCP'!R10</f>
        <v>0</v>
      </c>
      <c r="S54" s="1013"/>
    </row>
    <row r="55" spans="1:19" s="1072" customFormat="1" ht="45" x14ac:dyDescent="0.2">
      <c r="A55" s="1042" t="s">
        <v>4133</v>
      </c>
      <c r="B55" s="1034"/>
      <c r="C55" s="1043" t="s">
        <v>4131</v>
      </c>
      <c r="D55" s="889" t="s">
        <v>85</v>
      </c>
      <c r="E55" s="1037" t="s">
        <v>4132</v>
      </c>
      <c r="F55" s="758"/>
      <c r="G55" s="758"/>
      <c r="H55" s="1039">
        <f>F55*G55</f>
        <v>0</v>
      </c>
      <c r="I55" s="1039">
        <f t="shared" si="1"/>
        <v>0</v>
      </c>
      <c r="J55" s="1039">
        <f t="shared" si="1"/>
        <v>0</v>
      </c>
      <c r="K55" s="3023"/>
      <c r="L55" s="764"/>
      <c r="M55" s="765"/>
      <c r="N55" s="764"/>
      <c r="O55" s="1039">
        <f>M55*N55</f>
        <v>0</v>
      </c>
      <c r="P55" s="3024"/>
      <c r="Q55" s="255">
        <f>'Abs21. NPCCHH'!Q7</f>
        <v>0</v>
      </c>
      <c r="R55" s="760">
        <f>'Abs21. NPCCHH'!R7</f>
        <v>0</v>
      </c>
      <c r="S55" s="1071"/>
    </row>
    <row r="56" spans="1:19" s="1085" customFormat="1" x14ac:dyDescent="0.2">
      <c r="A56" s="1042" t="s">
        <v>2569</v>
      </c>
      <c r="B56" s="1083"/>
      <c r="C56" s="851" t="s">
        <v>1310</v>
      </c>
      <c r="D56" s="1062" t="s">
        <v>70</v>
      </c>
      <c r="E56" s="1077" t="s">
        <v>70</v>
      </c>
      <c r="F56" s="777"/>
      <c r="G56" s="777"/>
      <c r="H56" s="1079">
        <f>F56*G56</f>
        <v>0</v>
      </c>
      <c r="I56" s="1079">
        <f t="shared" si="1"/>
        <v>0</v>
      </c>
      <c r="J56" s="1079">
        <f t="shared" si="1"/>
        <v>0</v>
      </c>
      <c r="K56" s="778"/>
      <c r="L56" s="764"/>
      <c r="M56" s="765">
        <f>L56/100000</f>
        <v>0</v>
      </c>
      <c r="N56" s="764"/>
      <c r="O56" s="1079">
        <f>M56*N56</f>
        <v>0</v>
      </c>
      <c r="P56" s="766"/>
      <c r="Q56" s="3470"/>
      <c r="R56" s="776"/>
      <c r="S56" s="1013"/>
    </row>
    <row r="57" spans="1:19" x14ac:dyDescent="0.2">
      <c r="B57" s="989"/>
    </row>
    <row r="59" spans="1:19" x14ac:dyDescent="0.2">
      <c r="N59" s="956" t="s">
        <v>5740</v>
      </c>
      <c r="R59" s="1089"/>
    </row>
    <row r="60" spans="1:19" x14ac:dyDescent="0.2">
      <c r="N60" s="956" t="s">
        <v>5741</v>
      </c>
      <c r="R60" s="1089"/>
    </row>
  </sheetData>
  <autoFilter ref="A7:XFD56"/>
  <mergeCells count="15">
    <mergeCell ref="Q5:R5"/>
    <mergeCell ref="O1:AH1"/>
    <mergeCell ref="AI1:AO1"/>
    <mergeCell ref="AP1:BA1"/>
    <mergeCell ref="F5:J5"/>
    <mergeCell ref="A1:C1"/>
    <mergeCell ref="E1:E2"/>
    <mergeCell ref="F1:N1"/>
    <mergeCell ref="A2:A4"/>
    <mergeCell ref="A5:A6"/>
    <mergeCell ref="B5:B6"/>
    <mergeCell ref="C5:C6"/>
    <mergeCell ref="D5:D6"/>
    <mergeCell ref="E5:E6"/>
    <mergeCell ref="K5:P5"/>
  </mergeCells>
  <phoneticPr fontId="5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BB142"/>
  <sheetViews>
    <sheetView zoomScale="70" zoomScaleNormal="70" workbookViewId="0">
      <pane xSplit="4" ySplit="4" topLeftCell="L5" activePane="bottomRight" state="frozen"/>
      <selection activeCell="A2" sqref="A2:A4"/>
      <selection pane="topRight" activeCell="A2" sqref="A2:A4"/>
      <selection pane="bottomLeft" activeCell="A2" sqref="A2:A4"/>
      <selection pane="bottomRight" activeCell="Q110" sqref="Q110:Q114"/>
    </sheetView>
  </sheetViews>
  <sheetFormatPr defaultColWidth="64.5703125" defaultRowHeight="15" x14ac:dyDescent="0.2"/>
  <cols>
    <col min="1" max="1" width="9" style="1178" customWidth="1"/>
    <col min="2" max="2" width="16.140625" style="1178" bestFit="1" customWidth="1"/>
    <col min="3" max="3" width="11.140625" style="1128" customWidth="1"/>
    <col min="4" max="4" width="55.28515625" style="1087" customWidth="1"/>
    <col min="5" max="5" width="8.140625" style="1105" customWidth="1"/>
    <col min="6" max="6" width="25.140625" style="1105" customWidth="1"/>
    <col min="7" max="7" width="15.85546875" style="1087" customWidth="1"/>
    <col min="8" max="8" width="22.85546875" style="1087" customWidth="1"/>
    <col min="9" max="9" width="15.85546875" style="1087" customWidth="1"/>
    <col min="10" max="10" width="15.140625" style="1087" customWidth="1"/>
    <col min="11" max="11" width="15" style="1087" customWidth="1"/>
    <col min="12" max="12" width="21.85546875" style="1087" customWidth="1"/>
    <col min="13" max="13" width="12.42578125" style="1087" customWidth="1"/>
    <col min="14" max="14" width="18.28515625" style="957" customWidth="1"/>
    <col min="15" max="15" width="13.7109375" style="1105" customWidth="1"/>
    <col min="16" max="16" width="16.85546875" style="957" bestFit="1" customWidth="1"/>
    <col min="17" max="17" width="51.7109375" style="1178" customWidth="1"/>
    <col min="18" max="18" width="47.85546875" style="1179" customWidth="1"/>
    <col min="19" max="19" width="15" style="1180" bestFit="1" customWidth="1"/>
    <col min="20" max="20" width="8.7109375" style="1087" bestFit="1" customWidth="1"/>
    <col min="21" max="22" width="6.28515625" style="1087" bestFit="1" customWidth="1"/>
    <col min="23" max="23" width="6.7109375" style="1087" bestFit="1" customWidth="1"/>
    <col min="24" max="24" width="5.85546875" style="1087" bestFit="1" customWidth="1"/>
    <col min="25" max="25" width="8.140625" style="1087" bestFit="1" customWidth="1"/>
    <col min="26" max="26" width="9.42578125" style="1087" bestFit="1" customWidth="1"/>
    <col min="27" max="27" width="11" style="1087" bestFit="1" customWidth="1"/>
    <col min="28" max="28" width="6.28515625" style="1087" bestFit="1" customWidth="1"/>
    <col min="29" max="29" width="11.85546875" style="1087" bestFit="1" customWidth="1"/>
    <col min="30" max="30" width="6.7109375" style="1087" bestFit="1" customWidth="1"/>
    <col min="31" max="31" width="6" style="1087" bestFit="1" customWidth="1"/>
    <col min="32" max="32" width="18.140625" style="1087" bestFit="1" customWidth="1"/>
    <col min="33" max="33" width="6" style="1087" bestFit="1" customWidth="1"/>
    <col min="34" max="34" width="11" style="1087" bestFit="1" customWidth="1"/>
    <col min="35" max="35" width="10.42578125" style="1087" bestFit="1" customWidth="1"/>
    <col min="36" max="36" width="9.85546875" style="1087" bestFit="1" customWidth="1"/>
    <col min="37" max="37" width="9.140625" style="1087" bestFit="1" customWidth="1"/>
    <col min="38" max="38" width="10.85546875" style="1087" bestFit="1" customWidth="1"/>
    <col min="39" max="39" width="11" style="1087" bestFit="1" customWidth="1"/>
    <col min="40" max="40" width="12.140625" style="1087" bestFit="1" customWidth="1"/>
    <col min="41" max="41" width="7.85546875" style="1087" bestFit="1" customWidth="1"/>
    <col min="42" max="42" width="12.5703125" style="1087" bestFit="1" customWidth="1"/>
    <col min="43" max="43" width="8.5703125" style="1087" bestFit="1" customWidth="1"/>
    <col min="44" max="44" width="8.7109375" style="1087" bestFit="1" customWidth="1"/>
    <col min="45" max="45" width="10.85546875" style="1087" bestFit="1" customWidth="1"/>
    <col min="46" max="46" width="9.140625" style="1087" bestFit="1" customWidth="1"/>
    <col min="47" max="47" width="8.7109375" style="1087" bestFit="1" customWidth="1"/>
    <col min="48" max="48" width="9.140625" style="1087" bestFit="1" customWidth="1"/>
    <col min="49" max="49" width="9.5703125" style="1087" bestFit="1" customWidth="1"/>
    <col min="50" max="50" width="10.85546875" style="1087" bestFit="1" customWidth="1"/>
    <col min="51" max="51" width="9" style="1087" bestFit="1" customWidth="1"/>
    <col min="52" max="52" width="12.5703125" style="1087" bestFit="1" customWidth="1"/>
    <col min="53" max="53" width="11.42578125" style="1087" bestFit="1" customWidth="1"/>
    <col min="54" max="54" width="12.85546875" style="1087" bestFit="1" customWidth="1"/>
    <col min="55" max="16384" width="64.5703125" style="1087"/>
  </cols>
  <sheetData>
    <row r="1" spans="1:54" x14ac:dyDescent="0.2">
      <c r="A1" s="3879" t="s">
        <v>5020</v>
      </c>
      <c r="B1" s="3879"/>
      <c r="C1" s="3879"/>
      <c r="D1" s="3879"/>
      <c r="E1" s="1092"/>
      <c r="F1" s="1093"/>
      <c r="G1" s="1094"/>
      <c r="H1" s="1094"/>
      <c r="I1" s="1094"/>
      <c r="J1" s="1094"/>
      <c r="K1" s="1094"/>
      <c r="L1" s="1094"/>
      <c r="M1" s="1094"/>
      <c r="N1" s="1094"/>
      <c r="O1" s="1094"/>
      <c r="P1" s="1094"/>
      <c r="Q1" s="1094"/>
      <c r="R1" s="1094"/>
      <c r="S1" s="1094"/>
      <c r="T1" s="1094"/>
      <c r="U1" s="1094"/>
      <c r="V1" s="1094"/>
      <c r="W1" s="1094"/>
      <c r="X1" s="1094"/>
      <c r="Y1" s="1094"/>
      <c r="Z1" s="1094"/>
      <c r="AA1" s="1094"/>
      <c r="AB1" s="1094"/>
      <c r="AC1" s="1094"/>
      <c r="AD1" s="1094"/>
      <c r="AE1" s="1094"/>
      <c r="AF1" s="1094"/>
      <c r="AG1" s="1094"/>
      <c r="AH1" s="1094"/>
      <c r="AI1" s="1094"/>
      <c r="AJ1" s="1094"/>
      <c r="AK1" s="1094"/>
      <c r="AL1" s="1094"/>
      <c r="AM1" s="1094"/>
      <c r="AN1" s="1094"/>
      <c r="AO1" s="1095"/>
      <c r="AP1" s="1095"/>
      <c r="AQ1" s="1095"/>
      <c r="AR1" s="1095"/>
      <c r="AS1" s="1095"/>
      <c r="AT1" s="1095"/>
      <c r="AU1" s="1095"/>
      <c r="AV1" s="1096"/>
      <c r="AW1" s="1096"/>
      <c r="AX1" s="1096"/>
      <c r="AY1" s="1096"/>
      <c r="AZ1" s="1096"/>
      <c r="BA1" s="1096"/>
      <c r="BB1" s="1096"/>
    </row>
    <row r="2" spans="1:54" s="828" customFormat="1" ht="30" x14ac:dyDescent="0.25">
      <c r="A2" s="1097" t="str">
        <f>HYPERLINK("#Index!A4", "Index Pg")</f>
        <v>Index Pg</v>
      </c>
      <c r="B2" s="1098" t="str">
        <f>HYPERLINK("#'Budget Summary I'!A1:AL1", "Budget Summary I")</f>
        <v>Budget Summary I</v>
      </c>
      <c r="C2" s="1098" t="str">
        <f>HYPERLINK("#'Budget Summary II'!A3:B5", "Budget Summary II")</f>
        <v>Budget Summary II</v>
      </c>
      <c r="D2" s="1099" t="str">
        <f>HYPERLINK("#'Summary of Abstracts'!A2", "Summary of Abst.")</f>
        <v>Summary of Abst.</v>
      </c>
      <c r="E2" s="1100"/>
      <c r="F2" s="1093"/>
      <c r="G2" s="1101"/>
      <c r="H2" s="1101"/>
      <c r="I2" s="1101"/>
      <c r="J2" s="1101"/>
      <c r="K2" s="1101"/>
      <c r="L2" s="1101"/>
      <c r="M2" s="1102"/>
      <c r="N2" s="1102"/>
      <c r="O2" s="1102"/>
      <c r="P2" s="1103"/>
      <c r="Q2" s="1103"/>
      <c r="R2" s="1103"/>
      <c r="S2" s="1103"/>
      <c r="T2" s="1103"/>
      <c r="U2" s="1103"/>
      <c r="V2" s="1103"/>
      <c r="W2" s="1103"/>
      <c r="X2" s="1103"/>
      <c r="Y2" s="1103"/>
      <c r="Z2" s="1103"/>
      <c r="AA2" s="1103"/>
      <c r="AB2" s="1103"/>
      <c r="AC2" s="1103"/>
      <c r="AD2" s="1103"/>
      <c r="AE2" s="1103"/>
      <c r="AF2" s="1103"/>
      <c r="AG2" s="1103"/>
      <c r="AH2" s="1103"/>
      <c r="AI2" s="1103"/>
      <c r="AJ2" s="1103"/>
      <c r="AK2" s="1100"/>
      <c r="AL2" s="1100"/>
      <c r="AM2" s="1100"/>
      <c r="AN2" s="1100"/>
      <c r="AO2" s="1100"/>
      <c r="AP2" s="1100"/>
      <c r="AQ2" s="1100"/>
      <c r="AR2" s="1100"/>
      <c r="AS2" s="1100"/>
      <c r="AT2" s="1100"/>
      <c r="AU2" s="1100"/>
      <c r="AV2" s="1104"/>
      <c r="AW2" s="1104"/>
      <c r="AX2" s="1104"/>
      <c r="AY2" s="1104"/>
      <c r="AZ2" s="1104"/>
      <c r="BA2" s="1104"/>
      <c r="BB2" s="1104"/>
    </row>
    <row r="3" spans="1:54" s="1105" customFormat="1" x14ac:dyDescent="0.2">
      <c r="A3" s="3823" t="s">
        <v>4828</v>
      </c>
      <c r="B3" s="3823" t="s">
        <v>54</v>
      </c>
      <c r="C3" s="3823"/>
      <c r="D3" s="3823" t="s">
        <v>55</v>
      </c>
      <c r="E3" s="3823" t="s">
        <v>56</v>
      </c>
      <c r="F3" s="3823" t="s">
        <v>57</v>
      </c>
      <c r="G3" s="3876" t="s">
        <v>4629</v>
      </c>
      <c r="H3" s="3876"/>
      <c r="I3" s="3876"/>
      <c r="J3" s="3876"/>
      <c r="K3" s="3876"/>
      <c r="L3" s="3876" t="s">
        <v>4640</v>
      </c>
      <c r="M3" s="3876"/>
      <c r="N3" s="3876"/>
      <c r="O3" s="3876"/>
      <c r="P3" s="3876"/>
      <c r="Q3" s="3877"/>
      <c r="R3" s="3878" t="s">
        <v>4670</v>
      </c>
      <c r="S3" s="3878"/>
    </row>
    <row r="4" spans="1:54" s="1105" customFormat="1" ht="60" x14ac:dyDescent="0.2">
      <c r="A4" s="3823"/>
      <c r="B4" s="3823"/>
      <c r="C4" s="3823"/>
      <c r="D4" s="3823"/>
      <c r="E4" s="3823"/>
      <c r="F4" s="3823"/>
      <c r="G4" s="896" t="s">
        <v>4630</v>
      </c>
      <c r="H4" s="896" t="s">
        <v>4638</v>
      </c>
      <c r="I4" s="896" t="s">
        <v>4631</v>
      </c>
      <c r="J4" s="896" t="s">
        <v>4639</v>
      </c>
      <c r="K4" s="896" t="s">
        <v>2538</v>
      </c>
      <c r="L4" s="897" t="s">
        <v>58</v>
      </c>
      <c r="M4" s="897" t="s">
        <v>59</v>
      </c>
      <c r="N4" s="898" t="s">
        <v>60</v>
      </c>
      <c r="O4" s="897" t="s">
        <v>61</v>
      </c>
      <c r="P4" s="898" t="s">
        <v>62</v>
      </c>
      <c r="Q4" s="962" t="s">
        <v>5547</v>
      </c>
      <c r="R4" s="963" t="s">
        <v>2540</v>
      </c>
      <c r="S4" s="963" t="s">
        <v>4671</v>
      </c>
      <c r="T4" s="1105" t="s">
        <v>4724</v>
      </c>
    </row>
    <row r="5" spans="1:54" s="1105" customFormat="1" x14ac:dyDescent="0.2">
      <c r="A5" s="99"/>
      <c r="B5" s="99">
        <v>3.1</v>
      </c>
      <c r="C5" s="1016"/>
      <c r="D5" s="1016" t="s">
        <v>11</v>
      </c>
      <c r="E5" s="907"/>
      <c r="F5" s="1016"/>
      <c r="G5" s="1016"/>
      <c r="H5" s="1016"/>
      <c r="I5" s="1016"/>
      <c r="J5" s="1016"/>
      <c r="K5" s="1106"/>
      <c r="L5" s="1016"/>
      <c r="M5" s="1107"/>
      <c r="N5" s="969"/>
      <c r="O5" s="1107"/>
      <c r="P5" s="1108"/>
      <c r="Q5" s="694"/>
      <c r="R5" s="971"/>
      <c r="S5" s="963"/>
      <c r="T5" s="1105">
        <f>SUM(T6:T123)</f>
        <v>0</v>
      </c>
    </row>
    <row r="6" spans="1:54" s="1116" customFormat="1" x14ac:dyDescent="0.2">
      <c r="A6" s="3881" t="s">
        <v>4826</v>
      </c>
      <c r="B6" s="3881"/>
      <c r="C6" s="3881"/>
      <c r="D6" s="3881"/>
      <c r="E6" s="977" t="s">
        <v>90</v>
      </c>
      <c r="F6" s="1109"/>
      <c r="G6" s="1109"/>
      <c r="H6" s="1109"/>
      <c r="I6" s="1113">
        <f>I7+I12+I20+I23+I33+I36+I37</f>
        <v>0</v>
      </c>
      <c r="J6" s="1113">
        <f t="shared" ref="J6" si="0">J7+J12+J20+J23+J33+J36+J37</f>
        <v>0</v>
      </c>
      <c r="K6" s="1113">
        <f>K7+K12+K20+K23+K33+K36+K37</f>
        <v>0</v>
      </c>
      <c r="L6" s="1109"/>
      <c r="M6" s="1111"/>
      <c r="N6" s="918"/>
      <c r="O6" s="1112"/>
      <c r="P6" s="1113">
        <f>P7+P12+P20+P23+P33+P36+P37</f>
        <v>0</v>
      </c>
      <c r="Q6" s="695"/>
      <c r="R6" s="1114"/>
      <c r="S6" s="1115">
        <f>S7+S12+S20+S23+S33+S36+S37</f>
        <v>0</v>
      </c>
    </row>
    <row r="7" spans="1:54" s="1128" customFormat="1" x14ac:dyDescent="0.2">
      <c r="A7" s="1117" t="s">
        <v>4358</v>
      </c>
      <c r="B7" s="1117" t="s">
        <v>164</v>
      </c>
      <c r="C7" s="1118"/>
      <c r="D7" s="1119" t="s">
        <v>4827</v>
      </c>
      <c r="E7" s="977" t="s">
        <v>90</v>
      </c>
      <c r="F7" s="1120"/>
      <c r="G7" s="1121"/>
      <c r="H7" s="1121"/>
      <c r="I7" s="333">
        <f>SUM(I8:I11)</f>
        <v>0</v>
      </c>
      <c r="J7" s="333">
        <f t="shared" ref="J7" si="1">SUM(J8:J11)</f>
        <v>0</v>
      </c>
      <c r="K7" s="333">
        <f>SUM(K8:K11)</f>
        <v>0</v>
      </c>
      <c r="L7" s="1121"/>
      <c r="M7" s="1121"/>
      <c r="N7" s="1122"/>
      <c r="O7" s="1123"/>
      <c r="P7" s="333">
        <f>SUM(P8:P11)</f>
        <v>0</v>
      </c>
      <c r="Q7" s="1124"/>
      <c r="R7" s="1125"/>
      <c r="S7" s="1126">
        <f>SUM(S8:S11)</f>
        <v>0</v>
      </c>
      <c r="T7" s="1127"/>
    </row>
    <row r="8" spans="1:54" x14ac:dyDescent="0.2">
      <c r="A8" s="1129">
        <v>1</v>
      </c>
      <c r="B8" s="976" t="s">
        <v>2740</v>
      </c>
      <c r="C8" s="1043" t="s">
        <v>165</v>
      </c>
      <c r="D8" s="851" t="s">
        <v>166</v>
      </c>
      <c r="E8" s="977" t="s">
        <v>90</v>
      </c>
      <c r="F8" s="923" t="s">
        <v>118</v>
      </c>
      <c r="G8" s="2238"/>
      <c r="H8" s="2238"/>
      <c r="I8" s="2275"/>
      <c r="J8" s="2276"/>
      <c r="K8" s="2239"/>
      <c r="L8" s="2245"/>
      <c r="M8" s="2245"/>
      <c r="N8" s="327"/>
      <c r="O8" s="304"/>
      <c r="P8" s="227">
        <f>N8*O8</f>
        <v>0</v>
      </c>
      <c r="Q8" s="2277"/>
      <c r="R8" s="975">
        <f>'Ab3. ASHA'!Q8</f>
        <v>0</v>
      </c>
      <c r="S8" s="1131">
        <f>'Ab3. ASHA'!R8</f>
        <v>0</v>
      </c>
      <c r="T8" s="1132"/>
    </row>
    <row r="9" spans="1:54" ht="30" x14ac:dyDescent="0.2">
      <c r="A9" s="1129">
        <v>2</v>
      </c>
      <c r="B9" s="976" t="s">
        <v>2747</v>
      </c>
      <c r="C9" s="1043" t="s">
        <v>196</v>
      </c>
      <c r="D9" s="851" t="s">
        <v>197</v>
      </c>
      <c r="E9" s="977" t="s">
        <v>90</v>
      </c>
      <c r="F9" s="923" t="s">
        <v>5548</v>
      </c>
      <c r="G9" s="2238"/>
      <c r="H9" s="2278"/>
      <c r="I9" s="2238"/>
      <c r="J9" s="2238"/>
      <c r="K9" s="2238"/>
      <c r="L9" s="2238"/>
      <c r="M9" s="2238"/>
      <c r="N9" s="327"/>
      <c r="O9" s="304"/>
      <c r="P9" s="227">
        <f>N9*O9</f>
        <v>0</v>
      </c>
      <c r="Q9" s="2263"/>
      <c r="R9" s="975">
        <f>'Ab3. ASHA'!Q9</f>
        <v>0</v>
      </c>
      <c r="S9" s="1131">
        <f>'Ab3. ASHA'!R9</f>
        <v>0</v>
      </c>
      <c r="T9" s="1132"/>
    </row>
    <row r="10" spans="1:54" ht="30" x14ac:dyDescent="0.2">
      <c r="A10" s="1129">
        <v>3</v>
      </c>
      <c r="B10" s="976" t="s">
        <v>2748</v>
      </c>
      <c r="C10" s="1043" t="s">
        <v>198</v>
      </c>
      <c r="D10" s="851" t="s">
        <v>199</v>
      </c>
      <c r="E10" s="977" t="s">
        <v>90</v>
      </c>
      <c r="F10" s="923" t="s">
        <v>5548</v>
      </c>
      <c r="G10" s="2400"/>
      <c r="H10" s="2236"/>
      <c r="I10" s="2275"/>
      <c r="J10" s="2275"/>
      <c r="K10" s="2238"/>
      <c r="L10" s="2238"/>
      <c r="M10" s="2238"/>
      <c r="N10" s="327"/>
      <c r="O10" s="304"/>
      <c r="P10" s="227">
        <f>N10*O10</f>
        <v>0</v>
      </c>
      <c r="Q10" s="2263"/>
      <c r="R10" s="975">
        <f>'Ab3. ASHA'!Q10</f>
        <v>0</v>
      </c>
      <c r="S10" s="1131">
        <f>'Ab3. ASHA'!R10</f>
        <v>0</v>
      </c>
      <c r="T10" s="1132"/>
    </row>
    <row r="11" spans="1:54" x14ac:dyDescent="0.2">
      <c r="A11" s="1129">
        <v>4</v>
      </c>
      <c r="B11" s="976" t="s">
        <v>2749</v>
      </c>
      <c r="C11" s="1043" t="s">
        <v>200</v>
      </c>
      <c r="D11" s="851" t="s">
        <v>201</v>
      </c>
      <c r="E11" s="977" t="s">
        <v>90</v>
      </c>
      <c r="F11" s="923" t="s">
        <v>5548</v>
      </c>
      <c r="G11" s="237"/>
      <c r="H11" s="239"/>
      <c r="I11" s="238"/>
      <c r="J11" s="238"/>
      <c r="K11" s="237"/>
      <c r="L11" s="237"/>
      <c r="M11" s="304"/>
      <c r="N11" s="327"/>
      <c r="O11" s="304"/>
      <c r="P11" s="227">
        <f>N11*O11</f>
        <v>0</v>
      </c>
      <c r="Q11" s="189"/>
      <c r="R11" s="975">
        <f>'Ab3. ASHA'!Q11</f>
        <v>0</v>
      </c>
      <c r="S11" s="1131">
        <f>'Ab3. ASHA'!R11</f>
        <v>0</v>
      </c>
      <c r="T11" s="1132"/>
    </row>
    <row r="12" spans="1:54" s="1128" customFormat="1" x14ac:dyDescent="0.2">
      <c r="A12" s="1117" t="s">
        <v>4359</v>
      </c>
      <c r="B12" s="1117" t="s">
        <v>164</v>
      </c>
      <c r="C12" s="1118"/>
      <c r="D12" s="1119" t="s">
        <v>4830</v>
      </c>
      <c r="E12" s="977" t="s">
        <v>90</v>
      </c>
      <c r="F12" s="1120"/>
      <c r="G12" s="331"/>
      <c r="H12" s="331"/>
      <c r="I12" s="333"/>
      <c r="J12" s="333"/>
      <c r="K12" s="333"/>
      <c r="L12" s="331"/>
      <c r="M12" s="331"/>
      <c r="N12" s="1122"/>
      <c r="O12" s="332"/>
      <c r="P12" s="333">
        <f>SUM(P13:P19)</f>
        <v>0</v>
      </c>
      <c r="Q12" s="696"/>
      <c r="R12" s="1125"/>
      <c r="S12" s="1126">
        <f>SUM(S13:S19)</f>
        <v>0</v>
      </c>
      <c r="T12" s="1127"/>
    </row>
    <row r="13" spans="1:54" ht="30" x14ac:dyDescent="0.2">
      <c r="A13" s="1129">
        <v>1</v>
      </c>
      <c r="B13" s="976" t="s">
        <v>2741</v>
      </c>
      <c r="C13" s="1043" t="s">
        <v>178</v>
      </c>
      <c r="D13" s="851" t="s">
        <v>179</v>
      </c>
      <c r="E13" s="977" t="s">
        <v>90</v>
      </c>
      <c r="F13" s="923" t="s">
        <v>2671</v>
      </c>
      <c r="G13" s="2238"/>
      <c r="H13" s="2238"/>
      <c r="I13" s="2275"/>
      <c r="J13" s="2401"/>
      <c r="K13" s="2238"/>
      <c r="L13" s="2245"/>
      <c r="M13" s="2238"/>
      <c r="N13" s="327"/>
      <c r="O13" s="2238"/>
      <c r="P13" s="227">
        <f t="shared" ref="P13:P19" si="2">N13*O13</f>
        <v>0</v>
      </c>
      <c r="Q13" s="2277"/>
      <c r="R13" s="975">
        <f>'Ab3. ASHA'!Q13</f>
        <v>0</v>
      </c>
      <c r="S13" s="1131">
        <f>'Ab3. ASHA'!R13</f>
        <v>0</v>
      </c>
      <c r="T13" s="1132"/>
    </row>
    <row r="14" spans="1:54" x14ac:dyDescent="0.2">
      <c r="A14" s="1129">
        <v>2</v>
      </c>
      <c r="B14" s="976" t="s">
        <v>2742</v>
      </c>
      <c r="C14" s="1043" t="s">
        <v>174</v>
      </c>
      <c r="D14" s="851" t="s">
        <v>4087</v>
      </c>
      <c r="E14" s="977" t="s">
        <v>90</v>
      </c>
      <c r="F14" s="923" t="s">
        <v>2671</v>
      </c>
      <c r="G14" s="2238"/>
      <c r="H14" s="2238"/>
      <c r="I14" s="2275"/>
      <c r="J14" s="2401"/>
      <c r="K14" s="2238"/>
      <c r="L14" s="2245"/>
      <c r="M14" s="2238"/>
      <c r="N14" s="327"/>
      <c r="O14" s="2238"/>
      <c r="P14" s="227">
        <f t="shared" si="2"/>
        <v>0</v>
      </c>
      <c r="Q14" s="2277"/>
      <c r="R14" s="975">
        <f>'Ab3. ASHA'!Q14</f>
        <v>0</v>
      </c>
      <c r="S14" s="1131">
        <f>'Ab3. ASHA'!R14</f>
        <v>0</v>
      </c>
      <c r="T14" s="1132"/>
    </row>
    <row r="15" spans="1:54" ht="29.1" customHeight="1" x14ac:dyDescent="0.2">
      <c r="A15" s="1129">
        <v>3</v>
      </c>
      <c r="B15" s="976" t="s">
        <v>2743</v>
      </c>
      <c r="C15" s="1043" t="s">
        <v>176</v>
      </c>
      <c r="D15" s="851" t="s">
        <v>2528</v>
      </c>
      <c r="E15" s="977" t="s">
        <v>90</v>
      </c>
      <c r="F15" s="923" t="s">
        <v>2671</v>
      </c>
      <c r="G15" s="2238"/>
      <c r="H15" s="2283"/>
      <c r="I15" s="2275"/>
      <c r="J15" s="2401"/>
      <c r="K15" s="2238"/>
      <c r="L15" s="2245"/>
      <c r="M15" s="2238"/>
      <c r="N15" s="327"/>
      <c r="O15" s="2238"/>
      <c r="P15" s="227">
        <f t="shared" si="2"/>
        <v>0</v>
      </c>
      <c r="Q15" s="2405"/>
      <c r="R15" s="975">
        <f>'Ab3. ASHA'!Q15</f>
        <v>0</v>
      </c>
      <c r="S15" s="1131">
        <f>'Ab3. ASHA'!R15</f>
        <v>0</v>
      </c>
      <c r="T15" s="1132"/>
    </row>
    <row r="16" spans="1:54" ht="30" x14ac:dyDescent="0.2">
      <c r="A16" s="1129">
        <v>4</v>
      </c>
      <c r="B16" s="976" t="s">
        <v>2744</v>
      </c>
      <c r="C16" s="1043" t="s">
        <v>177</v>
      </c>
      <c r="D16" s="851" t="s">
        <v>2529</v>
      </c>
      <c r="E16" s="977" t="s">
        <v>90</v>
      </c>
      <c r="F16" s="923" t="s">
        <v>2671</v>
      </c>
      <c r="G16" s="2238"/>
      <c r="H16" s="2283"/>
      <c r="I16" s="2275"/>
      <c r="J16" s="2275"/>
      <c r="K16" s="2238"/>
      <c r="L16" s="2238"/>
      <c r="M16" s="2238"/>
      <c r="N16" s="327"/>
      <c r="O16" s="2238"/>
      <c r="P16" s="227">
        <f t="shared" si="2"/>
        <v>0</v>
      </c>
      <c r="Q16" s="2286"/>
      <c r="R16" s="975">
        <f>'Ab3. ASHA'!Q16</f>
        <v>0</v>
      </c>
      <c r="S16" s="1131">
        <f>'Ab3. ASHA'!R16</f>
        <v>0</v>
      </c>
      <c r="T16" s="1132"/>
    </row>
    <row r="17" spans="1:20" ht="30" x14ac:dyDescent="0.2">
      <c r="A17" s="1129">
        <v>5</v>
      </c>
      <c r="B17" s="976" t="s">
        <v>2745</v>
      </c>
      <c r="C17" s="1043" t="s">
        <v>180</v>
      </c>
      <c r="D17" s="851" t="s">
        <v>181</v>
      </c>
      <c r="E17" s="977" t="s">
        <v>90</v>
      </c>
      <c r="F17" s="923" t="s">
        <v>2671</v>
      </c>
      <c r="G17" s="2238"/>
      <c r="H17" s="2238"/>
      <c r="I17" s="2275"/>
      <c r="J17" s="2401"/>
      <c r="K17" s="2238"/>
      <c r="L17" s="2402"/>
      <c r="M17" s="2403"/>
      <c r="N17" s="327"/>
      <c r="O17" s="2238"/>
      <c r="P17" s="227">
        <f t="shared" si="2"/>
        <v>0</v>
      </c>
      <c r="Q17" s="2277"/>
      <c r="R17" s="975">
        <f>'Ab3. ASHA'!Q17</f>
        <v>0</v>
      </c>
      <c r="S17" s="1131">
        <f>'Ab3. ASHA'!R17</f>
        <v>0</v>
      </c>
      <c r="T17" s="1132"/>
    </row>
    <row r="18" spans="1:20" ht="30" x14ac:dyDescent="0.2">
      <c r="A18" s="1129">
        <v>6</v>
      </c>
      <c r="B18" s="976" t="s">
        <v>2746</v>
      </c>
      <c r="C18" s="1043" t="s">
        <v>182</v>
      </c>
      <c r="D18" s="851" t="s">
        <v>183</v>
      </c>
      <c r="E18" s="977" t="s">
        <v>90</v>
      </c>
      <c r="F18" s="923" t="s">
        <v>2671</v>
      </c>
      <c r="G18" s="2238"/>
      <c r="H18" s="2278"/>
      <c r="I18" s="2238"/>
      <c r="J18" s="2404"/>
      <c r="K18" s="2238"/>
      <c r="L18" s="2402"/>
      <c r="M18" s="2238"/>
      <c r="N18" s="327"/>
      <c r="O18" s="2238"/>
      <c r="P18" s="227">
        <f t="shared" si="2"/>
        <v>0</v>
      </c>
      <c r="Q18" s="2277"/>
      <c r="R18" s="975">
        <f>'Ab3. ASHA'!Q18</f>
        <v>0</v>
      </c>
      <c r="S18" s="1131">
        <f>'Ab3. ASHA'!R18</f>
        <v>0</v>
      </c>
      <c r="T18" s="1132"/>
    </row>
    <row r="19" spans="1:20" ht="64.5" customHeight="1" x14ac:dyDescent="0.2">
      <c r="A19" s="1129">
        <v>7</v>
      </c>
      <c r="B19" s="976" t="s">
        <v>2751</v>
      </c>
      <c r="C19" s="1043"/>
      <c r="D19" s="1133" t="s">
        <v>3324</v>
      </c>
      <c r="E19" s="977" t="s">
        <v>90</v>
      </c>
      <c r="F19" s="923" t="s">
        <v>2671</v>
      </c>
      <c r="G19" s="2238"/>
      <c r="H19" s="2236"/>
      <c r="I19" s="2275"/>
      <c r="J19" s="2275"/>
      <c r="K19" s="2238"/>
      <c r="L19" s="2238"/>
      <c r="M19" s="2238"/>
      <c r="N19" s="327"/>
      <c r="O19" s="304"/>
      <c r="P19" s="227">
        <f t="shared" si="2"/>
        <v>0</v>
      </c>
      <c r="Q19" s="3273"/>
      <c r="R19" s="975">
        <f>'Ab3. ASHA'!Q19</f>
        <v>0</v>
      </c>
      <c r="S19" s="1131">
        <f>'Ab3. ASHA'!R19</f>
        <v>0</v>
      </c>
      <c r="T19" s="1132"/>
    </row>
    <row r="20" spans="1:20" s="1128" customFormat="1" x14ac:dyDescent="0.2">
      <c r="A20" s="1117" t="s">
        <v>4362</v>
      </c>
      <c r="B20" s="1117" t="s">
        <v>164</v>
      </c>
      <c r="C20" s="1118"/>
      <c r="D20" s="1119" t="s">
        <v>4832</v>
      </c>
      <c r="E20" s="977" t="s">
        <v>90</v>
      </c>
      <c r="F20" s="1120"/>
      <c r="G20" s="331"/>
      <c r="H20" s="331"/>
      <c r="I20" s="333"/>
      <c r="J20" s="333"/>
      <c r="K20" s="333"/>
      <c r="L20" s="331"/>
      <c r="M20" s="331"/>
      <c r="N20" s="1122"/>
      <c r="O20" s="332"/>
      <c r="P20" s="333">
        <f>P21+P22</f>
        <v>0</v>
      </c>
      <c r="Q20" s="696"/>
      <c r="R20" s="1125"/>
      <c r="S20" s="1126">
        <f>S21+S22</f>
        <v>0</v>
      </c>
      <c r="T20" s="1127"/>
    </row>
    <row r="21" spans="1:20" x14ac:dyDescent="0.2">
      <c r="A21" s="1129">
        <v>1</v>
      </c>
      <c r="B21" s="976" t="s">
        <v>2750</v>
      </c>
      <c r="C21" s="1043" t="s">
        <v>204</v>
      </c>
      <c r="D21" s="851" t="s">
        <v>4088</v>
      </c>
      <c r="E21" s="977" t="s">
        <v>90</v>
      </c>
      <c r="F21" s="923" t="s">
        <v>2674</v>
      </c>
      <c r="G21" s="2238"/>
      <c r="H21" s="2236"/>
      <c r="I21" s="2275"/>
      <c r="J21" s="2276"/>
      <c r="K21" s="2238"/>
      <c r="L21" s="2238"/>
      <c r="M21" s="2238"/>
      <c r="N21" s="327"/>
      <c r="O21" s="304"/>
      <c r="P21" s="227">
        <f>N21*O21</f>
        <v>0</v>
      </c>
      <c r="Q21" s="2277"/>
      <c r="R21" s="975">
        <f>'Ab3. ASHA'!Q21</f>
        <v>0</v>
      </c>
      <c r="S21" s="1131">
        <f>'Ab3. ASHA'!R21</f>
        <v>0</v>
      </c>
      <c r="T21" s="1132"/>
    </row>
    <row r="22" spans="1:20" s="1135" customFormat="1" x14ac:dyDescent="0.25">
      <c r="A22" s="1129">
        <v>2</v>
      </c>
      <c r="B22" s="441" t="s">
        <v>246</v>
      </c>
      <c r="C22" s="851" t="s">
        <v>247</v>
      </c>
      <c r="D22" s="851" t="s">
        <v>248</v>
      </c>
      <c r="E22" s="977" t="s">
        <v>90</v>
      </c>
      <c r="F22" s="923" t="s">
        <v>2674</v>
      </c>
      <c r="G22" s="2238"/>
      <c r="H22" s="2236"/>
      <c r="I22" s="2275"/>
      <c r="J22" s="2276"/>
      <c r="K22" s="2238"/>
      <c r="L22" s="2238"/>
      <c r="M22" s="2238"/>
      <c r="N22" s="327"/>
      <c r="O22" s="304"/>
      <c r="P22" s="227">
        <f>N22*O22</f>
        <v>0</v>
      </c>
      <c r="Q22" s="2277"/>
      <c r="R22" s="975">
        <f>'Ab3. ASHA'!Q22</f>
        <v>0</v>
      </c>
      <c r="S22" s="1131">
        <f>'Ab3. ASHA'!R22</f>
        <v>0</v>
      </c>
      <c r="T22" s="1134"/>
    </row>
    <row r="23" spans="1:20" s="1128" customFormat="1" x14ac:dyDescent="0.2">
      <c r="A23" s="1117" t="s">
        <v>4363</v>
      </c>
      <c r="B23" s="1117" t="s">
        <v>167</v>
      </c>
      <c r="C23" s="1118"/>
      <c r="D23" s="1119" t="s">
        <v>2737</v>
      </c>
      <c r="E23" s="977" t="s">
        <v>90</v>
      </c>
      <c r="F23" s="1120"/>
      <c r="G23" s="331"/>
      <c r="H23" s="331"/>
      <c r="I23" s="333"/>
      <c r="J23" s="333"/>
      <c r="K23" s="333"/>
      <c r="L23" s="331"/>
      <c r="M23" s="331"/>
      <c r="N23" s="1122"/>
      <c r="O23" s="332"/>
      <c r="P23" s="333">
        <f>SUM(P24:P32)</f>
        <v>0</v>
      </c>
      <c r="Q23" s="696"/>
      <c r="R23" s="1125"/>
      <c r="S23" s="1126">
        <f>SUM(S24:S32)</f>
        <v>0</v>
      </c>
      <c r="T23" s="1127"/>
    </row>
    <row r="24" spans="1:20" x14ac:dyDescent="0.2">
      <c r="A24" s="1129">
        <v>1</v>
      </c>
      <c r="B24" s="976" t="s">
        <v>2752</v>
      </c>
      <c r="C24" s="851" t="s">
        <v>168</v>
      </c>
      <c r="D24" s="851" t="s">
        <v>169</v>
      </c>
      <c r="E24" s="977" t="s">
        <v>90</v>
      </c>
      <c r="F24" s="923" t="s">
        <v>2670</v>
      </c>
      <c r="G24" s="241"/>
      <c r="H24" s="237"/>
      <c r="I24" s="239"/>
      <c r="J24" s="238"/>
      <c r="K24" s="238"/>
      <c r="L24" s="241"/>
      <c r="M24" s="304"/>
      <c r="N24" s="327"/>
      <c r="O24" s="304"/>
      <c r="P24" s="227">
        <f t="shared" ref="P24:P31" si="3">N24*O24</f>
        <v>0</v>
      </c>
      <c r="Q24" s="189"/>
      <c r="R24" s="975">
        <f>'Ab3. ASHA'!Q24</f>
        <v>0</v>
      </c>
      <c r="S24" s="1131">
        <f>'Ab3. ASHA'!R24</f>
        <v>0</v>
      </c>
      <c r="T24" s="1132"/>
    </row>
    <row r="25" spans="1:20" x14ac:dyDescent="0.2">
      <c r="A25" s="1129">
        <v>2</v>
      </c>
      <c r="B25" s="976" t="s">
        <v>2753</v>
      </c>
      <c r="C25" s="851" t="s">
        <v>171</v>
      </c>
      <c r="D25" s="851" t="s">
        <v>172</v>
      </c>
      <c r="E25" s="977" t="s">
        <v>90</v>
      </c>
      <c r="F25" s="923" t="s">
        <v>2670</v>
      </c>
      <c r="G25" s="241"/>
      <c r="H25" s="241"/>
      <c r="I25" s="241"/>
      <c r="J25" s="241"/>
      <c r="K25" s="241"/>
      <c r="L25" s="241"/>
      <c r="M25" s="304"/>
      <c r="N25" s="327"/>
      <c r="O25" s="304"/>
      <c r="P25" s="227">
        <f t="shared" si="3"/>
        <v>0</v>
      </c>
      <c r="Q25" s="189"/>
      <c r="R25" s="975">
        <f>'Ab3. ASHA'!Q25</f>
        <v>0</v>
      </c>
      <c r="S25" s="1131">
        <f>'Ab3. ASHA'!R25</f>
        <v>0</v>
      </c>
      <c r="T25" s="1132"/>
    </row>
    <row r="26" spans="1:20" ht="30" x14ac:dyDescent="0.2">
      <c r="A26" s="1129">
        <v>3</v>
      </c>
      <c r="B26" s="976" t="s">
        <v>2754</v>
      </c>
      <c r="C26" s="851"/>
      <c r="D26" s="851" t="s">
        <v>2488</v>
      </c>
      <c r="E26" s="977" t="s">
        <v>90</v>
      </c>
      <c r="F26" s="923" t="s">
        <v>2670</v>
      </c>
      <c r="G26" s="2238"/>
      <c r="H26" s="2278"/>
      <c r="I26" s="2238"/>
      <c r="J26" s="2238"/>
      <c r="K26" s="2238"/>
      <c r="L26" s="2238"/>
      <c r="M26" s="2238"/>
      <c r="N26" s="327"/>
      <c r="O26" s="304"/>
      <c r="P26" s="227">
        <f t="shared" si="3"/>
        <v>0</v>
      </c>
      <c r="Q26" s="189"/>
      <c r="R26" s="975">
        <f>'Ab3. ASHA'!Q26</f>
        <v>0</v>
      </c>
      <c r="S26" s="1131">
        <f>'Ab3. ASHA'!R26</f>
        <v>0</v>
      </c>
      <c r="T26" s="1132"/>
    </row>
    <row r="27" spans="1:20" ht="30" x14ac:dyDescent="0.2">
      <c r="A27" s="1129">
        <v>4</v>
      </c>
      <c r="B27" s="976" t="s">
        <v>2755</v>
      </c>
      <c r="C27" s="851" t="s">
        <v>184</v>
      </c>
      <c r="D27" s="851" t="s">
        <v>185</v>
      </c>
      <c r="E27" s="977" t="s">
        <v>90</v>
      </c>
      <c r="F27" s="923" t="s">
        <v>2670</v>
      </c>
      <c r="G27" s="2238"/>
      <c r="H27" s="2283"/>
      <c r="I27" s="2275"/>
      <c r="J27" s="2276"/>
      <c r="K27" s="2238"/>
      <c r="L27" s="2238"/>
      <c r="M27" s="2238"/>
      <c r="N27" s="327"/>
      <c r="O27" s="304"/>
      <c r="P27" s="227">
        <f t="shared" si="3"/>
        <v>0</v>
      </c>
      <c r="Q27" s="2277"/>
      <c r="R27" s="975">
        <f>'Ab3. ASHA'!Q27</f>
        <v>0</v>
      </c>
      <c r="S27" s="1131">
        <f>'Ab3. ASHA'!R27</f>
        <v>0</v>
      </c>
      <c r="T27" s="1132"/>
    </row>
    <row r="28" spans="1:20" ht="30" x14ac:dyDescent="0.2">
      <c r="A28" s="1129">
        <v>5</v>
      </c>
      <c r="B28" s="441" t="s">
        <v>2756</v>
      </c>
      <c r="C28" s="851" t="s">
        <v>186</v>
      </c>
      <c r="D28" s="851" t="s">
        <v>187</v>
      </c>
      <c r="E28" s="977" t="s">
        <v>90</v>
      </c>
      <c r="F28" s="923" t="s">
        <v>2670</v>
      </c>
      <c r="G28" s="2238"/>
      <c r="H28" s="2283"/>
      <c r="I28" s="2284"/>
      <c r="J28" s="2284"/>
      <c r="K28" s="2285"/>
      <c r="L28" s="2285"/>
      <c r="M28" s="2285"/>
      <c r="N28" s="327"/>
      <c r="O28" s="304"/>
      <c r="P28" s="227">
        <f t="shared" si="3"/>
        <v>0</v>
      </c>
      <c r="Q28" s="189"/>
      <c r="R28" s="975">
        <f>'Ab3. ASHA'!Q28</f>
        <v>0</v>
      </c>
      <c r="S28" s="1131">
        <f>'Ab3. ASHA'!R28</f>
        <v>0</v>
      </c>
      <c r="T28" s="1132"/>
    </row>
    <row r="29" spans="1:20" ht="30" x14ac:dyDescent="0.2">
      <c r="A29" s="1129">
        <v>6</v>
      </c>
      <c r="B29" s="441" t="s">
        <v>2757</v>
      </c>
      <c r="C29" s="851" t="s">
        <v>188</v>
      </c>
      <c r="D29" s="851" t="s">
        <v>189</v>
      </c>
      <c r="E29" s="977" t="s">
        <v>90</v>
      </c>
      <c r="F29" s="923" t="s">
        <v>2670</v>
      </c>
      <c r="G29" s="2238"/>
      <c r="H29" s="2283"/>
      <c r="I29" s="2284"/>
      <c r="J29" s="2284"/>
      <c r="K29" s="2285"/>
      <c r="L29" s="2285"/>
      <c r="M29" s="2285"/>
      <c r="N29" s="327"/>
      <c r="O29" s="304"/>
      <c r="P29" s="227">
        <f t="shared" si="3"/>
        <v>0</v>
      </c>
      <c r="Q29" s="189"/>
      <c r="R29" s="975">
        <f>'Ab3. ASHA'!Q29</f>
        <v>0</v>
      </c>
      <c r="S29" s="1131">
        <f>'Ab3. ASHA'!R29</f>
        <v>0</v>
      </c>
      <c r="T29" s="1132"/>
    </row>
    <row r="30" spans="1:20" ht="30" x14ac:dyDescent="0.2">
      <c r="A30" s="1129">
        <v>7</v>
      </c>
      <c r="B30" s="441" t="s">
        <v>2758</v>
      </c>
      <c r="C30" s="851" t="s">
        <v>190</v>
      </c>
      <c r="D30" s="851" t="s">
        <v>4089</v>
      </c>
      <c r="E30" s="977" t="s">
        <v>90</v>
      </c>
      <c r="F30" s="923" t="s">
        <v>2670</v>
      </c>
      <c r="G30" s="2238"/>
      <c r="H30" s="2283"/>
      <c r="I30" s="2284"/>
      <c r="J30" s="2284"/>
      <c r="K30" s="2285"/>
      <c r="L30" s="2285"/>
      <c r="M30" s="2285"/>
      <c r="N30" s="327"/>
      <c r="O30" s="304"/>
      <c r="P30" s="227">
        <f t="shared" si="3"/>
        <v>0</v>
      </c>
      <c r="Q30" s="189"/>
      <c r="R30" s="975">
        <f>'Ab3. ASHA'!Q30</f>
        <v>0</v>
      </c>
      <c r="S30" s="1131">
        <f>'Ab3. ASHA'!R30</f>
        <v>0</v>
      </c>
      <c r="T30" s="1132"/>
    </row>
    <row r="31" spans="1:20" ht="60" x14ac:dyDescent="0.2">
      <c r="A31" s="1129">
        <v>8</v>
      </c>
      <c r="B31" s="976" t="s">
        <v>3307</v>
      </c>
      <c r="C31" s="441" t="s">
        <v>3327</v>
      </c>
      <c r="D31" s="851" t="s">
        <v>3325</v>
      </c>
      <c r="E31" s="977" t="s">
        <v>90</v>
      </c>
      <c r="F31" s="1136" t="s">
        <v>3889</v>
      </c>
      <c r="G31" s="2238"/>
      <c r="H31" s="2278"/>
      <c r="I31" s="2238"/>
      <c r="J31" s="2238"/>
      <c r="K31" s="2238"/>
      <c r="L31" s="2238"/>
      <c r="M31" s="2238"/>
      <c r="N31" s="327"/>
      <c r="O31" s="304"/>
      <c r="P31" s="227">
        <f t="shared" si="3"/>
        <v>0</v>
      </c>
      <c r="Q31" s="189"/>
      <c r="R31" s="975">
        <f>'Ab3. ASHA'!Q31</f>
        <v>0</v>
      </c>
      <c r="S31" s="1131">
        <f>'Ab3. ASHA'!R31</f>
        <v>0</v>
      </c>
      <c r="T31" s="1132"/>
    </row>
    <row r="32" spans="1:20" x14ac:dyDescent="0.2">
      <c r="A32" s="1129">
        <v>9</v>
      </c>
      <c r="B32" s="976"/>
      <c r="C32" s="441"/>
      <c r="D32" s="851" t="s">
        <v>2463</v>
      </c>
      <c r="E32" s="977" t="s">
        <v>90</v>
      </c>
      <c r="F32" s="1136" t="s">
        <v>3889</v>
      </c>
      <c r="G32" s="241"/>
      <c r="H32" s="241"/>
      <c r="I32" s="241"/>
      <c r="J32" s="241"/>
      <c r="K32" s="241"/>
      <c r="L32" s="241"/>
      <c r="M32" s="304"/>
      <c r="N32" s="327"/>
      <c r="O32" s="304"/>
      <c r="P32" s="227">
        <f>N32*O32</f>
        <v>0</v>
      </c>
      <c r="Q32" s="189"/>
      <c r="R32" s="975">
        <f>'Ab3. ASHA'!Q32</f>
        <v>0</v>
      </c>
      <c r="S32" s="1131">
        <f>'Ab3. ASHA'!R32</f>
        <v>0</v>
      </c>
      <c r="T32" s="1132"/>
    </row>
    <row r="33" spans="1:20" s="1128" customFormat="1" x14ac:dyDescent="0.2">
      <c r="A33" s="1117" t="s">
        <v>4364</v>
      </c>
      <c r="B33" s="1117" t="s">
        <v>170</v>
      </c>
      <c r="C33" s="1118"/>
      <c r="D33" s="1119" t="s">
        <v>2738</v>
      </c>
      <c r="E33" s="977" t="s">
        <v>90</v>
      </c>
      <c r="F33" s="1120"/>
      <c r="G33" s="331"/>
      <c r="H33" s="331"/>
      <c r="I33" s="333"/>
      <c r="J33" s="333"/>
      <c r="K33" s="333"/>
      <c r="L33" s="331"/>
      <c r="M33" s="331"/>
      <c r="N33" s="1122"/>
      <c r="O33" s="332"/>
      <c r="P33" s="333">
        <f>SUM(P34:P35)</f>
        <v>0</v>
      </c>
      <c r="Q33" s="696"/>
      <c r="R33" s="1125"/>
      <c r="S33" s="1126">
        <f>SUM(S34:S35)</f>
        <v>0</v>
      </c>
      <c r="T33" s="1127"/>
    </row>
    <row r="34" spans="1:20" x14ac:dyDescent="0.2">
      <c r="A34" s="1129">
        <v>1</v>
      </c>
      <c r="B34" s="976" t="s">
        <v>2759</v>
      </c>
      <c r="C34" s="851" t="s">
        <v>191</v>
      </c>
      <c r="D34" s="851" t="s">
        <v>192</v>
      </c>
      <c r="E34" s="886" t="s">
        <v>70</v>
      </c>
      <c r="F34" s="923" t="s">
        <v>2672</v>
      </c>
      <c r="G34" s="2238"/>
      <c r="H34" s="2278"/>
      <c r="I34" s="2238"/>
      <c r="J34" s="2238"/>
      <c r="K34" s="2238"/>
      <c r="L34" s="2238"/>
      <c r="M34" s="2238"/>
      <c r="N34" s="327"/>
      <c r="O34" s="304"/>
      <c r="P34" s="227">
        <f>N34*O34</f>
        <v>0</v>
      </c>
      <c r="Q34" s="189"/>
      <c r="R34" s="975">
        <f>'Ab3. ASHA'!Q34</f>
        <v>0</v>
      </c>
      <c r="S34" s="1131">
        <f>'Ab3. ASHA'!R34</f>
        <v>0</v>
      </c>
      <c r="T34" s="1132"/>
    </row>
    <row r="35" spans="1:20" ht="30" x14ac:dyDescent="0.2">
      <c r="A35" s="1129">
        <v>2</v>
      </c>
      <c r="B35" s="976" t="s">
        <v>2760</v>
      </c>
      <c r="C35" s="851" t="s">
        <v>194</v>
      </c>
      <c r="D35" s="851" t="s">
        <v>195</v>
      </c>
      <c r="E35" s="886" t="s">
        <v>70</v>
      </c>
      <c r="F35" s="923" t="s">
        <v>2672</v>
      </c>
      <c r="G35" s="2238"/>
      <c r="H35" s="2236"/>
      <c r="I35" s="2275"/>
      <c r="J35" s="2275"/>
      <c r="K35" s="2235"/>
      <c r="L35" s="2238"/>
      <c r="M35" s="2238"/>
      <c r="N35" s="327"/>
      <c r="O35" s="304"/>
      <c r="P35" s="227">
        <f>N35*O35</f>
        <v>0</v>
      </c>
      <c r="Q35" s="2263"/>
      <c r="R35" s="975">
        <f>'Ab3. ASHA'!Q35</f>
        <v>0</v>
      </c>
      <c r="S35" s="1131">
        <f>'Ab3. ASHA'!R35</f>
        <v>0</v>
      </c>
      <c r="T35" s="1132"/>
    </row>
    <row r="36" spans="1:20" x14ac:dyDescent="0.2">
      <c r="A36" s="879" t="s">
        <v>4673</v>
      </c>
      <c r="B36" s="976" t="s">
        <v>3807</v>
      </c>
      <c r="C36" s="851"/>
      <c r="D36" s="240" t="s">
        <v>2463</v>
      </c>
      <c r="E36" s="886" t="s">
        <v>70</v>
      </c>
      <c r="F36" s="923" t="s">
        <v>2673</v>
      </c>
      <c r="G36" s="241"/>
      <c r="H36" s="241"/>
      <c r="I36" s="241"/>
      <c r="J36" s="241"/>
      <c r="K36" s="241"/>
      <c r="L36" s="241"/>
      <c r="M36" s="304"/>
      <c r="N36" s="327"/>
      <c r="O36" s="304"/>
      <c r="P36" s="227">
        <f>N36*O36</f>
        <v>0</v>
      </c>
      <c r="Q36" s="189"/>
      <c r="R36" s="975">
        <f>'Ab3. ASHA'!Q36</f>
        <v>0</v>
      </c>
      <c r="S36" s="1131">
        <f>'Ab3. ASHA'!R36</f>
        <v>0</v>
      </c>
      <c r="T36" s="1132"/>
    </row>
    <row r="37" spans="1:20" x14ac:dyDescent="0.2">
      <c r="A37" s="1137" t="s">
        <v>4674</v>
      </c>
      <c r="B37" s="976" t="s">
        <v>2769</v>
      </c>
      <c r="C37" s="851" t="s">
        <v>206</v>
      </c>
      <c r="D37" s="851" t="s">
        <v>207</v>
      </c>
      <c r="E37" s="977" t="s">
        <v>90</v>
      </c>
      <c r="F37" s="923" t="s">
        <v>2675</v>
      </c>
      <c r="G37" s="2238"/>
      <c r="H37" s="2278"/>
      <c r="I37" s="2238"/>
      <c r="J37" s="2279"/>
      <c r="K37" s="2279"/>
      <c r="L37" s="2238"/>
      <c r="M37" s="2238"/>
      <c r="N37" s="327"/>
      <c r="O37" s="304"/>
      <c r="P37" s="227">
        <f>N37*O37</f>
        <v>0</v>
      </c>
      <c r="Q37" s="2277"/>
      <c r="R37" s="975">
        <f>'Ab3. ASHA'!Q37</f>
        <v>0</v>
      </c>
      <c r="S37" s="1131">
        <f>'Ab3. ASHA'!R37</f>
        <v>0</v>
      </c>
      <c r="T37" s="1132"/>
    </row>
    <row r="38" spans="1:20" x14ac:dyDescent="0.2">
      <c r="A38" s="3881" t="s">
        <v>4833</v>
      </c>
      <c r="B38" s="3881"/>
      <c r="C38" s="3881"/>
      <c r="D38" s="3881"/>
      <c r="E38" s="980" t="s">
        <v>4366</v>
      </c>
      <c r="F38" s="1109"/>
      <c r="G38" s="236"/>
      <c r="H38" s="236"/>
      <c r="I38" s="1113"/>
      <c r="J38" s="1113"/>
      <c r="K38" s="1113"/>
      <c r="L38" s="236"/>
      <c r="M38" s="1184"/>
      <c r="N38" s="918"/>
      <c r="O38" s="264"/>
      <c r="P38" s="1113">
        <f>P39+P47+P51</f>
        <v>0</v>
      </c>
      <c r="Q38" s="1186"/>
      <c r="R38" s="1114"/>
      <c r="S38" s="1113">
        <f>S39+S47+S51</f>
        <v>0</v>
      </c>
    </row>
    <row r="39" spans="1:20" x14ac:dyDescent="0.2">
      <c r="A39" s="1117" t="s">
        <v>4358</v>
      </c>
      <c r="B39" s="1117" t="s">
        <v>173</v>
      </c>
      <c r="C39" s="1118"/>
      <c r="D39" s="1119" t="s">
        <v>4834</v>
      </c>
      <c r="E39" s="980" t="s">
        <v>4366</v>
      </c>
      <c r="F39" s="1120"/>
      <c r="G39" s="331"/>
      <c r="H39" s="331"/>
      <c r="I39" s="333"/>
      <c r="J39" s="333"/>
      <c r="K39" s="333"/>
      <c r="L39" s="331"/>
      <c r="M39" s="331"/>
      <c r="N39" s="1122"/>
      <c r="O39" s="332"/>
      <c r="P39" s="333">
        <f>SUM(P40:P46)</f>
        <v>0</v>
      </c>
      <c r="Q39" s="696"/>
      <c r="R39" s="1125"/>
      <c r="S39" s="1126">
        <f>SUM(S40:S46)</f>
        <v>0</v>
      </c>
    </row>
    <row r="40" spans="1:20" ht="30" x14ac:dyDescent="0.2">
      <c r="A40" s="1138">
        <v>1</v>
      </c>
      <c r="B40" s="441" t="s">
        <v>2762</v>
      </c>
      <c r="C40" s="240" t="s">
        <v>209</v>
      </c>
      <c r="D40" s="240" t="s">
        <v>4449</v>
      </c>
      <c r="E40" s="980" t="s">
        <v>4366</v>
      </c>
      <c r="F40" s="1139" t="s">
        <v>4985</v>
      </c>
      <c r="G40" s="2238"/>
      <c r="H40" s="2236"/>
      <c r="I40" s="2275"/>
      <c r="J40" s="2276"/>
      <c r="K40" s="2238"/>
      <c r="L40" s="2238"/>
      <c r="M40" s="2238"/>
      <c r="N40" s="327"/>
      <c r="O40" s="304"/>
      <c r="P40" s="227">
        <f t="shared" ref="P40:P46" si="4">N40*O40</f>
        <v>0</v>
      </c>
      <c r="Q40" s="2277"/>
      <c r="R40" s="975">
        <f>'Ab3. ASHA'!Q39</f>
        <v>0</v>
      </c>
      <c r="S40" s="1131">
        <f>'Ab3. ASHA'!R39</f>
        <v>0</v>
      </c>
    </row>
    <row r="41" spans="1:20" ht="30" x14ac:dyDescent="0.2">
      <c r="A41" s="1138">
        <v>2</v>
      </c>
      <c r="B41" s="441" t="s">
        <v>2763</v>
      </c>
      <c r="C41" s="240" t="s">
        <v>210</v>
      </c>
      <c r="D41" s="240" t="s">
        <v>211</v>
      </c>
      <c r="E41" s="980" t="s">
        <v>4366</v>
      </c>
      <c r="F41" s="1140" t="s">
        <v>4981</v>
      </c>
      <c r="G41" s="241"/>
      <c r="H41" s="241"/>
      <c r="I41" s="241"/>
      <c r="J41" s="241"/>
      <c r="K41" s="241"/>
      <c r="L41" s="241"/>
      <c r="M41" s="304"/>
      <c r="N41" s="327"/>
      <c r="O41" s="304"/>
      <c r="P41" s="227">
        <f t="shared" si="4"/>
        <v>0</v>
      </c>
      <c r="Q41" s="189"/>
      <c r="R41" s="975">
        <f>'Ab3. ASHA'!Q40</f>
        <v>0</v>
      </c>
      <c r="S41" s="1131">
        <f>'Ab3. ASHA'!R40</f>
        <v>0</v>
      </c>
    </row>
    <row r="42" spans="1:20" x14ac:dyDescent="0.2">
      <c r="A42" s="1138">
        <v>3</v>
      </c>
      <c r="B42" s="441" t="s">
        <v>2764</v>
      </c>
      <c r="C42" s="240" t="s">
        <v>212</v>
      </c>
      <c r="D42" s="240" t="s">
        <v>213</v>
      </c>
      <c r="E42" s="980" t="s">
        <v>4366</v>
      </c>
      <c r="F42" s="923" t="s">
        <v>4982</v>
      </c>
      <c r="G42" s="241"/>
      <c r="H42" s="241"/>
      <c r="I42" s="241"/>
      <c r="J42" s="241"/>
      <c r="K42" s="241"/>
      <c r="L42" s="241"/>
      <c r="M42" s="304"/>
      <c r="N42" s="327"/>
      <c r="O42" s="304"/>
      <c r="P42" s="227">
        <f t="shared" si="4"/>
        <v>0</v>
      </c>
      <c r="Q42" s="189"/>
      <c r="R42" s="975">
        <f>'Ab3. ASHA'!Q41</f>
        <v>0</v>
      </c>
      <c r="S42" s="1131">
        <f>'Ab3. ASHA'!R41</f>
        <v>0</v>
      </c>
    </row>
    <row r="43" spans="1:20" ht="30" x14ac:dyDescent="0.2">
      <c r="A43" s="1138">
        <v>4</v>
      </c>
      <c r="B43" s="441" t="s">
        <v>2765</v>
      </c>
      <c r="C43" s="240" t="s">
        <v>214</v>
      </c>
      <c r="D43" s="240" t="s">
        <v>215</v>
      </c>
      <c r="E43" s="980" t="s">
        <v>4366</v>
      </c>
      <c r="F43" s="923" t="s">
        <v>4982</v>
      </c>
      <c r="G43" s="241"/>
      <c r="H43" s="241"/>
      <c r="I43" s="241"/>
      <c r="J43" s="241"/>
      <c r="K43" s="241"/>
      <c r="L43" s="241"/>
      <c r="M43" s="304"/>
      <c r="N43" s="327"/>
      <c r="O43" s="304"/>
      <c r="P43" s="227">
        <f t="shared" si="4"/>
        <v>0</v>
      </c>
      <c r="Q43" s="189"/>
      <c r="R43" s="975">
        <f>'Ab3. ASHA'!Q42</f>
        <v>0</v>
      </c>
      <c r="S43" s="1131">
        <f>'Ab3. ASHA'!R42</f>
        <v>0</v>
      </c>
    </row>
    <row r="44" spans="1:20" ht="30" x14ac:dyDescent="0.2">
      <c r="A44" s="1138">
        <v>5</v>
      </c>
      <c r="B44" s="441" t="s">
        <v>2766</v>
      </c>
      <c r="C44" s="240" t="s">
        <v>216</v>
      </c>
      <c r="D44" s="240" t="s">
        <v>217</v>
      </c>
      <c r="E44" s="980" t="s">
        <v>4366</v>
      </c>
      <c r="F44" s="923" t="s">
        <v>4983</v>
      </c>
      <c r="G44" s="299"/>
      <c r="H44" s="299"/>
      <c r="I44" s="299"/>
      <c r="J44" s="2882"/>
      <c r="K44" s="299"/>
      <c r="L44" s="299"/>
      <c r="M44" s="304"/>
      <c r="N44" s="327"/>
      <c r="O44" s="304"/>
      <c r="P44" s="227">
        <f t="shared" si="4"/>
        <v>0</v>
      </c>
      <c r="Q44" s="189"/>
      <c r="R44" s="975">
        <f>'Ab3. ASHA'!Q43</f>
        <v>0</v>
      </c>
      <c r="S44" s="1131">
        <f>'Ab3. ASHA'!R43</f>
        <v>0</v>
      </c>
    </row>
    <row r="45" spans="1:20" ht="30" x14ac:dyDescent="0.2">
      <c r="A45" s="1138">
        <v>6</v>
      </c>
      <c r="B45" s="441" t="s">
        <v>2767</v>
      </c>
      <c r="C45" s="240" t="s">
        <v>218</v>
      </c>
      <c r="D45" s="240" t="s">
        <v>4090</v>
      </c>
      <c r="E45" s="980" t="s">
        <v>4366</v>
      </c>
      <c r="F45" s="923" t="s">
        <v>4983</v>
      </c>
      <c r="G45" s="241"/>
      <c r="H45" s="241"/>
      <c r="I45" s="241"/>
      <c r="J45" s="241"/>
      <c r="K45" s="241"/>
      <c r="L45" s="241"/>
      <c r="M45" s="304"/>
      <c r="N45" s="327"/>
      <c r="O45" s="304"/>
      <c r="P45" s="227">
        <f t="shared" si="4"/>
        <v>0</v>
      </c>
      <c r="Q45" s="189"/>
      <c r="R45" s="975">
        <f>'Ab3. ASHA'!Q44</f>
        <v>0</v>
      </c>
      <c r="S45" s="1131">
        <f>'Ab3. ASHA'!R44</f>
        <v>0</v>
      </c>
    </row>
    <row r="46" spans="1:20" ht="45" x14ac:dyDescent="0.2">
      <c r="A46" s="1138">
        <v>7</v>
      </c>
      <c r="B46" s="976" t="s">
        <v>2768</v>
      </c>
      <c r="C46" s="248"/>
      <c r="D46" s="248" t="s">
        <v>4848</v>
      </c>
      <c r="E46" s="980" t="s">
        <v>4366</v>
      </c>
      <c r="F46" s="986" t="s">
        <v>4984</v>
      </c>
      <c r="G46" s="250"/>
      <c r="H46" s="250"/>
      <c r="I46" s="250"/>
      <c r="J46" s="250"/>
      <c r="K46" s="250"/>
      <c r="L46" s="250"/>
      <c r="M46" s="304"/>
      <c r="N46" s="327"/>
      <c r="O46" s="304"/>
      <c r="P46" s="229">
        <f t="shared" si="4"/>
        <v>0</v>
      </c>
      <c r="Q46" s="189"/>
      <c r="R46" s="975">
        <f>'Ab3. ASHA'!Q45</f>
        <v>0</v>
      </c>
      <c r="S46" s="1131">
        <f>'Ab3. ASHA'!R45</f>
        <v>0</v>
      </c>
    </row>
    <row r="47" spans="1:20" x14ac:dyDescent="0.2">
      <c r="A47" s="1142" t="s">
        <v>4359</v>
      </c>
      <c r="B47" s="1142" t="s">
        <v>3308</v>
      </c>
      <c r="C47" s="1143" t="s">
        <v>219</v>
      </c>
      <c r="D47" s="1143" t="s">
        <v>4507</v>
      </c>
      <c r="E47" s="980" t="s">
        <v>4366</v>
      </c>
      <c r="F47" s="1123"/>
      <c r="G47" s="334"/>
      <c r="H47" s="334"/>
      <c r="I47" s="333"/>
      <c r="J47" s="333"/>
      <c r="K47" s="333"/>
      <c r="L47" s="334"/>
      <c r="M47" s="334"/>
      <c r="N47" s="333"/>
      <c r="O47" s="332"/>
      <c r="P47" s="333">
        <f>SUM(P48:P50)</f>
        <v>0</v>
      </c>
      <c r="Q47" s="697"/>
      <c r="R47" s="1144"/>
      <c r="S47" s="1144">
        <f>SUM(S48:S50)</f>
        <v>0</v>
      </c>
    </row>
    <row r="48" spans="1:20" ht="60" x14ac:dyDescent="0.2">
      <c r="A48" s="1138">
        <v>1</v>
      </c>
      <c r="B48" s="441" t="s">
        <v>4592</v>
      </c>
      <c r="C48" s="240" t="s">
        <v>220</v>
      </c>
      <c r="D48" s="872" t="s">
        <v>4485</v>
      </c>
      <c r="E48" s="980" t="s">
        <v>4366</v>
      </c>
      <c r="F48" s="923" t="s">
        <v>2676</v>
      </c>
      <c r="G48" s="2406"/>
      <c r="H48" s="2407"/>
      <c r="I48" s="2408"/>
      <c r="J48" s="2409"/>
      <c r="K48" s="2409"/>
      <c r="L48" s="2406"/>
      <c r="M48" s="2406"/>
      <c r="N48" s="327"/>
      <c r="O48" s="2406"/>
      <c r="P48" s="227">
        <f>N48*O48</f>
        <v>0</v>
      </c>
      <c r="Q48" s="2277"/>
      <c r="R48" s="975">
        <f>'Ab3. ASHA'!Q47</f>
        <v>0</v>
      </c>
      <c r="S48" s="1131">
        <f>'Ab3. ASHA'!R47</f>
        <v>0</v>
      </c>
    </row>
    <row r="49" spans="1:20" s="1128" customFormat="1" ht="30" x14ac:dyDescent="0.2">
      <c r="A49" s="1138">
        <v>2</v>
      </c>
      <c r="B49" s="441" t="s">
        <v>4593</v>
      </c>
      <c r="C49" s="240" t="s">
        <v>221</v>
      </c>
      <c r="D49" s="872" t="s">
        <v>4508</v>
      </c>
      <c r="E49" s="980" t="s">
        <v>4366</v>
      </c>
      <c r="F49" s="923" t="s">
        <v>2676</v>
      </c>
      <c r="G49" s="2406"/>
      <c r="H49" s="2407"/>
      <c r="I49" s="2408"/>
      <c r="J49" s="2409"/>
      <c r="K49" s="2409"/>
      <c r="L49" s="2406"/>
      <c r="M49" s="2406"/>
      <c r="N49" s="327"/>
      <c r="O49" s="2406"/>
      <c r="P49" s="227">
        <f>N49*O49</f>
        <v>0</v>
      </c>
      <c r="Q49" s="2277"/>
      <c r="R49" s="975">
        <f>'Ab3. ASHA'!Q48</f>
        <v>0</v>
      </c>
      <c r="S49" s="1131">
        <f>'Ab3. ASHA'!R48</f>
        <v>0</v>
      </c>
      <c r="T49" s="1127"/>
    </row>
    <row r="50" spans="1:20" ht="30" x14ac:dyDescent="0.2">
      <c r="A50" s="1138">
        <v>3</v>
      </c>
      <c r="B50" s="441" t="s">
        <v>4594</v>
      </c>
      <c r="C50" s="240" t="s">
        <v>222</v>
      </c>
      <c r="D50" s="872" t="s">
        <v>4509</v>
      </c>
      <c r="E50" s="980" t="s">
        <v>4366</v>
      </c>
      <c r="F50" s="923" t="s">
        <v>2676</v>
      </c>
      <c r="G50" s="2406"/>
      <c r="H50" s="2407"/>
      <c r="I50" s="2408"/>
      <c r="J50" s="2409"/>
      <c r="K50" s="2409"/>
      <c r="L50" s="2406"/>
      <c r="M50" s="2406"/>
      <c r="N50" s="327"/>
      <c r="O50" s="2406"/>
      <c r="P50" s="227">
        <f>N50*O50</f>
        <v>0</v>
      </c>
      <c r="Q50" s="2277"/>
      <c r="R50" s="975">
        <f>'Ab3. ASHA'!Q49</f>
        <v>0</v>
      </c>
      <c r="S50" s="1131">
        <f>'Ab3. ASHA'!R49</f>
        <v>0</v>
      </c>
      <c r="T50" s="1132"/>
    </row>
    <row r="51" spans="1:20" x14ac:dyDescent="0.2">
      <c r="A51" s="1137" t="s">
        <v>4363</v>
      </c>
      <c r="B51" s="976" t="s">
        <v>5742</v>
      </c>
      <c r="C51" s="1137"/>
      <c r="D51" s="240" t="s">
        <v>2463</v>
      </c>
      <c r="E51" s="980" t="s">
        <v>4366</v>
      </c>
      <c r="F51" s="923" t="s">
        <v>2673</v>
      </c>
      <c r="G51" s="2406"/>
      <c r="H51" s="2410"/>
      <c r="I51" s="2406"/>
      <c r="J51" s="2409"/>
      <c r="K51" s="2409"/>
      <c r="L51" s="2406"/>
      <c r="M51" s="2406"/>
      <c r="N51" s="327"/>
      <c r="O51" s="2406"/>
      <c r="P51" s="227">
        <f>N51*O51</f>
        <v>0</v>
      </c>
      <c r="Q51" s="2277"/>
      <c r="R51" s="975">
        <f>'Ab3. ASHA'!Q50</f>
        <v>0</v>
      </c>
      <c r="S51" s="1131">
        <f>'Ab3. ASHA'!R50</f>
        <v>0</v>
      </c>
      <c r="T51" s="1132"/>
    </row>
    <row r="52" spans="1:20" x14ac:dyDescent="0.2">
      <c r="A52" s="3881" t="s">
        <v>4833</v>
      </c>
      <c r="B52" s="3881"/>
      <c r="C52" s="3881"/>
      <c r="D52" s="3881"/>
      <c r="E52" s="980" t="s">
        <v>4366</v>
      </c>
      <c r="F52" s="1109"/>
      <c r="G52" s="236"/>
      <c r="H52" s="236"/>
      <c r="I52" s="1113"/>
      <c r="J52" s="1113"/>
      <c r="K52" s="1113"/>
      <c r="L52" s="236"/>
      <c r="M52" s="1184"/>
      <c r="N52" s="918"/>
      <c r="O52" s="264"/>
      <c r="P52" s="1113">
        <f>P53</f>
        <v>0</v>
      </c>
      <c r="Q52" s="1186"/>
      <c r="R52" s="1114"/>
      <c r="S52" s="1114"/>
    </row>
    <row r="53" spans="1:20" x14ac:dyDescent="0.2">
      <c r="A53" s="1117" t="s">
        <v>4358</v>
      </c>
      <c r="B53" s="1117" t="s">
        <v>175</v>
      </c>
      <c r="C53" s="1118"/>
      <c r="D53" s="1119" t="s">
        <v>3309</v>
      </c>
      <c r="E53" s="886" t="s">
        <v>70</v>
      </c>
      <c r="F53" s="1120"/>
      <c r="G53" s="331"/>
      <c r="H53" s="331"/>
      <c r="I53" s="331"/>
      <c r="J53" s="331"/>
      <c r="K53" s="331"/>
      <c r="L53" s="331"/>
      <c r="M53" s="331"/>
      <c r="N53" s="1122"/>
      <c r="O53" s="332"/>
      <c r="P53" s="333">
        <f>SUM(P54:P56)</f>
        <v>0</v>
      </c>
      <c r="Q53" s="696"/>
      <c r="R53" s="1125"/>
      <c r="S53" s="1126">
        <f>SUM(S54:S56)</f>
        <v>0</v>
      </c>
      <c r="T53" s="1132"/>
    </row>
    <row r="54" spans="1:20" s="1128" customFormat="1" x14ac:dyDescent="0.2">
      <c r="A54" s="1129">
        <v>1</v>
      </c>
      <c r="B54" s="976"/>
      <c r="C54" s="1043"/>
      <c r="D54" s="851" t="s">
        <v>4849</v>
      </c>
      <c r="E54" s="886" t="s">
        <v>70</v>
      </c>
      <c r="F54" s="923" t="s">
        <v>2673</v>
      </c>
      <c r="G54" s="241"/>
      <c r="H54" s="241"/>
      <c r="I54" s="241"/>
      <c r="J54" s="241"/>
      <c r="K54" s="241"/>
      <c r="L54" s="241"/>
      <c r="M54" s="304"/>
      <c r="N54" s="327"/>
      <c r="O54" s="304"/>
      <c r="P54" s="227">
        <f>N54*O54</f>
        <v>0</v>
      </c>
      <c r="Q54" s="189"/>
      <c r="R54" s="975">
        <f>'Ab3. ASHA'!Q52</f>
        <v>0</v>
      </c>
      <c r="S54" s="1131">
        <f>'Ab3. ASHA'!R52</f>
        <v>0</v>
      </c>
      <c r="T54" s="1127"/>
    </row>
    <row r="55" spans="1:20" s="1128" customFormat="1" ht="30" x14ac:dyDescent="0.2">
      <c r="A55" s="1129">
        <v>2</v>
      </c>
      <c r="B55" s="976"/>
      <c r="C55" s="1043"/>
      <c r="D55" s="851" t="s">
        <v>4850</v>
      </c>
      <c r="E55" s="886" t="s">
        <v>70</v>
      </c>
      <c r="F55" s="923" t="s">
        <v>2673</v>
      </c>
      <c r="G55" s="241"/>
      <c r="H55" s="241"/>
      <c r="I55" s="241"/>
      <c r="J55" s="241"/>
      <c r="K55" s="241"/>
      <c r="L55" s="241"/>
      <c r="M55" s="304"/>
      <c r="N55" s="327"/>
      <c r="O55" s="304"/>
      <c r="P55" s="227">
        <f>N55*O55</f>
        <v>0</v>
      </c>
      <c r="Q55" s="189"/>
      <c r="R55" s="975">
        <f>'Ab3. ASHA'!Q53</f>
        <v>0</v>
      </c>
      <c r="S55" s="1131">
        <f>'Ab3. ASHA'!R53</f>
        <v>0</v>
      </c>
      <c r="T55" s="1127"/>
    </row>
    <row r="56" spans="1:20" x14ac:dyDescent="0.2">
      <c r="A56" s="1129">
        <v>3</v>
      </c>
      <c r="B56" s="441" t="s">
        <v>2770</v>
      </c>
      <c r="C56" s="851"/>
      <c r="D56" s="240" t="s">
        <v>2463</v>
      </c>
      <c r="E56" s="886" t="s">
        <v>70</v>
      </c>
      <c r="F56" s="923" t="s">
        <v>2673</v>
      </c>
      <c r="G56" s="241"/>
      <c r="H56" s="241"/>
      <c r="I56" s="241"/>
      <c r="J56" s="241"/>
      <c r="K56" s="241"/>
      <c r="L56" s="256"/>
      <c r="M56" s="304"/>
      <c r="N56" s="327"/>
      <c r="O56" s="304"/>
      <c r="P56" s="227">
        <f>N56*O56</f>
        <v>0</v>
      </c>
      <c r="Q56" s="2868"/>
      <c r="R56" s="975">
        <f>'Ab3. ASHA'!Q54</f>
        <v>0</v>
      </c>
      <c r="S56" s="1131">
        <f>'Ab3. ASHA'!R54</f>
        <v>0</v>
      </c>
      <c r="T56" s="1132"/>
    </row>
    <row r="57" spans="1:20" s="1128" customFormat="1" x14ac:dyDescent="0.2">
      <c r="A57" s="3882" t="s">
        <v>2739</v>
      </c>
      <c r="B57" s="3883"/>
      <c r="C57" s="3883"/>
      <c r="D57" s="3884"/>
      <c r="E57" s="886" t="s">
        <v>70</v>
      </c>
      <c r="F57" s="973"/>
      <c r="G57" s="236"/>
      <c r="H57" s="236"/>
      <c r="I57" s="226"/>
      <c r="J57" s="226"/>
      <c r="K57" s="226"/>
      <c r="L57" s="236"/>
      <c r="M57" s="236"/>
      <c r="N57" s="1145"/>
      <c r="O57" s="168"/>
      <c r="P57" s="226">
        <f>SUM(P58:P59)</f>
        <v>0</v>
      </c>
      <c r="Q57" s="168"/>
      <c r="R57" s="1115"/>
      <c r="S57" s="1114">
        <f>SUM(S58:S59)</f>
        <v>0</v>
      </c>
      <c r="T57" s="1127"/>
    </row>
    <row r="58" spans="1:20" x14ac:dyDescent="0.2">
      <c r="A58" s="1138">
        <v>1</v>
      </c>
      <c r="B58" s="441" t="s">
        <v>3311</v>
      </c>
      <c r="C58" s="851" t="s">
        <v>202</v>
      </c>
      <c r="D58" s="1146" t="s">
        <v>203</v>
      </c>
      <c r="E58" s="886" t="s">
        <v>70</v>
      </c>
      <c r="F58" s="923" t="s">
        <v>2673</v>
      </c>
      <c r="G58" s="2238"/>
      <c r="H58" s="2283"/>
      <c r="I58" s="2275"/>
      <c r="J58" s="2276"/>
      <c r="K58" s="2279"/>
      <c r="L58" s="2238"/>
      <c r="M58" s="2238"/>
      <c r="N58" s="327"/>
      <c r="O58" s="304"/>
      <c r="P58" s="227">
        <f>N58*O58</f>
        <v>0</v>
      </c>
      <c r="Q58" s="2277"/>
      <c r="R58" s="975">
        <f>'Ab3. ASHA'!Q56</f>
        <v>0</v>
      </c>
      <c r="S58" s="1131">
        <f>'Ab3. ASHA'!R56</f>
        <v>0</v>
      </c>
      <c r="T58" s="1132"/>
    </row>
    <row r="59" spans="1:20" ht="180.75" customHeight="1" x14ac:dyDescent="0.2">
      <c r="A59" s="1138">
        <v>2</v>
      </c>
      <c r="B59" s="441" t="s">
        <v>3810</v>
      </c>
      <c r="C59" s="240"/>
      <c r="D59" s="240" t="s">
        <v>2463</v>
      </c>
      <c r="E59" s="886" t="s">
        <v>70</v>
      </c>
      <c r="F59" s="923" t="s">
        <v>2673</v>
      </c>
      <c r="G59" s="2572"/>
      <c r="H59" s="2537"/>
      <c r="I59" s="2572"/>
      <c r="J59" s="2572"/>
      <c r="K59" s="2572"/>
      <c r="L59" s="2572"/>
      <c r="M59" s="2572"/>
      <c r="N59" s="327"/>
      <c r="O59" s="2572"/>
      <c r="P59" s="227">
        <f>N59*O59</f>
        <v>0</v>
      </c>
      <c r="Q59" s="2573"/>
      <c r="R59" s="975">
        <f>'Ab3. ASHA'!Q57</f>
        <v>0</v>
      </c>
      <c r="S59" s="1131">
        <f>'Ab3. ASHA'!R57</f>
        <v>0</v>
      </c>
      <c r="T59" s="1132"/>
    </row>
    <row r="60" spans="1:20" x14ac:dyDescent="0.2">
      <c r="A60" s="3881" t="s">
        <v>742</v>
      </c>
      <c r="B60" s="3881"/>
      <c r="C60" s="3881"/>
      <c r="D60" s="3881"/>
      <c r="E60" s="886" t="s">
        <v>70</v>
      </c>
      <c r="F60" s="1109"/>
      <c r="G60" s="236"/>
      <c r="H60" s="236"/>
      <c r="I60" s="1113"/>
      <c r="J60" s="1113"/>
      <c r="K60" s="1113"/>
      <c r="L60" s="236"/>
      <c r="M60" s="1184"/>
      <c r="N60" s="918"/>
      <c r="O60" s="264"/>
      <c r="P60" s="1113"/>
      <c r="Q60" s="1186"/>
      <c r="R60" s="1114"/>
      <c r="S60" s="1114"/>
    </row>
    <row r="61" spans="1:20" x14ac:dyDescent="0.2">
      <c r="A61" s="1117" t="s">
        <v>4358</v>
      </c>
      <c r="B61" s="1117" t="s">
        <v>47</v>
      </c>
      <c r="C61" s="1118" t="s">
        <v>223</v>
      </c>
      <c r="D61" s="1119" t="s">
        <v>224</v>
      </c>
      <c r="E61" s="886" t="s">
        <v>70</v>
      </c>
      <c r="F61" s="1120" t="s">
        <v>2673</v>
      </c>
      <c r="G61" s="331"/>
      <c r="H61" s="331"/>
      <c r="I61" s="333"/>
      <c r="J61" s="331"/>
      <c r="K61" s="331"/>
      <c r="L61" s="331"/>
      <c r="M61" s="331"/>
      <c r="N61" s="1122"/>
      <c r="O61" s="332"/>
      <c r="P61" s="333">
        <f>SUM(P62:P67)</f>
        <v>0</v>
      </c>
      <c r="Q61" s="696"/>
      <c r="R61" s="1125"/>
      <c r="S61" s="1126">
        <f>SUM(S62:S67)</f>
        <v>0</v>
      </c>
      <c r="T61" s="1132"/>
    </row>
    <row r="62" spans="1:20" x14ac:dyDescent="0.2">
      <c r="A62" s="1147">
        <v>1</v>
      </c>
      <c r="B62" s="410" t="s">
        <v>225</v>
      </c>
      <c r="C62" s="248" t="s">
        <v>229</v>
      </c>
      <c r="D62" s="1141" t="s">
        <v>230</v>
      </c>
      <c r="E62" s="886" t="s">
        <v>70</v>
      </c>
      <c r="F62" s="986" t="s">
        <v>2673</v>
      </c>
      <c r="G62" s="2238"/>
      <c r="H62" s="2411"/>
      <c r="I62" s="2284"/>
      <c r="J62" s="2284"/>
      <c r="K62" s="2285"/>
      <c r="L62" s="2238"/>
      <c r="M62" s="2278"/>
      <c r="N62" s="328"/>
      <c r="O62" s="304"/>
      <c r="P62" s="3431">
        <f>N62*O62</f>
        <v>0</v>
      </c>
      <c r="Q62" s="3039"/>
      <c r="R62" s="975">
        <f>'Ab3. ASHA'!Q59</f>
        <v>0</v>
      </c>
      <c r="S62" s="3432">
        <f>'Ab3. ASHA'!R59</f>
        <v>0</v>
      </c>
      <c r="T62" s="1132"/>
    </row>
    <row r="63" spans="1:20" s="1128" customFormat="1" x14ac:dyDescent="0.2">
      <c r="A63" s="1147">
        <v>2</v>
      </c>
      <c r="B63" s="410" t="s">
        <v>228</v>
      </c>
      <c r="C63" s="248" t="s">
        <v>232</v>
      </c>
      <c r="D63" s="1141" t="s">
        <v>233</v>
      </c>
      <c r="E63" s="886" t="s">
        <v>70</v>
      </c>
      <c r="F63" s="986" t="s">
        <v>2673</v>
      </c>
      <c r="G63" s="2238"/>
      <c r="H63" s="2283"/>
      <c r="I63" s="2284"/>
      <c r="J63" s="2284"/>
      <c r="K63" s="2412"/>
      <c r="L63" s="2238"/>
      <c r="M63" s="2278"/>
      <c r="N63" s="328"/>
      <c r="O63" s="304"/>
      <c r="P63" s="3431">
        <f>N63*O63</f>
        <v>0</v>
      </c>
      <c r="Q63" s="3039"/>
      <c r="R63" s="975">
        <f>'Ab3. ASHA'!Q60</f>
        <v>0</v>
      </c>
      <c r="S63" s="3432">
        <f>'Ab3. ASHA'!R60</f>
        <v>0</v>
      </c>
      <c r="T63" s="1127"/>
    </row>
    <row r="64" spans="1:20" x14ac:dyDescent="0.2">
      <c r="A64" s="1147">
        <v>3</v>
      </c>
      <c r="B64" s="410" t="s">
        <v>234</v>
      </c>
      <c r="C64" s="568" t="s">
        <v>237</v>
      </c>
      <c r="D64" s="568" t="s">
        <v>238</v>
      </c>
      <c r="E64" s="886" t="s">
        <v>70</v>
      </c>
      <c r="F64" s="986" t="s">
        <v>2673</v>
      </c>
      <c r="G64" s="311"/>
      <c r="H64" s="246"/>
      <c r="I64" s="247"/>
      <c r="J64" s="247"/>
      <c r="K64" s="311"/>
      <c r="L64" s="311"/>
      <c r="M64" s="297"/>
      <c r="N64" s="328"/>
      <c r="O64" s="304"/>
      <c r="P64" s="3431">
        <f>N64*O64</f>
        <v>0</v>
      </c>
      <c r="Q64" s="189"/>
      <c r="R64" s="975">
        <f>'Ab3. ASHA'!Q61</f>
        <v>0</v>
      </c>
      <c r="S64" s="3432">
        <f>'Ab3. ASHA'!R61</f>
        <v>0</v>
      </c>
      <c r="T64" s="1132"/>
    </row>
    <row r="65" spans="1:20" x14ac:dyDescent="0.2">
      <c r="A65" s="1148">
        <v>4</v>
      </c>
      <c r="B65" s="1149" t="s">
        <v>3306</v>
      </c>
      <c r="C65" s="568"/>
      <c r="D65" s="1150" t="s">
        <v>3326</v>
      </c>
      <c r="E65" s="886" t="s">
        <v>70</v>
      </c>
      <c r="F65" s="986" t="s">
        <v>2673</v>
      </c>
      <c r="G65" s="2413"/>
      <c r="H65" s="2392"/>
      <c r="I65" s="2391"/>
      <c r="J65" s="2391"/>
      <c r="K65" s="2391"/>
      <c r="L65" s="2238"/>
      <c r="M65" s="2278"/>
      <c r="N65" s="328"/>
      <c r="O65" s="304"/>
      <c r="P65" s="3431">
        <f>N65*O65</f>
        <v>0</v>
      </c>
      <c r="Q65" s="3039"/>
      <c r="R65" s="975">
        <f>'Ab3. ASHA'!Q62</f>
        <v>0</v>
      </c>
      <c r="S65" s="1131">
        <f>'Ab3. ASHA'!R62</f>
        <v>0</v>
      </c>
    </row>
    <row r="66" spans="1:20" x14ac:dyDescent="0.2">
      <c r="A66" s="1148">
        <v>5</v>
      </c>
      <c r="B66" s="1149"/>
      <c r="C66" s="568"/>
      <c r="D66" s="1151" t="s">
        <v>4851</v>
      </c>
      <c r="E66" s="886" t="s">
        <v>70</v>
      </c>
      <c r="F66" s="986" t="s">
        <v>2673</v>
      </c>
      <c r="G66" s="250"/>
      <c r="H66" s="250"/>
      <c r="I66" s="250"/>
      <c r="J66" s="250"/>
      <c r="K66" s="250"/>
      <c r="L66" s="2238"/>
      <c r="M66" s="297"/>
      <c r="N66" s="328"/>
      <c r="O66" s="304"/>
      <c r="P66" s="3431">
        <f>N66*O66</f>
        <v>0</v>
      </c>
      <c r="Q66" s="3039"/>
      <c r="R66" s="975">
        <f>'Ab3. ASHA'!Q63</f>
        <v>0</v>
      </c>
      <c r="S66" s="1131">
        <f>'Ab3. ASHA'!R63</f>
        <v>0</v>
      </c>
    </row>
    <row r="67" spans="1:20" s="1128" customFormat="1" x14ac:dyDescent="0.25">
      <c r="A67" s="1148">
        <v>6</v>
      </c>
      <c r="B67" s="1149"/>
      <c r="C67" s="568"/>
      <c r="D67" s="1152" t="s">
        <v>4852</v>
      </c>
      <c r="E67" s="886" t="s">
        <v>70</v>
      </c>
      <c r="F67" s="986" t="s">
        <v>2673</v>
      </c>
      <c r="G67" s="250"/>
      <c r="H67" s="250"/>
      <c r="I67" s="250"/>
      <c r="J67" s="250"/>
      <c r="K67" s="250"/>
      <c r="L67" s="312"/>
      <c r="M67" s="304"/>
      <c r="N67" s="328"/>
      <c r="O67" s="304"/>
      <c r="P67" s="1153">
        <f>SUM(P68:P71)</f>
        <v>0</v>
      </c>
      <c r="Q67" s="189"/>
      <c r="R67" s="975"/>
      <c r="S67" s="1153">
        <f>SUM(S68:S71)</f>
        <v>0</v>
      </c>
    </row>
    <row r="68" spans="1:20" x14ac:dyDescent="0.2">
      <c r="A68" s="1148">
        <v>7</v>
      </c>
      <c r="B68" s="410" t="s">
        <v>231</v>
      </c>
      <c r="C68" s="248" t="s">
        <v>235</v>
      </c>
      <c r="D68" s="1151" t="s">
        <v>4853</v>
      </c>
      <c r="E68" s="886" t="s">
        <v>70</v>
      </c>
      <c r="F68" s="986" t="s">
        <v>2673</v>
      </c>
      <c r="G68" s="2238"/>
      <c r="H68" s="2283"/>
      <c r="I68" s="2238"/>
      <c r="J68" s="250"/>
      <c r="K68" s="250"/>
      <c r="L68" s="250"/>
      <c r="M68" s="304"/>
      <c r="N68" s="328"/>
      <c r="O68" s="304"/>
      <c r="P68" s="229">
        <f>N68*O68</f>
        <v>0</v>
      </c>
      <c r="Q68" s="189"/>
      <c r="R68" s="975">
        <f>'Ab3. ASHA'!Q65</f>
        <v>0</v>
      </c>
      <c r="S68" s="1131">
        <f>'Ab3. ASHA'!R65</f>
        <v>0</v>
      </c>
    </row>
    <row r="69" spans="1:20" ht="75" x14ac:dyDescent="0.2">
      <c r="A69" s="1148">
        <v>8</v>
      </c>
      <c r="B69" s="410" t="s">
        <v>236</v>
      </c>
      <c r="C69" s="510" t="s">
        <v>226</v>
      </c>
      <c r="D69" s="510" t="s">
        <v>227</v>
      </c>
      <c r="E69" s="886" t="s">
        <v>70</v>
      </c>
      <c r="F69" s="986" t="s">
        <v>2673</v>
      </c>
      <c r="G69" s="306"/>
      <c r="H69" s="306"/>
      <c r="I69" s="306"/>
      <c r="J69" s="306"/>
      <c r="K69" s="306"/>
      <c r="L69" s="306"/>
      <c r="M69" s="304"/>
      <c r="N69" s="328"/>
      <c r="O69" s="304"/>
      <c r="P69" s="229">
        <f>N69*O69</f>
        <v>0</v>
      </c>
      <c r="Q69" s="189"/>
      <c r="R69" s="975">
        <f>'Ab3. ASHA'!Q66</f>
        <v>0</v>
      </c>
      <c r="S69" s="1131">
        <f>'Ab3. ASHA'!R66</f>
        <v>0</v>
      </c>
      <c r="T69" s="1132"/>
    </row>
    <row r="70" spans="1:20" ht="30" x14ac:dyDescent="0.25">
      <c r="A70" s="1148">
        <v>9</v>
      </c>
      <c r="B70" s="410" t="s">
        <v>2530</v>
      </c>
      <c r="C70" s="568" t="s">
        <v>1005</v>
      </c>
      <c r="D70" s="568" t="s">
        <v>1006</v>
      </c>
      <c r="E70" s="886" t="s">
        <v>70</v>
      </c>
      <c r="F70" s="986" t="s">
        <v>2673</v>
      </c>
      <c r="G70" s="250"/>
      <c r="H70" s="250"/>
      <c r="I70" s="250"/>
      <c r="J70" s="250"/>
      <c r="K70" s="250"/>
      <c r="L70" s="312"/>
      <c r="M70" s="304"/>
      <c r="N70" s="328"/>
      <c r="O70" s="304"/>
      <c r="P70" s="229">
        <f>N70*O70</f>
        <v>0</v>
      </c>
      <c r="Q70" s="189"/>
      <c r="R70" s="975">
        <f>'Ab3. ASHA'!Q67</f>
        <v>0</v>
      </c>
      <c r="S70" s="1131">
        <f>'Ab3. ASHA'!R67</f>
        <v>0</v>
      </c>
    </row>
    <row r="71" spans="1:20" ht="30" x14ac:dyDescent="0.25">
      <c r="A71" s="1148">
        <v>10</v>
      </c>
      <c r="B71" s="1149" t="s">
        <v>3806</v>
      </c>
      <c r="C71" s="568"/>
      <c r="D71" s="1150" t="s">
        <v>4377</v>
      </c>
      <c r="E71" s="886" t="s">
        <v>70</v>
      </c>
      <c r="F71" s="986" t="s">
        <v>2673</v>
      </c>
      <c r="G71" s="250"/>
      <c r="H71" s="250"/>
      <c r="I71" s="250"/>
      <c r="J71" s="250"/>
      <c r="K71" s="250"/>
      <c r="L71" s="312"/>
      <c r="M71" s="304"/>
      <c r="N71" s="328"/>
      <c r="O71" s="304"/>
      <c r="P71" s="229">
        <f>N71*O71</f>
        <v>0</v>
      </c>
      <c r="Q71" s="189"/>
      <c r="R71" s="975">
        <f>'Ab3. ASHA'!Q68</f>
        <v>0</v>
      </c>
      <c r="S71" s="1131">
        <f>'Ab3. ASHA'!R68</f>
        <v>0</v>
      </c>
      <c r="T71" s="1132"/>
    </row>
    <row r="72" spans="1:20" x14ac:dyDescent="0.25">
      <c r="A72" s="1154" t="s">
        <v>4359</v>
      </c>
      <c r="B72" s="1154"/>
      <c r="C72" s="1155"/>
      <c r="D72" s="1155" t="s">
        <v>1138</v>
      </c>
      <c r="E72" s="886" t="s">
        <v>70</v>
      </c>
      <c r="F72" s="1120" t="s">
        <v>2673</v>
      </c>
      <c r="G72" s="331"/>
      <c r="H72" s="331"/>
      <c r="I72" s="331"/>
      <c r="J72" s="331"/>
      <c r="K72" s="331"/>
      <c r="L72" s="337"/>
      <c r="M72" s="335"/>
      <c r="N72" s="336"/>
      <c r="O72" s="335"/>
      <c r="P72" s="333">
        <f>SUM(P73:P74)</f>
        <v>0</v>
      </c>
      <c r="Q72" s="696"/>
      <c r="R72" s="1125"/>
      <c r="S72" s="1126">
        <f>SUM(S73:S74)</f>
        <v>0</v>
      </c>
      <c r="T72" s="1132"/>
    </row>
    <row r="73" spans="1:20" x14ac:dyDescent="0.25">
      <c r="A73" s="1147">
        <v>1</v>
      </c>
      <c r="B73" s="830" t="s">
        <v>2562</v>
      </c>
      <c r="C73" s="935" t="s">
        <v>1137</v>
      </c>
      <c r="D73" s="568" t="s">
        <v>1138</v>
      </c>
      <c r="E73" s="886" t="s">
        <v>70</v>
      </c>
      <c r="F73" s="986" t="s">
        <v>2673</v>
      </c>
      <c r="G73" s="313"/>
      <c r="H73" s="314"/>
      <c r="I73" s="315"/>
      <c r="J73" s="315"/>
      <c r="K73" s="313"/>
      <c r="L73" s="316"/>
      <c r="M73" s="304"/>
      <c r="N73" s="328"/>
      <c r="O73" s="304"/>
      <c r="P73" s="229">
        <f>N73*O73</f>
        <v>0</v>
      </c>
      <c r="Q73" s="189"/>
      <c r="R73" s="975">
        <f>'Ab3. ASHA'!Q70</f>
        <v>0</v>
      </c>
      <c r="S73" s="1131">
        <f>'Ab3. ASHA'!R70</f>
        <v>0</v>
      </c>
    </row>
    <row r="74" spans="1:20" x14ac:dyDescent="0.25">
      <c r="A74" s="1147">
        <v>2</v>
      </c>
      <c r="B74" s="410"/>
      <c r="C74" s="568"/>
      <c r="D74" s="568" t="s">
        <v>4854</v>
      </c>
      <c r="E74" s="886" t="s">
        <v>70</v>
      </c>
      <c r="F74" s="986" t="s">
        <v>2673</v>
      </c>
      <c r="G74" s="313"/>
      <c r="H74" s="314"/>
      <c r="I74" s="315"/>
      <c r="J74" s="315"/>
      <c r="K74" s="313"/>
      <c r="L74" s="316"/>
      <c r="M74" s="304"/>
      <c r="N74" s="328"/>
      <c r="O74" s="304"/>
      <c r="P74" s="229">
        <f>N74*O74</f>
        <v>0</v>
      </c>
      <c r="Q74" s="189"/>
      <c r="R74" s="975">
        <f>'Ab3. ASHA'!Q71</f>
        <v>0</v>
      </c>
      <c r="S74" s="1131">
        <f>'Ab3. ASHA'!R71</f>
        <v>0</v>
      </c>
    </row>
    <row r="75" spans="1:20" x14ac:dyDescent="0.2">
      <c r="A75" s="1158" t="s">
        <v>4363</v>
      </c>
      <c r="B75" s="1158" t="s">
        <v>4376</v>
      </c>
      <c r="C75" s="935"/>
      <c r="D75" s="935" t="s">
        <v>1310</v>
      </c>
      <c r="E75" s="886" t="s">
        <v>70</v>
      </c>
      <c r="F75" s="986" t="s">
        <v>2673</v>
      </c>
      <c r="G75" s="245"/>
      <c r="H75" s="246"/>
      <c r="I75" s="318"/>
      <c r="J75" s="2284"/>
      <c r="K75" s="245"/>
      <c r="L75" s="245"/>
      <c r="M75" s="304"/>
      <c r="N75" s="328"/>
      <c r="O75" s="304"/>
      <c r="P75" s="1153">
        <f>N75*O75</f>
        <v>0</v>
      </c>
      <c r="Q75" s="2868"/>
      <c r="R75" s="975">
        <f>'Ab3. ASHA'!Q72</f>
        <v>0</v>
      </c>
      <c r="S75" s="1131">
        <f>'Ab3. ASHA'!R72</f>
        <v>0</v>
      </c>
      <c r="T75" s="1132"/>
    </row>
    <row r="76" spans="1:20" x14ac:dyDescent="0.2">
      <c r="A76" s="3881" t="s">
        <v>4846</v>
      </c>
      <c r="B76" s="3881"/>
      <c r="C76" s="3881"/>
      <c r="D76" s="3881"/>
      <c r="E76" s="886" t="s">
        <v>70</v>
      </c>
      <c r="F76" s="1109"/>
      <c r="G76" s="236"/>
      <c r="H76" s="236"/>
      <c r="I76" s="236"/>
      <c r="J76" s="236"/>
      <c r="K76" s="296"/>
      <c r="L76" s="236"/>
      <c r="M76" s="1184"/>
      <c r="N76" s="918"/>
      <c r="O76" s="264"/>
      <c r="P76" s="1113"/>
      <c r="Q76" s="1186"/>
      <c r="R76" s="1114"/>
      <c r="S76" s="1114"/>
    </row>
    <row r="77" spans="1:20" x14ac:dyDescent="0.2">
      <c r="A77" s="848" t="s">
        <v>4358</v>
      </c>
      <c r="B77" s="848" t="s">
        <v>48</v>
      </c>
      <c r="C77" s="1159"/>
      <c r="D77" s="1024" t="s">
        <v>4855</v>
      </c>
      <c r="E77" s="886" t="s">
        <v>70</v>
      </c>
      <c r="F77" s="973"/>
      <c r="G77" s="236"/>
      <c r="H77" s="236"/>
      <c r="I77" s="226"/>
      <c r="J77" s="226"/>
      <c r="K77" s="226"/>
      <c r="L77" s="236"/>
      <c r="M77" s="236"/>
      <c r="N77" s="1145"/>
      <c r="O77" s="168"/>
      <c r="P77" s="226">
        <f>SUM(P78:P83)</f>
        <v>0</v>
      </c>
      <c r="Q77" s="698"/>
      <c r="R77" s="1115"/>
      <c r="S77" s="1114">
        <f>SUM(S78:S83)</f>
        <v>0</v>
      </c>
      <c r="T77" s="1132"/>
    </row>
    <row r="78" spans="1:20" s="1160" customFormat="1" x14ac:dyDescent="0.2">
      <c r="A78" s="441">
        <v>1</v>
      </c>
      <c r="B78" s="441" t="s">
        <v>242</v>
      </c>
      <c r="C78" s="851" t="s">
        <v>243</v>
      </c>
      <c r="D78" s="851" t="s">
        <v>4856</v>
      </c>
      <c r="E78" s="886" t="s">
        <v>70</v>
      </c>
      <c r="F78" s="923" t="s">
        <v>2673</v>
      </c>
      <c r="G78" s="2238"/>
      <c r="H78" s="2283"/>
      <c r="I78" s="2284"/>
      <c r="J78" s="2284"/>
      <c r="K78" s="2285"/>
      <c r="L78" s="2238"/>
      <c r="M78" s="2238"/>
      <c r="N78" s="327"/>
      <c r="O78" s="304"/>
      <c r="P78" s="227">
        <f>N78*O78</f>
        <v>0</v>
      </c>
      <c r="Q78" s="2263"/>
      <c r="R78" s="975">
        <f>'Ab3. ASHA'!Q74</f>
        <v>0</v>
      </c>
      <c r="S78" s="1131">
        <f>'Ab3. ASHA'!R74</f>
        <v>0</v>
      </c>
      <c r="T78" s="1132"/>
    </row>
    <row r="79" spans="1:20" x14ac:dyDescent="0.2">
      <c r="A79" s="240">
        <v>2</v>
      </c>
      <c r="B79" s="240"/>
      <c r="C79" s="1141"/>
      <c r="D79" s="1151" t="s">
        <v>4857</v>
      </c>
      <c r="E79" s="886" t="s">
        <v>70</v>
      </c>
      <c r="F79" s="923" t="s">
        <v>2673</v>
      </c>
      <c r="G79" s="241"/>
      <c r="H79" s="241"/>
      <c r="I79" s="241"/>
      <c r="J79" s="241"/>
      <c r="K79" s="241"/>
      <c r="L79" s="241"/>
      <c r="M79" s="304"/>
      <c r="N79" s="327"/>
      <c r="O79" s="304"/>
      <c r="P79" s="227">
        <f t="shared" ref="P79:P84" si="5">N79*O79</f>
        <v>0</v>
      </c>
      <c r="Q79" s="189"/>
      <c r="R79" s="975">
        <f>'Ab3. ASHA'!Q75</f>
        <v>0</v>
      </c>
      <c r="S79" s="1131">
        <f>'Ab3. ASHA'!R75</f>
        <v>0</v>
      </c>
    </row>
    <row r="80" spans="1:20" s="982" customFormat="1" x14ac:dyDescent="0.2">
      <c r="A80" s="441">
        <v>3</v>
      </c>
      <c r="B80" s="441" t="s">
        <v>244</v>
      </c>
      <c r="C80" s="851" t="s">
        <v>245</v>
      </c>
      <c r="D80" s="851" t="s">
        <v>4858</v>
      </c>
      <c r="E80" s="886" t="s">
        <v>70</v>
      </c>
      <c r="F80" s="923" t="s">
        <v>2673</v>
      </c>
      <c r="G80" s="237"/>
      <c r="H80" s="239"/>
      <c r="I80" s="238"/>
      <c r="J80" s="2284"/>
      <c r="K80" s="237"/>
      <c r="L80" s="237"/>
      <c r="M80" s="304"/>
      <c r="N80" s="327"/>
      <c r="O80" s="304"/>
      <c r="P80" s="227">
        <f t="shared" si="5"/>
        <v>0</v>
      </c>
      <c r="Q80" s="189"/>
      <c r="R80" s="975">
        <f>'Ab3. ASHA'!Q76</f>
        <v>0</v>
      </c>
      <c r="S80" s="1131">
        <f>'Ab3. ASHA'!R76</f>
        <v>0</v>
      </c>
      <c r="T80" s="1161"/>
    </row>
    <row r="81" spans="1:20" s="982" customFormat="1" x14ac:dyDescent="0.2">
      <c r="A81" s="441">
        <v>4</v>
      </c>
      <c r="B81" s="441"/>
      <c r="C81" s="851"/>
      <c r="D81" s="851" t="s">
        <v>4859</v>
      </c>
      <c r="E81" s="886" t="s">
        <v>70</v>
      </c>
      <c r="F81" s="923" t="s">
        <v>2673</v>
      </c>
      <c r="G81" s="237"/>
      <c r="H81" s="239"/>
      <c r="I81" s="238"/>
      <c r="J81" s="238"/>
      <c r="K81" s="237"/>
      <c r="L81" s="237"/>
      <c r="M81" s="304"/>
      <c r="N81" s="327"/>
      <c r="O81" s="304"/>
      <c r="P81" s="227">
        <f t="shared" si="5"/>
        <v>0</v>
      </c>
      <c r="Q81" s="189"/>
      <c r="R81" s="975">
        <f>'Ab3. ASHA'!Q77</f>
        <v>0</v>
      </c>
      <c r="S81" s="1131">
        <f>'Ab3. ASHA'!R77</f>
        <v>0</v>
      </c>
      <c r="T81" s="1161"/>
    </row>
    <row r="82" spans="1:20" s="982" customFormat="1" x14ac:dyDescent="0.2">
      <c r="A82" s="441">
        <v>5</v>
      </c>
      <c r="B82" s="441"/>
      <c r="C82" s="851"/>
      <c r="D82" s="851" t="s">
        <v>4860</v>
      </c>
      <c r="E82" s="886" t="s">
        <v>70</v>
      </c>
      <c r="F82" s="923" t="s">
        <v>2673</v>
      </c>
      <c r="G82" s="237"/>
      <c r="H82" s="239"/>
      <c r="I82" s="238"/>
      <c r="J82" s="238"/>
      <c r="K82" s="237"/>
      <c r="L82" s="237"/>
      <c r="M82" s="304"/>
      <c r="N82" s="327"/>
      <c r="O82" s="304"/>
      <c r="P82" s="227">
        <f t="shared" si="5"/>
        <v>0</v>
      </c>
      <c r="Q82" s="189"/>
      <c r="R82" s="975">
        <f>'Ab3. ASHA'!Q78</f>
        <v>0</v>
      </c>
      <c r="S82" s="1131">
        <f>'Ab3. ASHA'!R78</f>
        <v>0</v>
      </c>
      <c r="T82" s="1161"/>
    </row>
    <row r="83" spans="1:20" x14ac:dyDescent="0.2">
      <c r="A83" s="441">
        <v>6</v>
      </c>
      <c r="B83" s="441" t="s">
        <v>239</v>
      </c>
      <c r="C83" s="851" t="s">
        <v>240</v>
      </c>
      <c r="D83" s="851" t="s">
        <v>241</v>
      </c>
      <c r="E83" s="886" t="s">
        <v>70</v>
      </c>
      <c r="F83" s="923" t="s">
        <v>2673</v>
      </c>
      <c r="G83" s="237"/>
      <c r="H83" s="239"/>
      <c r="I83" s="238"/>
      <c r="J83" s="2284"/>
      <c r="K83" s="237"/>
      <c r="L83" s="237"/>
      <c r="M83" s="304"/>
      <c r="N83" s="327"/>
      <c r="O83" s="304"/>
      <c r="P83" s="227">
        <f t="shared" si="5"/>
        <v>0</v>
      </c>
      <c r="Q83" s="189"/>
      <c r="R83" s="975">
        <f>'Ab3. ASHA'!Q79</f>
        <v>0</v>
      </c>
      <c r="S83" s="1131">
        <f>'Ab3. ASHA'!R79</f>
        <v>0</v>
      </c>
      <c r="T83" s="1132"/>
    </row>
    <row r="84" spans="1:20" ht="30" x14ac:dyDescent="0.2">
      <c r="A84" s="441" t="s">
        <v>4359</v>
      </c>
      <c r="B84" s="976" t="s">
        <v>242</v>
      </c>
      <c r="C84" s="851" t="s">
        <v>4861</v>
      </c>
      <c r="D84" s="851" t="s">
        <v>367</v>
      </c>
      <c r="E84" s="886" t="s">
        <v>70</v>
      </c>
      <c r="F84" s="986" t="s">
        <v>2673</v>
      </c>
      <c r="G84" s="2238"/>
      <c r="H84" s="2283"/>
      <c r="I84" s="2284"/>
      <c r="J84" s="2284"/>
      <c r="K84" s="2285"/>
      <c r="L84" s="2238"/>
      <c r="M84" s="2238"/>
      <c r="N84" s="327"/>
      <c r="O84" s="304"/>
      <c r="P84" s="227">
        <f t="shared" si="5"/>
        <v>0</v>
      </c>
      <c r="Q84" s="2395"/>
      <c r="R84" s="975">
        <f>'Ab3. ASHA'!Q80</f>
        <v>0</v>
      </c>
      <c r="S84" s="1131">
        <f>'Ab3. ASHA'!R80</f>
        <v>0</v>
      </c>
      <c r="T84" s="1132"/>
    </row>
    <row r="85" spans="1:20" s="1135" customFormat="1" x14ac:dyDescent="0.25">
      <c r="A85" s="441" t="s">
        <v>4362</v>
      </c>
      <c r="B85" s="441" t="s">
        <v>2563</v>
      </c>
      <c r="C85" s="851"/>
      <c r="D85" s="851" t="s">
        <v>1310</v>
      </c>
      <c r="E85" s="886" t="s">
        <v>70</v>
      </c>
      <c r="F85" s="923" t="s">
        <v>2673</v>
      </c>
      <c r="G85" s="237"/>
      <c r="H85" s="239"/>
      <c r="I85" s="238"/>
      <c r="J85" s="238"/>
      <c r="K85" s="244"/>
      <c r="L85" s="237"/>
      <c r="M85" s="304"/>
      <c r="N85" s="327"/>
      <c r="O85" s="304"/>
      <c r="P85" s="833">
        <f>N85*O85</f>
        <v>0</v>
      </c>
      <c r="Q85" s="189"/>
      <c r="R85" s="975">
        <f>'Ab3. ASHA'!Q81</f>
        <v>0</v>
      </c>
      <c r="S85" s="1131">
        <f>'Ab3. ASHA'!R81</f>
        <v>0</v>
      </c>
      <c r="T85" s="1162"/>
    </row>
    <row r="86" spans="1:20" s="1135" customFormat="1" x14ac:dyDescent="0.25">
      <c r="A86" s="99"/>
      <c r="B86" s="99">
        <v>3.2</v>
      </c>
      <c r="C86" s="1163"/>
      <c r="D86" s="1016" t="s">
        <v>12</v>
      </c>
      <c r="E86" s="907"/>
      <c r="F86" s="907"/>
      <c r="G86" s="235"/>
      <c r="H86" s="235"/>
      <c r="I86" s="738"/>
      <c r="J86" s="738"/>
      <c r="K86" s="738"/>
      <c r="L86" s="235"/>
      <c r="M86" s="235"/>
      <c r="N86" s="738"/>
      <c r="O86" s="166"/>
      <c r="P86" s="738">
        <f>SUM(P89:P91)+P119+P93</f>
        <v>0</v>
      </c>
      <c r="Q86" s="693"/>
      <c r="R86" s="971"/>
      <c r="S86" s="1164">
        <f>SUM(S89:S91)+S119+S93</f>
        <v>0</v>
      </c>
      <c r="T86" s="1162"/>
    </row>
    <row r="87" spans="1:20" s="1168" customFormat="1" x14ac:dyDescent="0.25">
      <c r="A87" s="3880" t="s">
        <v>4868</v>
      </c>
      <c r="B87" s="3880"/>
      <c r="C87" s="3880"/>
      <c r="D87" s="3880"/>
      <c r="E87" s="977" t="s">
        <v>90</v>
      </c>
      <c r="F87" s="1165"/>
      <c r="G87" s="338"/>
      <c r="H87" s="338"/>
      <c r="I87" s="338"/>
      <c r="J87" s="338"/>
      <c r="K87" s="338"/>
      <c r="L87" s="338"/>
      <c r="M87" s="338"/>
      <c r="N87" s="333"/>
      <c r="O87" s="339"/>
      <c r="P87" s="333"/>
      <c r="Q87" s="699"/>
      <c r="R87" s="1144"/>
      <c r="S87" s="1126"/>
      <c r="T87" s="1167"/>
    </row>
    <row r="88" spans="1:20" s="1168" customFormat="1" x14ac:dyDescent="0.25">
      <c r="A88" s="1142" t="s">
        <v>4358</v>
      </c>
      <c r="B88" s="1142"/>
      <c r="C88" s="1118"/>
      <c r="D88" s="1119" t="s">
        <v>4867</v>
      </c>
      <c r="E88" s="977" t="s">
        <v>90</v>
      </c>
      <c r="F88" s="1165"/>
      <c r="G88" s="338"/>
      <c r="H88" s="338"/>
      <c r="I88" s="338"/>
      <c r="J88" s="338"/>
      <c r="K88" s="338"/>
      <c r="L88" s="338"/>
      <c r="M88" s="338"/>
      <c r="N88" s="333"/>
      <c r="O88" s="339"/>
      <c r="P88" s="333">
        <f>P89</f>
        <v>0</v>
      </c>
      <c r="Q88" s="699"/>
      <c r="R88" s="1144"/>
      <c r="S88" s="1126">
        <f>S89</f>
        <v>0</v>
      </c>
      <c r="T88" s="1167"/>
    </row>
    <row r="89" spans="1:20" s="1135" customFormat="1" ht="45" x14ac:dyDescent="0.25">
      <c r="A89" s="976">
        <v>1</v>
      </c>
      <c r="B89" s="976" t="s">
        <v>249</v>
      </c>
      <c r="C89" s="851" t="s">
        <v>250</v>
      </c>
      <c r="D89" s="851" t="s">
        <v>2489</v>
      </c>
      <c r="E89" s="977" t="s">
        <v>90</v>
      </c>
      <c r="F89" s="923" t="s">
        <v>91</v>
      </c>
      <c r="G89" s="237"/>
      <c r="H89" s="237"/>
      <c r="I89" s="237"/>
      <c r="J89" s="237"/>
      <c r="K89" s="237"/>
      <c r="L89" s="237"/>
      <c r="M89" s="304"/>
      <c r="N89" s="327"/>
      <c r="O89" s="304"/>
      <c r="P89" s="227">
        <f>N89*O89</f>
        <v>0</v>
      </c>
      <c r="Q89" s="189"/>
      <c r="R89" s="975">
        <f>'Ab1. RMNCH+A'!Q223</f>
        <v>0</v>
      </c>
      <c r="S89" s="1131">
        <f>'Ab1. RMNCH+A'!R223</f>
        <v>0</v>
      </c>
      <c r="T89" s="1162"/>
    </row>
    <row r="90" spans="1:20" s="1135" customFormat="1" x14ac:dyDescent="0.25">
      <c r="A90" s="1169" t="s">
        <v>4359</v>
      </c>
      <c r="B90" s="1169"/>
      <c r="C90" s="1118"/>
      <c r="D90" s="1119" t="s">
        <v>4862</v>
      </c>
      <c r="E90" s="977" t="s">
        <v>90</v>
      </c>
      <c r="F90" s="1120"/>
      <c r="G90" s="341"/>
      <c r="H90" s="341"/>
      <c r="I90" s="333"/>
      <c r="J90" s="333"/>
      <c r="K90" s="333"/>
      <c r="L90" s="341"/>
      <c r="M90" s="335"/>
      <c r="N90" s="336"/>
      <c r="O90" s="335"/>
      <c r="P90" s="333">
        <f>P91</f>
        <v>0</v>
      </c>
      <c r="Q90" s="696"/>
      <c r="R90" s="1125"/>
      <c r="S90" s="1126">
        <f>S91</f>
        <v>0</v>
      </c>
      <c r="T90" s="1162"/>
    </row>
    <row r="91" spans="1:20" s="1160" customFormat="1" x14ac:dyDescent="0.25">
      <c r="A91" s="976">
        <v>1</v>
      </c>
      <c r="B91" s="976" t="s">
        <v>251</v>
      </c>
      <c r="C91" s="851" t="s">
        <v>252</v>
      </c>
      <c r="D91" s="851" t="s">
        <v>253</v>
      </c>
      <c r="E91" s="977" t="s">
        <v>90</v>
      </c>
      <c r="F91" s="923" t="s">
        <v>193</v>
      </c>
      <c r="G91" s="2238"/>
      <c r="H91" s="2283"/>
      <c r="I91" s="2275"/>
      <c r="J91" s="2276"/>
      <c r="K91" s="2399"/>
      <c r="L91" s="2238"/>
      <c r="M91" s="2238"/>
      <c r="N91" s="327"/>
      <c r="O91" s="304"/>
      <c r="P91" s="227">
        <f>N91*O91</f>
        <v>0</v>
      </c>
      <c r="Q91" s="2277"/>
      <c r="R91" s="975">
        <f>'Ab1. RMNCH+A'!Q301</f>
        <v>0</v>
      </c>
      <c r="S91" s="1131">
        <f>'Ab1. RMNCH+A'!R301</f>
        <v>0</v>
      </c>
      <c r="T91" s="1162"/>
    </row>
    <row r="92" spans="1:20" s="1168" customFormat="1" x14ac:dyDescent="0.25">
      <c r="A92" s="3880" t="s">
        <v>4869</v>
      </c>
      <c r="B92" s="3880"/>
      <c r="C92" s="3880"/>
      <c r="D92" s="3880"/>
      <c r="E92" s="977" t="s">
        <v>90</v>
      </c>
      <c r="F92" s="1165"/>
      <c r="G92" s="338"/>
      <c r="H92" s="338"/>
      <c r="I92" s="338"/>
      <c r="J92" s="338"/>
      <c r="K92" s="338"/>
      <c r="L92" s="338"/>
      <c r="M92" s="338"/>
      <c r="N92" s="333"/>
      <c r="O92" s="339"/>
      <c r="P92" s="333"/>
      <c r="Q92" s="699"/>
      <c r="R92" s="1144"/>
      <c r="S92" s="1126"/>
      <c r="T92" s="1167"/>
    </row>
    <row r="93" spans="1:20" s="1128" customFormat="1" x14ac:dyDescent="0.2">
      <c r="A93" s="1117" t="s">
        <v>4358</v>
      </c>
      <c r="B93" s="1117" t="s">
        <v>265</v>
      </c>
      <c r="C93" s="1118"/>
      <c r="D93" s="1119" t="s">
        <v>4877</v>
      </c>
      <c r="E93" s="980" t="s">
        <v>4366</v>
      </c>
      <c r="F93" s="1120"/>
      <c r="G93" s="331"/>
      <c r="H93" s="331"/>
      <c r="I93" s="333"/>
      <c r="J93" s="333"/>
      <c r="K93" s="333"/>
      <c r="L93" s="331"/>
      <c r="M93" s="331"/>
      <c r="N93" s="1122"/>
      <c r="O93" s="332"/>
      <c r="P93" s="333">
        <f>P94+P101</f>
        <v>0</v>
      </c>
      <c r="Q93" s="696"/>
      <c r="R93" s="1125"/>
      <c r="S93" s="1126">
        <f>S94+S101</f>
        <v>0</v>
      </c>
      <c r="T93" s="1127"/>
    </row>
    <row r="94" spans="1:20" s="1128" customFormat="1" x14ac:dyDescent="0.2">
      <c r="A94" s="1117"/>
      <c r="B94" s="1117" t="s">
        <v>266</v>
      </c>
      <c r="C94" s="1117" t="s">
        <v>267</v>
      </c>
      <c r="D94" s="1117" t="s">
        <v>2772</v>
      </c>
      <c r="E94" s="980" t="s">
        <v>4366</v>
      </c>
      <c r="F94" s="1123"/>
      <c r="G94" s="332"/>
      <c r="H94" s="332"/>
      <c r="I94" s="333"/>
      <c r="J94" s="333"/>
      <c r="K94" s="333"/>
      <c r="L94" s="332"/>
      <c r="M94" s="332"/>
      <c r="N94" s="333"/>
      <c r="O94" s="332"/>
      <c r="P94" s="333">
        <f>SUM(P95:P100)</f>
        <v>0</v>
      </c>
      <c r="Q94" s="697"/>
      <c r="R94" s="1144"/>
      <c r="S94" s="1126">
        <f>SUM(S95:S100)</f>
        <v>0</v>
      </c>
      <c r="T94" s="1127"/>
    </row>
    <row r="95" spans="1:20" s="1128" customFormat="1" x14ac:dyDescent="0.2">
      <c r="A95" s="1170">
        <v>1</v>
      </c>
      <c r="B95" s="1171" t="s">
        <v>2780</v>
      </c>
      <c r="C95" s="1172" t="s">
        <v>269</v>
      </c>
      <c r="D95" s="1172" t="s">
        <v>2773</v>
      </c>
      <c r="E95" s="980" t="s">
        <v>4366</v>
      </c>
      <c r="F95" s="986" t="s">
        <v>4829</v>
      </c>
      <c r="G95" s="2238"/>
      <c r="H95" s="2414"/>
      <c r="I95" s="2235"/>
      <c r="J95" s="2235"/>
      <c r="K95" s="2235"/>
      <c r="L95" s="2238"/>
      <c r="M95" s="2238"/>
      <c r="N95" s="328"/>
      <c r="O95" s="2238"/>
      <c r="P95" s="229">
        <f t="shared" ref="P95:P100" si="6">N95*O95</f>
        <v>0</v>
      </c>
      <c r="Q95" s="2263"/>
      <c r="R95" s="975">
        <f>'Abs9. NVBDCP'!Q22</f>
        <v>0</v>
      </c>
      <c r="S95" s="1173">
        <f>'Abs9. NVBDCP'!R22</f>
        <v>0</v>
      </c>
      <c r="T95" s="1127"/>
    </row>
    <row r="96" spans="1:20" s="1128" customFormat="1" x14ac:dyDescent="0.2">
      <c r="A96" s="1170">
        <v>2</v>
      </c>
      <c r="B96" s="1171" t="s">
        <v>2781</v>
      </c>
      <c r="C96" s="1172" t="s">
        <v>271</v>
      </c>
      <c r="D96" s="1172" t="s">
        <v>272</v>
      </c>
      <c r="E96" s="980" t="s">
        <v>4366</v>
      </c>
      <c r="F96" s="986" t="s">
        <v>4829</v>
      </c>
      <c r="G96" s="2235"/>
      <c r="H96" s="2414"/>
      <c r="I96" s="2235"/>
      <c r="J96" s="2415"/>
      <c r="K96" s="2235"/>
      <c r="L96" s="2238"/>
      <c r="M96" s="2235"/>
      <c r="N96" s="328"/>
      <c r="O96" s="2235"/>
      <c r="P96" s="229">
        <f t="shared" si="6"/>
        <v>0</v>
      </c>
      <c r="Q96" s="2263"/>
      <c r="R96" s="975">
        <f>'Abs9. NVBDCP'!Q23</f>
        <v>0</v>
      </c>
      <c r="S96" s="1173">
        <f>'Abs9. NVBDCP'!R23</f>
        <v>0</v>
      </c>
      <c r="T96" s="1127"/>
    </row>
    <row r="97" spans="1:20" s="1128" customFormat="1" ht="30" x14ac:dyDescent="0.2">
      <c r="A97" s="1170">
        <v>3</v>
      </c>
      <c r="B97" s="1171" t="s">
        <v>2782</v>
      </c>
      <c r="C97" s="1172" t="s">
        <v>273</v>
      </c>
      <c r="D97" s="1172" t="s">
        <v>2774</v>
      </c>
      <c r="E97" s="980" t="s">
        <v>4366</v>
      </c>
      <c r="F97" s="986" t="s">
        <v>4829</v>
      </c>
      <c r="G97" s="2238"/>
      <c r="H97" s="2414"/>
      <c r="I97" s="2235"/>
      <c r="J97" s="2235"/>
      <c r="K97" s="2235"/>
      <c r="L97" s="2235"/>
      <c r="M97" s="2235"/>
      <c r="N97" s="328"/>
      <c r="O97" s="304"/>
      <c r="P97" s="229">
        <f t="shared" si="6"/>
        <v>0</v>
      </c>
      <c r="Q97" s="189"/>
      <c r="R97" s="975">
        <f>'Abs9. NVBDCP'!Q24</f>
        <v>0</v>
      </c>
      <c r="S97" s="1173">
        <f>'Abs9. NVBDCP'!R24</f>
        <v>0</v>
      </c>
      <c r="T97" s="1127"/>
    </row>
    <row r="98" spans="1:20" s="1128" customFormat="1" x14ac:dyDescent="0.2">
      <c r="A98" s="1170">
        <v>4</v>
      </c>
      <c r="B98" s="1171" t="s">
        <v>2783</v>
      </c>
      <c r="C98" s="1172" t="s">
        <v>274</v>
      </c>
      <c r="D98" s="1172" t="s">
        <v>275</v>
      </c>
      <c r="E98" s="980" t="s">
        <v>4366</v>
      </c>
      <c r="F98" s="986" t="s">
        <v>4829</v>
      </c>
      <c r="G98" s="2238"/>
      <c r="H98" s="2414"/>
      <c r="I98" s="2235"/>
      <c r="J98" s="2235"/>
      <c r="K98" s="2235"/>
      <c r="L98" s="2235"/>
      <c r="M98" s="2235"/>
      <c r="N98" s="328"/>
      <c r="O98" s="304"/>
      <c r="P98" s="229">
        <f t="shared" si="6"/>
        <v>0</v>
      </c>
      <c r="Q98" s="189"/>
      <c r="R98" s="975">
        <f>'Abs9. NVBDCP'!Q25</f>
        <v>0</v>
      </c>
      <c r="S98" s="1173">
        <f>'Abs9. NVBDCP'!R25</f>
        <v>0</v>
      </c>
      <c r="T98" s="1127"/>
    </row>
    <row r="99" spans="1:20" s="1128" customFormat="1" x14ac:dyDescent="0.2">
      <c r="A99" s="1170">
        <v>5</v>
      </c>
      <c r="B99" s="1171" t="s">
        <v>2784</v>
      </c>
      <c r="C99" s="1172" t="s">
        <v>276</v>
      </c>
      <c r="D99" s="1172" t="s">
        <v>277</v>
      </c>
      <c r="E99" s="980" t="s">
        <v>4366</v>
      </c>
      <c r="F99" s="986" t="s">
        <v>4829</v>
      </c>
      <c r="G99" s="2238"/>
      <c r="H99" s="2414"/>
      <c r="I99" s="2235"/>
      <c r="J99" s="2235"/>
      <c r="K99" s="2235"/>
      <c r="L99" s="2238"/>
      <c r="M99" s="2235"/>
      <c r="N99" s="328"/>
      <c r="O99" s="304"/>
      <c r="P99" s="229">
        <f t="shared" si="6"/>
        <v>0</v>
      </c>
      <c r="Q99" s="2263"/>
      <c r="R99" s="975">
        <f>'Abs9. NVBDCP'!Q26</f>
        <v>0</v>
      </c>
      <c r="S99" s="1173">
        <f>'Abs9. NVBDCP'!R26</f>
        <v>0</v>
      </c>
      <c r="T99" s="1127"/>
    </row>
    <row r="100" spans="1:20" s="1128" customFormat="1" ht="30" x14ac:dyDescent="0.2">
      <c r="A100" s="1170">
        <v>6</v>
      </c>
      <c r="B100" s="1171" t="s">
        <v>4450</v>
      </c>
      <c r="C100" s="1172"/>
      <c r="D100" s="1172" t="s">
        <v>4451</v>
      </c>
      <c r="E100" s="980" t="s">
        <v>4366</v>
      </c>
      <c r="F100" s="986" t="s">
        <v>4829</v>
      </c>
      <c r="G100" s="2279"/>
      <c r="H100" s="2379"/>
      <c r="I100" s="2415"/>
      <c r="J100" s="2415"/>
      <c r="K100" s="2415"/>
      <c r="L100" s="2415"/>
      <c r="M100" s="2415"/>
      <c r="N100" s="328"/>
      <c r="O100" s="304"/>
      <c r="P100" s="229">
        <f t="shared" si="6"/>
        <v>0</v>
      </c>
      <c r="Q100" s="189"/>
      <c r="R100" s="975">
        <f>'Abs9. NVBDCP'!Q27</f>
        <v>0</v>
      </c>
      <c r="S100" s="1173">
        <f>'Abs9. NVBDCP'!R27</f>
        <v>0</v>
      </c>
      <c r="T100" s="1127"/>
    </row>
    <row r="101" spans="1:20" s="1128" customFormat="1" x14ac:dyDescent="0.2">
      <c r="A101" s="1117"/>
      <c r="B101" s="1117" t="s">
        <v>268</v>
      </c>
      <c r="C101" s="1117" t="s">
        <v>267</v>
      </c>
      <c r="D101" s="1117" t="s">
        <v>2775</v>
      </c>
      <c r="E101" s="980" t="s">
        <v>4366</v>
      </c>
      <c r="F101" s="1123"/>
      <c r="G101" s="332"/>
      <c r="H101" s="332"/>
      <c r="I101" s="333"/>
      <c r="J101" s="333"/>
      <c r="K101" s="333"/>
      <c r="L101" s="332"/>
      <c r="M101" s="332"/>
      <c r="N101" s="333"/>
      <c r="O101" s="332"/>
      <c r="P101" s="333">
        <f>SUM(P102:P105)</f>
        <v>0</v>
      </c>
      <c r="Q101" s="697"/>
      <c r="R101" s="1144"/>
      <c r="S101" s="1126">
        <f>SUM(S102:S105)</f>
        <v>0</v>
      </c>
      <c r="T101" s="1127"/>
    </row>
    <row r="102" spans="1:20" s="1128" customFormat="1" ht="99" customHeight="1" x14ac:dyDescent="0.2">
      <c r="A102" s="1170">
        <v>7</v>
      </c>
      <c r="B102" s="1171" t="s">
        <v>2785</v>
      </c>
      <c r="C102" s="1172" t="s">
        <v>278</v>
      </c>
      <c r="D102" s="1172" t="s">
        <v>2776</v>
      </c>
      <c r="E102" s="980" t="s">
        <v>4366</v>
      </c>
      <c r="F102" s="986" t="s">
        <v>4981</v>
      </c>
      <c r="G102" s="2238"/>
      <c r="H102" s="2416"/>
      <c r="I102" s="2275"/>
      <c r="J102" s="2276"/>
      <c r="K102" s="2235"/>
      <c r="L102" s="2238"/>
      <c r="M102" s="2238"/>
      <c r="N102" s="328"/>
      <c r="O102" s="2238"/>
      <c r="P102" s="229">
        <f>N102*O102</f>
        <v>0</v>
      </c>
      <c r="Q102" s="3253"/>
      <c r="R102" s="975">
        <f>'Abs9. NVBDCP'!Q28</f>
        <v>0</v>
      </c>
      <c r="S102" s="1173">
        <f>'Abs9. NVBDCP'!R28</f>
        <v>0</v>
      </c>
      <c r="T102" s="1127"/>
    </row>
    <row r="103" spans="1:20" s="1128" customFormat="1" ht="30" x14ac:dyDescent="0.2">
      <c r="A103" s="1170">
        <v>8</v>
      </c>
      <c r="B103" s="1171" t="s">
        <v>2786</v>
      </c>
      <c r="C103" s="1172" t="s">
        <v>279</v>
      </c>
      <c r="D103" s="1172" t="s">
        <v>2777</v>
      </c>
      <c r="E103" s="980" t="s">
        <v>4366</v>
      </c>
      <c r="F103" s="986" t="s">
        <v>4982</v>
      </c>
      <c r="G103" s="2238"/>
      <c r="H103" s="2414"/>
      <c r="I103" s="2238"/>
      <c r="J103" s="2279"/>
      <c r="K103" s="2235"/>
      <c r="L103" s="2238"/>
      <c r="M103" s="2238"/>
      <c r="N103" s="328"/>
      <c r="O103" s="2238"/>
      <c r="P103" s="229">
        <f>N103*O103</f>
        <v>0</v>
      </c>
      <c r="Q103" s="2263"/>
      <c r="R103" s="975">
        <f>'Abs9. NVBDCP'!Q29</f>
        <v>0</v>
      </c>
      <c r="S103" s="1173">
        <f>'Abs9. NVBDCP'!R29</f>
        <v>0</v>
      </c>
      <c r="T103" s="1127"/>
    </row>
    <row r="104" spans="1:20" s="1128" customFormat="1" x14ac:dyDescent="0.2">
      <c r="A104" s="1170">
        <v>9</v>
      </c>
      <c r="B104" s="1171" t="s">
        <v>2787</v>
      </c>
      <c r="C104" s="1172" t="s">
        <v>280</v>
      </c>
      <c r="D104" s="1172" t="s">
        <v>2778</v>
      </c>
      <c r="E104" s="980" t="s">
        <v>4366</v>
      </c>
      <c r="F104" s="986" t="s">
        <v>4984</v>
      </c>
      <c r="G104" s="253"/>
      <c r="H104" s="253"/>
      <c r="I104" s="253"/>
      <c r="J104" s="253"/>
      <c r="K104" s="253"/>
      <c r="L104" s="253"/>
      <c r="M104" s="304"/>
      <c r="N104" s="328"/>
      <c r="O104" s="304"/>
      <c r="P104" s="229">
        <f>N104*O104</f>
        <v>0</v>
      </c>
      <c r="Q104" s="189"/>
      <c r="R104" s="975">
        <f>'Abs9. NVBDCP'!Q30</f>
        <v>0</v>
      </c>
      <c r="S104" s="1173">
        <f>'Abs9. NVBDCP'!R30</f>
        <v>0</v>
      </c>
      <c r="T104" s="1127"/>
    </row>
    <row r="105" spans="1:20" s="1128" customFormat="1" x14ac:dyDescent="0.2">
      <c r="A105" s="1170">
        <v>10</v>
      </c>
      <c r="B105" s="1171" t="s">
        <v>2788</v>
      </c>
      <c r="C105" s="1172" t="s">
        <v>281</v>
      </c>
      <c r="D105" s="1172" t="s">
        <v>2779</v>
      </c>
      <c r="E105" s="980" t="s">
        <v>4366</v>
      </c>
      <c r="F105" s="986" t="s">
        <v>4984</v>
      </c>
      <c r="G105" s="253"/>
      <c r="H105" s="253"/>
      <c r="I105" s="253"/>
      <c r="J105" s="253"/>
      <c r="K105" s="253"/>
      <c r="L105" s="253"/>
      <c r="M105" s="304"/>
      <c r="N105" s="328"/>
      <c r="O105" s="304"/>
      <c r="P105" s="229">
        <f>N105*O105</f>
        <v>0</v>
      </c>
      <c r="Q105" s="189"/>
      <c r="R105" s="975">
        <f>'Abs9. NVBDCP'!Q31</f>
        <v>0</v>
      </c>
      <c r="S105" s="1173">
        <f>'Abs9. NVBDCP'!R31</f>
        <v>0</v>
      </c>
      <c r="T105" s="1127"/>
    </row>
    <row r="106" spans="1:20" s="1175" customFormat="1" x14ac:dyDescent="0.2">
      <c r="A106" s="1142" t="s">
        <v>4359</v>
      </c>
      <c r="B106" s="1142" t="s">
        <v>4017</v>
      </c>
      <c r="C106" s="1142" t="s">
        <v>2355</v>
      </c>
      <c r="D106" s="1142" t="s">
        <v>4863</v>
      </c>
      <c r="E106" s="980" t="s">
        <v>4366</v>
      </c>
      <c r="F106" s="1123" t="s">
        <v>4683</v>
      </c>
      <c r="G106" s="342"/>
      <c r="H106" s="343"/>
      <c r="I106" s="333"/>
      <c r="J106" s="333"/>
      <c r="K106" s="333"/>
      <c r="L106" s="342"/>
      <c r="M106" s="342"/>
      <c r="N106" s="333"/>
      <c r="O106" s="332"/>
      <c r="P106" s="333">
        <f>SUM(P107:P111)</f>
        <v>0</v>
      </c>
      <c r="Q106" s="697"/>
      <c r="R106" s="1144"/>
      <c r="S106" s="1126">
        <f>SUM(S107:S111)</f>
        <v>0</v>
      </c>
      <c r="T106" s="1174"/>
    </row>
    <row r="107" spans="1:20" x14ac:dyDescent="0.2">
      <c r="A107" s="441">
        <v>1</v>
      </c>
      <c r="B107" s="441" t="s">
        <v>4076</v>
      </c>
      <c r="C107" s="441" t="s">
        <v>4385</v>
      </c>
      <c r="D107" s="441" t="s">
        <v>4383</v>
      </c>
      <c r="E107" s="980" t="s">
        <v>4366</v>
      </c>
      <c r="F107" s="923" t="s">
        <v>4683</v>
      </c>
      <c r="G107" s="2238"/>
      <c r="H107" s="2283"/>
      <c r="I107" s="2275"/>
      <c r="J107" s="2276"/>
      <c r="K107" s="2238"/>
      <c r="L107" s="2238"/>
      <c r="M107" s="2238"/>
      <c r="N107" s="327"/>
      <c r="O107" s="2238"/>
      <c r="P107" s="227">
        <f t="shared" ref="P107:P114" si="7">N107*O107</f>
        <v>0</v>
      </c>
      <c r="Q107" s="2277"/>
      <c r="R107" s="975">
        <f>'Abs11. NTEP'!Q13</f>
        <v>0</v>
      </c>
      <c r="S107" s="1176">
        <f>'Abs11. NTEP'!R13</f>
        <v>0</v>
      </c>
      <c r="T107" s="1132"/>
    </row>
    <row r="108" spans="1:20" x14ac:dyDescent="0.2">
      <c r="A108" s="441">
        <v>2</v>
      </c>
      <c r="B108" s="441" t="s">
        <v>4077</v>
      </c>
      <c r="C108" s="441" t="s">
        <v>4386</v>
      </c>
      <c r="D108" s="441" t="s">
        <v>4384</v>
      </c>
      <c r="E108" s="980" t="s">
        <v>4366</v>
      </c>
      <c r="F108" s="923" t="s">
        <v>4683</v>
      </c>
      <c r="G108" s="2238"/>
      <c r="H108" s="2283"/>
      <c r="I108" s="2275"/>
      <c r="J108" s="2275"/>
      <c r="K108" s="2238"/>
      <c r="L108" s="2238"/>
      <c r="M108" s="2238"/>
      <c r="N108" s="327"/>
      <c r="O108" s="2238"/>
      <c r="P108" s="227">
        <f t="shared" si="7"/>
        <v>0</v>
      </c>
      <c r="Q108" s="2277"/>
      <c r="R108" s="975">
        <f>'Abs11. NTEP'!Q14</f>
        <v>0</v>
      </c>
      <c r="S108" s="1176">
        <f>'Abs11. NTEP'!R14</f>
        <v>0</v>
      </c>
      <c r="T108" s="1132"/>
    </row>
    <row r="109" spans="1:20" x14ac:dyDescent="0.2">
      <c r="A109" s="441">
        <v>3</v>
      </c>
      <c r="B109" s="441" t="s">
        <v>4556</v>
      </c>
      <c r="C109" s="441"/>
      <c r="D109" s="441" t="s">
        <v>4557</v>
      </c>
      <c r="E109" s="980" t="s">
        <v>4366</v>
      </c>
      <c r="F109" s="923" t="s">
        <v>4683</v>
      </c>
      <c r="G109" s="2238"/>
      <c r="H109" s="2283"/>
      <c r="I109" s="2275"/>
      <c r="J109" s="2275"/>
      <c r="K109" s="2238"/>
      <c r="L109" s="2238"/>
      <c r="M109" s="2238"/>
      <c r="N109" s="327"/>
      <c r="O109" s="2238"/>
      <c r="P109" s="227">
        <f t="shared" si="7"/>
        <v>0</v>
      </c>
      <c r="Q109" s="2277"/>
      <c r="R109" s="975">
        <f>'Abs11. NTEP'!Q15</f>
        <v>0</v>
      </c>
      <c r="S109" s="1176">
        <f>'Abs11. NTEP'!R15</f>
        <v>0</v>
      </c>
      <c r="T109" s="1132"/>
    </row>
    <row r="110" spans="1:20" x14ac:dyDescent="0.2">
      <c r="A110" s="1171">
        <v>4</v>
      </c>
      <c r="B110" s="1171" t="s">
        <v>4511</v>
      </c>
      <c r="C110" s="1172"/>
      <c r="D110" s="1172" t="s">
        <v>4512</v>
      </c>
      <c r="E110" s="980" t="s">
        <v>4366</v>
      </c>
      <c r="F110" s="986" t="s">
        <v>4683</v>
      </c>
      <c r="G110" s="253"/>
      <c r="H110" s="253"/>
      <c r="I110" s="253"/>
      <c r="J110" s="253"/>
      <c r="K110" s="253"/>
      <c r="L110" s="3016"/>
      <c r="M110" s="3017"/>
      <c r="N110" s="3018"/>
      <c r="O110" s="304"/>
      <c r="P110" s="229">
        <f>N110*O110</f>
        <v>0</v>
      </c>
      <c r="Q110" s="2836"/>
      <c r="R110" s="975">
        <f>'Abs11. NTEP'!Q16</f>
        <v>0</v>
      </c>
      <c r="S110" s="975">
        <f>'Abs11. NTEP'!R16</f>
        <v>0</v>
      </c>
      <c r="T110" s="1132"/>
    </row>
    <row r="111" spans="1:20" x14ac:dyDescent="0.2">
      <c r="A111" s="1171">
        <v>5</v>
      </c>
      <c r="B111" s="1171" t="s">
        <v>4513</v>
      </c>
      <c r="C111" s="1172"/>
      <c r="D111" s="1172" t="s">
        <v>4514</v>
      </c>
      <c r="E111" s="980" t="s">
        <v>4366</v>
      </c>
      <c r="F111" s="986" t="s">
        <v>4683</v>
      </c>
      <c r="G111" s="253"/>
      <c r="H111" s="253"/>
      <c r="I111" s="2837"/>
      <c r="J111" s="253"/>
      <c r="K111" s="253"/>
      <c r="L111" s="2238"/>
      <c r="M111" s="3017"/>
      <c r="N111" s="3018"/>
      <c r="O111" s="304"/>
      <c r="P111" s="229">
        <f>N111*O111</f>
        <v>0</v>
      </c>
      <c r="Q111" s="2836"/>
      <c r="R111" s="975">
        <f>'Abs11. NTEP'!Q17</f>
        <v>0</v>
      </c>
      <c r="S111" s="975">
        <f>'Abs11. NTEP'!R17</f>
        <v>0</v>
      </c>
      <c r="T111" s="1132"/>
    </row>
    <row r="112" spans="1:20" x14ac:dyDescent="0.2">
      <c r="A112" s="1142" t="s">
        <v>4362</v>
      </c>
      <c r="B112" s="1142"/>
      <c r="C112" s="1142"/>
      <c r="D112" s="1142" t="s">
        <v>4866</v>
      </c>
      <c r="E112" s="980" t="s">
        <v>4366</v>
      </c>
      <c r="F112" s="1120"/>
      <c r="G112" s="341"/>
      <c r="H112" s="344"/>
      <c r="I112" s="345"/>
      <c r="J112" s="345"/>
      <c r="K112" s="341"/>
      <c r="L112" s="341"/>
      <c r="M112" s="335"/>
      <c r="N112" s="336"/>
      <c r="O112" s="335"/>
      <c r="P112" s="333">
        <f>SUM(P113:P114)</f>
        <v>0</v>
      </c>
      <c r="Q112" s="697"/>
      <c r="R112" s="1144"/>
      <c r="S112" s="1126">
        <f>SUM(S113:S114)</f>
        <v>0</v>
      </c>
      <c r="T112" s="1132"/>
    </row>
    <row r="113" spans="1:20" x14ac:dyDescent="0.2">
      <c r="A113" s="976">
        <v>1</v>
      </c>
      <c r="B113" s="976" t="s">
        <v>4018</v>
      </c>
      <c r="C113" s="976"/>
      <c r="D113" s="1043" t="s">
        <v>3875</v>
      </c>
      <c r="E113" s="980" t="s">
        <v>4366</v>
      </c>
      <c r="F113" s="986" t="s">
        <v>3323</v>
      </c>
      <c r="G113" s="245"/>
      <c r="H113" s="246"/>
      <c r="I113" s="247"/>
      <c r="J113" s="247"/>
      <c r="K113" s="245"/>
      <c r="L113" s="3010"/>
      <c r="M113" s="304"/>
      <c r="N113" s="327"/>
      <c r="O113" s="304"/>
      <c r="P113" s="229">
        <f t="shared" si="7"/>
        <v>0</v>
      </c>
      <c r="Q113" s="2868"/>
      <c r="R113" s="975">
        <f>'Abs12. NVHCP'!Q15</f>
        <v>0</v>
      </c>
      <c r="S113" s="975">
        <f>'Abs12. NVHCP'!R15</f>
        <v>0</v>
      </c>
      <c r="T113" s="1132"/>
    </row>
    <row r="114" spans="1:20" ht="30" x14ac:dyDescent="0.2">
      <c r="A114" s="441">
        <v>2</v>
      </c>
      <c r="B114" s="441" t="s">
        <v>4019</v>
      </c>
      <c r="C114" s="441"/>
      <c r="D114" s="851" t="s">
        <v>4368</v>
      </c>
      <c r="E114" s="980" t="s">
        <v>4366</v>
      </c>
      <c r="F114" s="923" t="s">
        <v>3323</v>
      </c>
      <c r="G114" s="237"/>
      <c r="H114" s="239"/>
      <c r="I114" s="238"/>
      <c r="J114" s="238"/>
      <c r="K114" s="237"/>
      <c r="L114" s="237"/>
      <c r="M114" s="304"/>
      <c r="N114" s="327"/>
      <c r="O114" s="304"/>
      <c r="P114" s="227">
        <f t="shared" si="7"/>
        <v>0</v>
      </c>
      <c r="Q114" s="189"/>
      <c r="R114" s="975">
        <f>'Abs12. NVHCP'!Q16</f>
        <v>0</v>
      </c>
      <c r="S114" s="975">
        <f>'Abs12. NVHCP'!R16</f>
        <v>0</v>
      </c>
      <c r="T114" s="1132"/>
    </row>
    <row r="115" spans="1:20" x14ac:dyDescent="0.2">
      <c r="A115" s="3880" t="s">
        <v>4879</v>
      </c>
      <c r="B115" s="3880"/>
      <c r="C115" s="3880"/>
      <c r="D115" s="3880"/>
      <c r="E115" s="1123" t="s">
        <v>85</v>
      </c>
      <c r="F115" s="1120"/>
      <c r="G115" s="331"/>
      <c r="H115" s="331"/>
      <c r="I115" s="331"/>
      <c r="J115" s="331"/>
      <c r="K115" s="331"/>
      <c r="L115" s="331"/>
      <c r="M115" s="331"/>
      <c r="N115" s="1122"/>
      <c r="O115" s="1185"/>
      <c r="P115" s="1122"/>
      <c r="Q115" s="696"/>
      <c r="R115" s="1125"/>
      <c r="S115" s="1125"/>
    </row>
    <row r="116" spans="1:20" x14ac:dyDescent="0.2">
      <c r="A116" s="1142" t="s">
        <v>4358</v>
      </c>
      <c r="B116" s="1142"/>
      <c r="C116" s="1142"/>
      <c r="D116" s="1142" t="s">
        <v>4880</v>
      </c>
      <c r="E116" s="1123" t="s">
        <v>85</v>
      </c>
      <c r="F116" s="1120"/>
      <c r="G116" s="331"/>
      <c r="H116" s="331"/>
      <c r="I116" s="331"/>
      <c r="J116" s="331"/>
      <c r="K116" s="331"/>
      <c r="L116" s="331"/>
      <c r="M116" s="331"/>
      <c r="N116" s="1122"/>
      <c r="O116" s="1185"/>
      <c r="P116" s="333">
        <f>P117</f>
        <v>0</v>
      </c>
      <c r="Q116" s="697"/>
      <c r="R116" s="1144"/>
      <c r="S116" s="1126">
        <f>S117</f>
        <v>0</v>
      </c>
    </row>
    <row r="117" spans="1:20" s="1128" customFormat="1" ht="30" x14ac:dyDescent="0.2">
      <c r="A117" s="1171">
        <v>1</v>
      </c>
      <c r="B117" s="1171" t="s">
        <v>270</v>
      </c>
      <c r="C117" s="248" t="s">
        <v>149</v>
      </c>
      <c r="D117" s="248" t="s">
        <v>2771</v>
      </c>
      <c r="E117" s="1177" t="s">
        <v>85</v>
      </c>
      <c r="F117" s="986" t="s">
        <v>150</v>
      </c>
      <c r="G117" s="251"/>
      <c r="H117" s="251"/>
      <c r="I117" s="251"/>
      <c r="J117" s="2417"/>
      <c r="K117" s="251"/>
      <c r="L117" s="251"/>
      <c r="M117" s="304"/>
      <c r="N117" s="328"/>
      <c r="O117" s="304"/>
      <c r="P117" s="229">
        <f>N117*O117</f>
        <v>0</v>
      </c>
      <c r="Q117" s="189"/>
      <c r="R117" s="975">
        <f>'Abs16. NMHP'!Q9</f>
        <v>0</v>
      </c>
      <c r="S117" s="1176">
        <f>'Abs16. NMHP'!R9</f>
        <v>0</v>
      </c>
      <c r="T117" s="1127"/>
    </row>
    <row r="118" spans="1:20" x14ac:dyDescent="0.2">
      <c r="A118" s="3880" t="s">
        <v>4876</v>
      </c>
      <c r="B118" s="3880"/>
      <c r="C118" s="3880"/>
      <c r="D118" s="3880"/>
      <c r="E118" s="886" t="s">
        <v>70</v>
      </c>
      <c r="F118" s="1120"/>
      <c r="G118" s="341"/>
      <c r="H118" s="344"/>
      <c r="I118" s="345"/>
      <c r="J118" s="345"/>
      <c r="K118" s="341"/>
      <c r="L118" s="341"/>
      <c r="M118" s="335"/>
      <c r="N118" s="336"/>
      <c r="O118" s="335"/>
      <c r="P118" s="1122"/>
      <c r="Q118" s="696"/>
      <c r="R118" s="1125"/>
      <c r="S118" s="1125"/>
      <c r="T118" s="1132"/>
    </row>
    <row r="119" spans="1:20" ht="30" x14ac:dyDescent="0.2">
      <c r="A119" s="848"/>
      <c r="B119" s="848" t="s">
        <v>2564</v>
      </c>
      <c r="C119" s="1159" t="s">
        <v>255</v>
      </c>
      <c r="D119" s="1024" t="s">
        <v>256</v>
      </c>
      <c r="E119" s="886" t="s">
        <v>70</v>
      </c>
      <c r="F119" s="973"/>
      <c r="G119" s="236"/>
      <c r="H119" s="236"/>
      <c r="I119" s="226"/>
      <c r="J119" s="226"/>
      <c r="K119" s="226"/>
      <c r="L119" s="236"/>
      <c r="M119" s="236"/>
      <c r="N119" s="1145"/>
      <c r="O119" s="168"/>
      <c r="P119" s="226">
        <f>SUM(P120:P123)</f>
        <v>0</v>
      </c>
      <c r="Q119" s="698"/>
      <c r="R119" s="1115"/>
      <c r="S119" s="974">
        <f>SUM(S120:S123)</f>
        <v>0</v>
      </c>
      <c r="T119" s="1132"/>
    </row>
    <row r="120" spans="1:20" x14ac:dyDescent="0.2">
      <c r="A120" s="240">
        <v>1</v>
      </c>
      <c r="B120" s="240" t="s">
        <v>2565</v>
      </c>
      <c r="C120" s="851" t="s">
        <v>257</v>
      </c>
      <c r="D120" s="851" t="s">
        <v>258</v>
      </c>
      <c r="E120" s="886" t="s">
        <v>70</v>
      </c>
      <c r="F120" s="923" t="s">
        <v>70</v>
      </c>
      <c r="G120" s="262"/>
      <c r="H120" s="262"/>
      <c r="I120" s="263"/>
      <c r="J120" s="262"/>
      <c r="K120" s="262"/>
      <c r="L120" s="262"/>
      <c r="M120" s="304"/>
      <c r="N120" s="327"/>
      <c r="O120" s="304"/>
      <c r="P120" s="227">
        <f>N120*O120</f>
        <v>0</v>
      </c>
      <c r="Q120" s="189"/>
      <c r="R120" s="987"/>
      <c r="S120" s="1190"/>
      <c r="T120" s="1132"/>
    </row>
    <row r="121" spans="1:20" x14ac:dyDescent="0.2">
      <c r="A121" s="240">
        <v>2</v>
      </c>
      <c r="B121" s="240" t="s">
        <v>2566</v>
      </c>
      <c r="C121" s="851" t="s">
        <v>259</v>
      </c>
      <c r="D121" s="851" t="s">
        <v>260</v>
      </c>
      <c r="E121" s="886" t="s">
        <v>70</v>
      </c>
      <c r="F121" s="923" t="s">
        <v>70</v>
      </c>
      <c r="G121" s="262"/>
      <c r="H121" s="262"/>
      <c r="I121" s="262"/>
      <c r="J121" s="262"/>
      <c r="K121" s="262"/>
      <c r="L121" s="262"/>
      <c r="M121" s="304"/>
      <c r="N121" s="327"/>
      <c r="O121" s="304"/>
      <c r="P121" s="227">
        <f>N121*O121</f>
        <v>0</v>
      </c>
      <c r="Q121" s="189"/>
      <c r="R121" s="987"/>
      <c r="S121" s="1190"/>
      <c r="T121" s="1132"/>
    </row>
    <row r="122" spans="1:20" x14ac:dyDescent="0.2">
      <c r="A122" s="240">
        <v>3</v>
      </c>
      <c r="B122" s="240" t="s">
        <v>2567</v>
      </c>
      <c r="C122" s="851" t="s">
        <v>261</v>
      </c>
      <c r="D122" s="851" t="s">
        <v>262</v>
      </c>
      <c r="E122" s="886" t="s">
        <v>70</v>
      </c>
      <c r="F122" s="923" t="s">
        <v>70</v>
      </c>
      <c r="G122" s="262"/>
      <c r="H122" s="262"/>
      <c r="I122" s="262"/>
      <c r="J122" s="262"/>
      <c r="K122" s="262"/>
      <c r="L122" s="262"/>
      <c r="M122" s="304"/>
      <c r="N122" s="327"/>
      <c r="O122" s="304"/>
      <c r="P122" s="227">
        <f>N122*O122</f>
        <v>0</v>
      </c>
      <c r="Q122" s="189"/>
      <c r="R122" s="987"/>
      <c r="S122" s="1190"/>
      <c r="T122" s="1132"/>
    </row>
    <row r="123" spans="1:20" x14ac:dyDescent="0.2">
      <c r="A123" s="240">
        <v>4</v>
      </c>
      <c r="B123" s="240" t="s">
        <v>2568</v>
      </c>
      <c r="C123" s="1146" t="s">
        <v>263</v>
      </c>
      <c r="D123" s="1146" t="s">
        <v>264</v>
      </c>
      <c r="E123" s="886" t="s">
        <v>70</v>
      </c>
      <c r="F123" s="923" t="s">
        <v>70</v>
      </c>
      <c r="G123" s="262"/>
      <c r="H123" s="262"/>
      <c r="I123" s="262"/>
      <c r="J123" s="262"/>
      <c r="K123" s="262"/>
      <c r="L123" s="187"/>
      <c r="M123" s="304"/>
      <c r="N123" s="327"/>
      <c r="O123" s="304"/>
      <c r="P123" s="227">
        <f>N123*O123</f>
        <v>0</v>
      </c>
      <c r="Q123" s="189"/>
      <c r="R123" s="987"/>
      <c r="S123" s="1190"/>
      <c r="T123" s="1132"/>
    </row>
    <row r="124" spans="1:20" x14ac:dyDescent="0.2">
      <c r="Q124" s="1187"/>
      <c r="T124" s="1132"/>
    </row>
    <row r="125" spans="1:20" x14ac:dyDescent="0.2">
      <c r="Q125" s="1187"/>
      <c r="T125" s="1132"/>
    </row>
    <row r="126" spans="1:20" x14ac:dyDescent="0.2">
      <c r="O126" s="956"/>
      <c r="Q126" s="1187"/>
      <c r="T126" s="1132"/>
    </row>
    <row r="127" spans="1:20" x14ac:dyDescent="0.2">
      <c r="O127" s="956"/>
      <c r="Q127" s="1187"/>
      <c r="T127" s="1132"/>
    </row>
    <row r="128" spans="1:20" x14ac:dyDescent="0.2">
      <c r="Q128" s="1187"/>
      <c r="T128" s="1132"/>
    </row>
    <row r="129" spans="14:20" x14ac:dyDescent="0.2">
      <c r="Q129" s="1187"/>
      <c r="T129" s="1132"/>
    </row>
    <row r="130" spans="14:20" s="1128" customFormat="1" x14ac:dyDescent="0.2">
      <c r="N130" s="1181"/>
      <c r="P130" s="1181"/>
      <c r="Q130" s="1188"/>
      <c r="S130" s="1181"/>
      <c r="T130" s="1127"/>
    </row>
    <row r="131" spans="14:20" s="1182" customFormat="1" x14ac:dyDescent="0.2">
      <c r="N131" s="1183"/>
      <c r="P131" s="1183"/>
      <c r="Q131" s="1189"/>
      <c r="S131" s="1183"/>
      <c r="T131" s="1132"/>
    </row>
    <row r="132" spans="14:20" x14ac:dyDescent="0.2">
      <c r="Q132" s="1187"/>
    </row>
    <row r="133" spans="14:20" x14ac:dyDescent="0.2">
      <c r="Q133" s="1187"/>
    </row>
    <row r="134" spans="14:20" x14ac:dyDescent="0.2">
      <c r="Q134" s="1187"/>
    </row>
    <row r="135" spans="14:20" x14ac:dyDescent="0.2">
      <c r="Q135" s="1187"/>
    </row>
    <row r="136" spans="14:20" x14ac:dyDescent="0.2">
      <c r="Q136" s="1187"/>
    </row>
    <row r="137" spans="14:20" x14ac:dyDescent="0.2">
      <c r="Q137" s="1187"/>
    </row>
    <row r="138" spans="14:20" x14ac:dyDescent="0.2">
      <c r="Q138" s="1187"/>
    </row>
    <row r="139" spans="14:20" x14ac:dyDescent="0.2">
      <c r="Q139" s="1187"/>
    </row>
    <row r="140" spans="14:20" x14ac:dyDescent="0.2">
      <c r="Q140" s="1187"/>
    </row>
    <row r="141" spans="14:20" x14ac:dyDescent="0.2">
      <c r="Q141" s="1187"/>
    </row>
    <row r="142" spans="14:20" x14ac:dyDescent="0.2">
      <c r="Q142" s="1187"/>
    </row>
  </sheetData>
  <sheetProtection formatCells="0" formatColumns="0" formatRows="0" autoFilter="0"/>
  <autoFilter ref="A4:S132"/>
  <mergeCells count="19">
    <mergeCell ref="A87:D87"/>
    <mergeCell ref="A92:D92"/>
    <mergeCell ref="A118:D118"/>
    <mergeCell ref="A115:D115"/>
    <mergeCell ref="A6:D6"/>
    <mergeCell ref="A38:D38"/>
    <mergeCell ref="A52:D52"/>
    <mergeCell ref="A60:D60"/>
    <mergeCell ref="A76:D76"/>
    <mergeCell ref="A57:D57"/>
    <mergeCell ref="L3:Q3"/>
    <mergeCell ref="R3:S3"/>
    <mergeCell ref="A1:D1"/>
    <mergeCell ref="G3:K3"/>
    <mergeCell ref="A3:A4"/>
    <mergeCell ref="D3:D4"/>
    <mergeCell ref="E3:E4"/>
    <mergeCell ref="F3:F4"/>
    <mergeCell ref="B3:C4"/>
  </mergeCells>
  <phoneticPr fontId="57" type="noConversion"/>
  <pageMargins left="0.7" right="0.7" top="0.75" bottom="0.75" header="0.3" footer="0.3"/>
  <pageSetup paperSize="9" orientation="portrait"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A19"/>
  <sheetViews>
    <sheetView zoomScale="80" zoomScaleNormal="80" workbookViewId="0">
      <pane xSplit="3" ySplit="7" topLeftCell="D8" activePane="bottomRight" state="frozen"/>
      <selection activeCell="A2" sqref="A2:A4"/>
      <selection pane="topRight" activeCell="A2" sqref="A2:A4"/>
      <selection pane="bottomLeft" activeCell="A2" sqref="A2:A4"/>
      <selection pane="bottomRight" activeCell="R9" sqref="R9:R16"/>
    </sheetView>
  </sheetViews>
  <sheetFormatPr defaultColWidth="8.7109375" defaultRowHeight="15" x14ac:dyDescent="0.25"/>
  <cols>
    <col min="1" max="1" width="10.140625" style="1192" bestFit="1" customWidth="1"/>
    <col min="2" max="2" width="16.5703125" style="1192" customWidth="1"/>
    <col min="3" max="3" width="29.85546875" style="1192" customWidth="1"/>
    <col min="4" max="4" width="8.7109375" style="1192" customWidth="1"/>
    <col min="5" max="5" width="9.7109375" style="1192" customWidth="1"/>
    <col min="6" max="6" width="13.85546875" style="1192" customWidth="1"/>
    <col min="7" max="7" width="21.7109375" style="1192" customWidth="1"/>
    <col min="8" max="9" width="8.7109375" style="1192" customWidth="1"/>
    <col min="10" max="10" width="11.140625" style="1192" customWidth="1"/>
    <col min="11" max="11" width="12" style="1192" customWidth="1"/>
    <col min="12" max="12" width="13.85546875" style="1192" customWidth="1"/>
    <col min="13" max="13" width="8.85546875" style="1207" customWidth="1"/>
    <col min="14" max="14" width="8.7109375" style="1192" customWidth="1"/>
    <col min="15" max="15" width="13.140625" style="1207" bestFit="1" customWidth="1"/>
    <col min="16" max="16" width="32.85546875" style="1192" customWidth="1"/>
    <col min="17" max="17" width="30.85546875" style="1192" customWidth="1"/>
    <col min="18" max="18" width="11" style="1207" customWidth="1"/>
    <col min="19" max="16384" width="8.7109375" style="1192"/>
  </cols>
  <sheetData>
    <row r="1" spans="1:53" ht="16.5" customHeight="1" x14ac:dyDescent="0.25">
      <c r="A1" s="3892" t="s">
        <v>2876</v>
      </c>
      <c r="B1" s="3893"/>
      <c r="C1" s="3893"/>
      <c r="D1" s="1191"/>
      <c r="E1" s="3825" t="s">
        <v>4719</v>
      </c>
      <c r="F1" s="3894" t="s">
        <v>4717</v>
      </c>
      <c r="G1" s="3895"/>
      <c r="H1" s="3895"/>
      <c r="I1" s="3895"/>
      <c r="J1" s="3895"/>
      <c r="K1" s="3895"/>
      <c r="L1" s="3895"/>
      <c r="M1" s="3895"/>
      <c r="N1" s="3896"/>
      <c r="O1" s="3830" t="s">
        <v>70</v>
      </c>
      <c r="P1" s="3831"/>
      <c r="Q1" s="3831"/>
      <c r="R1" s="3831"/>
      <c r="S1" s="3831"/>
      <c r="T1" s="3831"/>
      <c r="U1" s="3831"/>
      <c r="V1" s="3831"/>
      <c r="W1" s="3831"/>
      <c r="X1" s="3831"/>
      <c r="Y1" s="3831"/>
      <c r="Z1" s="3831"/>
      <c r="AA1" s="3831"/>
      <c r="AB1" s="3831"/>
      <c r="AC1" s="3831"/>
      <c r="AD1" s="3831"/>
      <c r="AE1" s="3831"/>
      <c r="AF1" s="3831"/>
      <c r="AG1" s="3831"/>
      <c r="AH1" s="3831"/>
      <c r="AI1" s="3885" t="s">
        <v>4366</v>
      </c>
      <c r="AJ1" s="3886"/>
      <c r="AK1" s="3886"/>
      <c r="AL1" s="3886"/>
      <c r="AM1" s="3886"/>
      <c r="AN1" s="3886"/>
      <c r="AO1" s="3887"/>
      <c r="AP1" s="3872" t="s">
        <v>85</v>
      </c>
      <c r="AQ1" s="3873"/>
      <c r="AR1" s="3873"/>
      <c r="AS1" s="3873"/>
      <c r="AT1" s="3873"/>
      <c r="AU1" s="3873"/>
      <c r="AV1" s="3873"/>
      <c r="AW1" s="3873"/>
      <c r="AX1" s="3873"/>
      <c r="AY1" s="3873"/>
      <c r="AZ1" s="3873"/>
      <c r="BA1" s="3874"/>
    </row>
    <row r="2" spans="1:53" ht="60" x14ac:dyDescent="0.25">
      <c r="A2" s="3811" t="str">
        <f>HYPERLINK("#Index!A4", "Index Pg")</f>
        <v>Index Pg</v>
      </c>
      <c r="B2" s="959"/>
      <c r="C2" s="959"/>
      <c r="D2" s="1193"/>
      <c r="E2" s="3825"/>
      <c r="F2" s="884" t="s">
        <v>118</v>
      </c>
      <c r="G2" s="884" t="s">
        <v>131</v>
      </c>
      <c r="H2" s="884" t="s">
        <v>91</v>
      </c>
      <c r="I2" s="884" t="s">
        <v>4715</v>
      </c>
      <c r="J2" s="884" t="s">
        <v>96</v>
      </c>
      <c r="K2" s="1194" t="s">
        <v>4071</v>
      </c>
      <c r="L2" s="885" t="s">
        <v>4716</v>
      </c>
      <c r="M2" s="884" t="s">
        <v>4720</v>
      </c>
      <c r="N2" s="885" t="s">
        <v>208</v>
      </c>
      <c r="O2" s="886" t="s">
        <v>4365</v>
      </c>
      <c r="P2" s="887" t="s">
        <v>3855</v>
      </c>
      <c r="Q2" s="887" t="s">
        <v>4729</v>
      </c>
      <c r="R2" s="887" t="s">
        <v>4726</v>
      </c>
      <c r="S2" s="887"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307</v>
      </c>
      <c r="AI2" s="888" t="s">
        <v>293</v>
      </c>
      <c r="AJ2" s="888" t="s">
        <v>114</v>
      </c>
      <c r="AK2" s="888" t="s">
        <v>146</v>
      </c>
      <c r="AL2" s="888" t="s">
        <v>4683</v>
      </c>
      <c r="AM2" s="888" t="s">
        <v>3323</v>
      </c>
      <c r="AN2" s="888" t="s">
        <v>3993</v>
      </c>
      <c r="AO2" s="888" t="s">
        <v>4553</v>
      </c>
      <c r="AP2" s="889" t="s">
        <v>86</v>
      </c>
      <c r="AQ2" s="889" t="s">
        <v>150</v>
      </c>
      <c r="AR2" s="889" t="s">
        <v>399</v>
      </c>
      <c r="AS2" s="889" t="s">
        <v>152</v>
      </c>
      <c r="AT2" s="889" t="s">
        <v>415</v>
      </c>
      <c r="AU2" s="889" t="s">
        <v>4607</v>
      </c>
      <c r="AV2" s="889" t="s">
        <v>4132</v>
      </c>
      <c r="AW2" s="889" t="s">
        <v>312</v>
      </c>
      <c r="AX2" s="889" t="s">
        <v>314</v>
      </c>
      <c r="AY2" s="889" t="s">
        <v>1034</v>
      </c>
      <c r="AZ2" s="889" t="s">
        <v>1020</v>
      </c>
      <c r="BA2" s="889" t="s">
        <v>4718</v>
      </c>
    </row>
    <row r="3" spans="1:53" x14ac:dyDescent="0.25">
      <c r="A3" s="3812"/>
      <c r="B3" s="892" t="str">
        <f>HYPERLINK("#'Budget Summary I'!A1:AL1", "Budget Summary I")</f>
        <v>Budget Summary I</v>
      </c>
      <c r="C3" s="832" t="s">
        <v>4608</v>
      </c>
      <c r="D3" s="1193"/>
      <c r="E3" s="1195">
        <f>R7</f>
        <v>0</v>
      </c>
      <c r="F3" s="177"/>
      <c r="G3" s="177"/>
      <c r="H3" s="177"/>
      <c r="I3" s="177"/>
      <c r="J3" s="177"/>
      <c r="K3" s="961"/>
      <c r="L3" s="177"/>
      <c r="M3" s="177"/>
      <c r="N3" s="961"/>
      <c r="O3" s="961"/>
      <c r="P3" s="961"/>
      <c r="Q3" s="961"/>
      <c r="R3" s="961"/>
      <c r="S3" s="961"/>
      <c r="T3" s="961"/>
      <c r="U3" s="961"/>
      <c r="V3" s="961"/>
      <c r="W3" s="961">
        <f>R9+R10+R11+R12+R13+R14+R15</f>
        <v>0</v>
      </c>
      <c r="X3" s="961"/>
      <c r="Y3" s="961"/>
      <c r="Z3" s="961"/>
      <c r="AA3" s="961"/>
      <c r="AB3" s="961"/>
      <c r="AC3" s="961"/>
      <c r="AD3" s="961"/>
      <c r="AE3" s="961"/>
      <c r="AF3" s="961"/>
      <c r="AG3" s="961"/>
      <c r="AH3" s="961"/>
      <c r="AI3" s="961"/>
      <c r="AJ3" s="961"/>
      <c r="AK3" s="961"/>
      <c r="AL3" s="961"/>
      <c r="AM3" s="961"/>
      <c r="AN3" s="961"/>
      <c r="AO3" s="961"/>
      <c r="AP3" s="961"/>
      <c r="AQ3" s="961"/>
      <c r="AR3" s="961"/>
      <c r="AS3" s="961"/>
      <c r="AT3" s="961"/>
      <c r="AU3" s="961"/>
      <c r="AV3" s="961"/>
      <c r="AW3" s="961"/>
      <c r="AX3" s="961"/>
      <c r="AY3" s="961"/>
      <c r="AZ3" s="961"/>
      <c r="BA3" s="961"/>
    </row>
    <row r="4" spans="1:53" x14ac:dyDescent="0.25">
      <c r="A4" s="3813"/>
      <c r="B4" s="831" t="str">
        <f>HYPERLINK("#'Budget Summary II'!A3:B5", "Budget Summary II")</f>
        <v>Budget Summary II</v>
      </c>
      <c r="C4" s="832" t="s">
        <v>4609</v>
      </c>
      <c r="D4" s="1193"/>
      <c r="E4" s="1195">
        <f>O7</f>
        <v>0</v>
      </c>
      <c r="F4" s="177"/>
      <c r="G4" s="177"/>
      <c r="H4" s="177"/>
      <c r="I4" s="177"/>
      <c r="J4" s="177"/>
      <c r="K4" s="961"/>
      <c r="L4" s="177"/>
      <c r="M4" s="177"/>
      <c r="N4" s="961"/>
      <c r="O4" s="961"/>
      <c r="P4" s="961"/>
      <c r="Q4" s="961"/>
      <c r="R4" s="961"/>
      <c r="S4" s="961"/>
      <c r="T4" s="961"/>
      <c r="U4" s="961"/>
      <c r="V4" s="961"/>
      <c r="W4" s="961">
        <f>O9+O10+O11+O12+O13+O14+O15</f>
        <v>0</v>
      </c>
      <c r="X4" s="961"/>
      <c r="Y4" s="961"/>
      <c r="Z4" s="961"/>
      <c r="AA4" s="961"/>
      <c r="AB4" s="961"/>
      <c r="AC4" s="961"/>
      <c r="AD4" s="961"/>
      <c r="AE4" s="961"/>
      <c r="AF4" s="961"/>
      <c r="AG4" s="961"/>
      <c r="AH4" s="961"/>
      <c r="AI4" s="961"/>
      <c r="AJ4" s="961"/>
      <c r="AK4" s="961"/>
      <c r="AL4" s="961"/>
      <c r="AM4" s="961"/>
      <c r="AN4" s="961"/>
      <c r="AO4" s="961"/>
      <c r="AP4" s="961"/>
      <c r="AQ4" s="961"/>
      <c r="AR4" s="961"/>
      <c r="AS4" s="961"/>
      <c r="AT4" s="961"/>
      <c r="AU4" s="961"/>
      <c r="AV4" s="961"/>
      <c r="AW4" s="961"/>
      <c r="AX4" s="961"/>
      <c r="AY4" s="961"/>
      <c r="AZ4" s="961"/>
      <c r="BA4" s="961"/>
    </row>
    <row r="5" spans="1:53" s="1196" customFormat="1" ht="12.75" customHeight="1" x14ac:dyDescent="0.2">
      <c r="A5" s="3823" t="s">
        <v>53</v>
      </c>
      <c r="B5" s="3823" t="s">
        <v>54</v>
      </c>
      <c r="C5" s="3823" t="s">
        <v>55</v>
      </c>
      <c r="D5" s="3823" t="s">
        <v>56</v>
      </c>
      <c r="E5" s="3823" t="s">
        <v>57</v>
      </c>
      <c r="F5" s="3876" t="s">
        <v>4629</v>
      </c>
      <c r="G5" s="3876"/>
      <c r="H5" s="3876"/>
      <c r="I5" s="3876"/>
      <c r="J5" s="3876"/>
      <c r="K5" s="3877" t="s">
        <v>4640</v>
      </c>
      <c r="L5" s="3888"/>
      <c r="M5" s="3888"/>
      <c r="N5" s="3888"/>
      <c r="O5" s="3888"/>
      <c r="P5" s="3889"/>
      <c r="Q5" s="3890" t="s">
        <v>4670</v>
      </c>
      <c r="R5" s="3891"/>
    </row>
    <row r="6" spans="1:53" s="1196" customFormat="1" ht="60" x14ac:dyDescent="0.2">
      <c r="A6" s="3823"/>
      <c r="B6" s="3823"/>
      <c r="C6" s="3823"/>
      <c r="D6" s="3823"/>
      <c r="E6" s="3823"/>
      <c r="F6" s="896" t="s">
        <v>4630</v>
      </c>
      <c r="G6" s="896" t="s">
        <v>4638</v>
      </c>
      <c r="H6" s="896" t="s">
        <v>4631</v>
      </c>
      <c r="I6" s="896" t="s">
        <v>4639</v>
      </c>
      <c r="J6" s="896" t="s">
        <v>2538</v>
      </c>
      <c r="K6" s="897" t="s">
        <v>58</v>
      </c>
      <c r="L6" s="897" t="s">
        <v>59</v>
      </c>
      <c r="M6" s="1197" t="s">
        <v>60</v>
      </c>
      <c r="N6" s="897" t="s">
        <v>61</v>
      </c>
      <c r="O6" s="1197" t="s">
        <v>62</v>
      </c>
      <c r="P6" s="897" t="s">
        <v>5547</v>
      </c>
      <c r="Q6" s="899" t="s">
        <v>2540</v>
      </c>
      <c r="R6" s="1198" t="s">
        <v>4671</v>
      </c>
      <c r="S6" s="1196" t="s">
        <v>4724</v>
      </c>
    </row>
    <row r="7" spans="1:53" x14ac:dyDescent="0.25">
      <c r="A7" s="234">
        <v>4</v>
      </c>
      <c r="B7" s="965"/>
      <c r="C7" s="234" t="s">
        <v>2729</v>
      </c>
      <c r="D7" s="234"/>
      <c r="E7" s="234"/>
      <c r="F7" s="234"/>
      <c r="G7" s="234"/>
      <c r="H7" s="439">
        <f>H8</f>
        <v>0</v>
      </c>
      <c r="I7" s="439">
        <f t="shared" ref="I7" si="0">I8</f>
        <v>0</v>
      </c>
      <c r="J7" s="439">
        <f>J8</f>
        <v>0</v>
      </c>
      <c r="K7" s="234"/>
      <c r="L7" s="234"/>
      <c r="M7" s="1199"/>
      <c r="N7" s="234"/>
      <c r="O7" s="439">
        <f>O8</f>
        <v>0</v>
      </c>
      <c r="P7" s="1200"/>
      <c r="Q7" s="1200"/>
      <c r="R7" s="439">
        <f>R8</f>
        <v>0</v>
      </c>
      <c r="S7" s="1192">
        <f>SUM(S8:S15)</f>
        <v>0</v>
      </c>
    </row>
    <row r="8" spans="1:53" ht="60" x14ac:dyDescent="0.25">
      <c r="A8" s="99">
        <v>4.0999999999999996</v>
      </c>
      <c r="B8" s="99" t="s">
        <v>1574</v>
      </c>
      <c r="C8" s="99" t="s">
        <v>5572</v>
      </c>
      <c r="D8" s="99"/>
      <c r="E8" s="99"/>
      <c r="F8" s="99"/>
      <c r="G8" s="99"/>
      <c r="H8" s="1107">
        <f>SUM(H9:H15)</f>
        <v>0</v>
      </c>
      <c r="I8" s="1107">
        <f t="shared" ref="I8" si="1">SUM(I9:I15)</f>
        <v>0</v>
      </c>
      <c r="J8" s="1107">
        <f>SUM(J9:J15)</f>
        <v>0</v>
      </c>
      <c r="K8" s="99"/>
      <c r="L8" s="99"/>
      <c r="M8" s="1201"/>
      <c r="N8" s="1202"/>
      <c r="O8" s="1107">
        <f>SUM(O9:O15)</f>
        <v>0</v>
      </c>
      <c r="P8" s="1203"/>
      <c r="Q8" s="1203"/>
      <c r="R8" s="1107">
        <f>SUM(R9:R15)</f>
        <v>0</v>
      </c>
    </row>
    <row r="9" spans="1:53" x14ac:dyDescent="0.25">
      <c r="A9" s="1204" t="s">
        <v>2730</v>
      </c>
      <c r="B9" s="502" t="s">
        <v>1575</v>
      </c>
      <c r="C9" s="502" t="s">
        <v>1576</v>
      </c>
      <c r="D9" s="886" t="s">
        <v>70</v>
      </c>
      <c r="E9" s="1205" t="s">
        <v>70</v>
      </c>
      <c r="F9" s="2410"/>
      <c r="G9" s="2418"/>
      <c r="H9" s="2419"/>
      <c r="I9" s="2418"/>
      <c r="J9" s="2420"/>
      <c r="K9" s="2410"/>
      <c r="L9" s="2418"/>
      <c r="M9" s="308"/>
      <c r="N9" s="2410"/>
      <c r="O9" s="1206">
        <f t="shared" ref="O9:O15" si="2">M9*N9</f>
        <v>0</v>
      </c>
      <c r="P9" s="2422"/>
      <c r="Q9" s="3308"/>
      <c r="R9" s="360"/>
    </row>
    <row r="10" spans="1:53" x14ac:dyDescent="0.25">
      <c r="A10" s="1204" t="s">
        <v>2731</v>
      </c>
      <c r="B10" s="502" t="s">
        <v>1577</v>
      </c>
      <c r="C10" s="502" t="s">
        <v>305</v>
      </c>
      <c r="D10" s="886" t="s">
        <v>70</v>
      </c>
      <c r="E10" s="1205" t="s">
        <v>70</v>
      </c>
      <c r="F10" s="2410"/>
      <c r="G10" s="2418"/>
      <c r="H10" s="2419"/>
      <c r="I10" s="2418"/>
      <c r="J10" s="2420"/>
      <c r="K10" s="2410"/>
      <c r="L10" s="2418"/>
      <c r="M10" s="308"/>
      <c r="N10" s="2410"/>
      <c r="O10" s="1206">
        <f t="shared" si="2"/>
        <v>0</v>
      </c>
      <c r="P10" s="2422"/>
      <c r="Q10" s="3308"/>
      <c r="R10" s="360"/>
    </row>
    <row r="11" spans="1:53" ht="165.75" customHeight="1" x14ac:dyDescent="0.25">
      <c r="A11" s="1204" t="s">
        <v>2732</v>
      </c>
      <c r="B11" s="502" t="s">
        <v>1578</v>
      </c>
      <c r="C11" s="502" t="s">
        <v>302</v>
      </c>
      <c r="D11" s="886" t="s">
        <v>70</v>
      </c>
      <c r="E11" s="1205" t="s">
        <v>70</v>
      </c>
      <c r="F11" s="2410"/>
      <c r="G11" s="2418"/>
      <c r="H11" s="2419"/>
      <c r="I11" s="2418"/>
      <c r="J11" s="2420"/>
      <c r="K11" s="2410"/>
      <c r="L11" s="2418"/>
      <c r="M11" s="308"/>
      <c r="N11" s="2410"/>
      <c r="O11" s="1206">
        <f t="shared" si="2"/>
        <v>0</v>
      </c>
      <c r="P11" s="2422"/>
      <c r="Q11" s="3308"/>
      <c r="R11" s="360"/>
    </row>
    <row r="12" spans="1:53" x14ac:dyDescent="0.25">
      <c r="A12" s="1204" t="s">
        <v>2733</v>
      </c>
      <c r="B12" s="502" t="s">
        <v>1579</v>
      </c>
      <c r="C12" s="502" t="s">
        <v>303</v>
      </c>
      <c r="D12" s="886" t="s">
        <v>70</v>
      </c>
      <c r="E12" s="1205" t="s">
        <v>70</v>
      </c>
      <c r="F12" s="2410"/>
      <c r="G12" s="2418"/>
      <c r="H12" s="2419"/>
      <c r="I12" s="2418"/>
      <c r="J12" s="2420"/>
      <c r="K12" s="2410"/>
      <c r="L12" s="2418"/>
      <c r="M12" s="308"/>
      <c r="N12" s="2410"/>
      <c r="O12" s="1206">
        <f t="shared" si="2"/>
        <v>0</v>
      </c>
      <c r="P12" s="2422"/>
      <c r="Q12" s="3308"/>
      <c r="R12" s="360"/>
    </row>
    <row r="13" spans="1:53" x14ac:dyDescent="0.25">
      <c r="A13" s="1204" t="s">
        <v>2734</v>
      </c>
      <c r="B13" s="502" t="s">
        <v>1580</v>
      </c>
      <c r="C13" s="502" t="s">
        <v>304</v>
      </c>
      <c r="D13" s="886" t="s">
        <v>70</v>
      </c>
      <c r="E13" s="1205" t="s">
        <v>70</v>
      </c>
      <c r="F13" s="2410"/>
      <c r="G13" s="2418"/>
      <c r="H13" s="2419"/>
      <c r="I13" s="2418"/>
      <c r="J13" s="2420"/>
      <c r="K13" s="2410"/>
      <c r="L13" s="2418"/>
      <c r="M13" s="308"/>
      <c r="N13" s="2410"/>
      <c r="O13" s="1206">
        <f t="shared" si="2"/>
        <v>0</v>
      </c>
      <c r="P13" s="2422"/>
      <c r="Q13" s="3308"/>
      <c r="R13" s="360"/>
    </row>
    <row r="14" spans="1:53" x14ac:dyDescent="0.25">
      <c r="A14" s="1204" t="s">
        <v>2735</v>
      </c>
      <c r="B14" s="502" t="s">
        <v>1581</v>
      </c>
      <c r="C14" s="502" t="s">
        <v>1582</v>
      </c>
      <c r="D14" s="886" t="s">
        <v>70</v>
      </c>
      <c r="E14" s="1205" t="s">
        <v>70</v>
      </c>
      <c r="F14" s="2410"/>
      <c r="G14" s="2418"/>
      <c r="H14" s="2419"/>
      <c r="I14" s="2418"/>
      <c r="J14" s="2421"/>
      <c r="K14" s="2410"/>
      <c r="L14" s="2418"/>
      <c r="M14" s="308"/>
      <c r="N14" s="2410"/>
      <c r="O14" s="1206">
        <f t="shared" si="2"/>
        <v>0</v>
      </c>
      <c r="P14" s="2422"/>
      <c r="Q14" s="3308"/>
      <c r="R14" s="360"/>
    </row>
    <row r="15" spans="1:53" x14ac:dyDescent="0.25">
      <c r="A15" s="1204" t="s">
        <v>2736</v>
      </c>
      <c r="B15" s="502" t="s">
        <v>1583</v>
      </c>
      <c r="C15" s="502" t="s">
        <v>1767</v>
      </c>
      <c r="D15" s="886" t="s">
        <v>70</v>
      </c>
      <c r="E15" s="1205" t="s">
        <v>70</v>
      </c>
      <c r="F15" s="2410"/>
      <c r="G15" s="2418"/>
      <c r="H15" s="2419"/>
      <c r="I15" s="2418"/>
      <c r="J15" s="2420"/>
      <c r="K15" s="2410"/>
      <c r="L15" s="2418"/>
      <c r="M15" s="308"/>
      <c r="N15" s="2410"/>
      <c r="O15" s="1206">
        <f t="shared" si="2"/>
        <v>0</v>
      </c>
      <c r="P15" s="2423"/>
      <c r="Q15" s="3308"/>
      <c r="R15" s="360"/>
    </row>
    <row r="18" spans="14:14" x14ac:dyDescent="0.25">
      <c r="N18" s="956"/>
    </row>
    <row r="19" spans="14:14" x14ac:dyDescent="0.25">
      <c r="N19" s="956"/>
    </row>
  </sheetData>
  <sheetProtection formatCells="0" formatColumns="0" formatRows="0" autoFilter="0"/>
  <autoFilter ref="A6:R15"/>
  <mergeCells count="15">
    <mergeCell ref="AI1:AO1"/>
    <mergeCell ref="AP1:BA1"/>
    <mergeCell ref="K5:P5"/>
    <mergeCell ref="Q5:R5"/>
    <mergeCell ref="A1:C1"/>
    <mergeCell ref="F5:J5"/>
    <mergeCell ref="A5:A6"/>
    <mergeCell ref="B5:B6"/>
    <mergeCell ref="C5:C6"/>
    <mergeCell ref="D5:D6"/>
    <mergeCell ref="E5:E6"/>
    <mergeCell ref="A2:A4"/>
    <mergeCell ref="E1:E2"/>
    <mergeCell ref="F1:N1"/>
    <mergeCell ref="O1:AH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BA102"/>
  <sheetViews>
    <sheetView zoomScale="80" zoomScaleNormal="80" workbookViewId="0">
      <pane xSplit="5" ySplit="7" topLeftCell="J8" activePane="bottomRight" state="frozen"/>
      <selection activeCell="A2" sqref="A2:A4"/>
      <selection pane="topRight" activeCell="A2" sqref="A2:A4"/>
      <selection pane="bottomLeft" activeCell="A2" sqref="A2:A4"/>
      <selection pane="bottomRight" activeCell="J9" sqref="J9"/>
    </sheetView>
  </sheetViews>
  <sheetFormatPr defaultColWidth="9.140625" defaultRowHeight="15" x14ac:dyDescent="0.2"/>
  <cols>
    <col min="1" max="1" width="13.7109375" style="1087" customWidth="1"/>
    <col min="2" max="2" width="17.42578125" style="1128" customWidth="1"/>
    <col min="3" max="3" width="48.5703125" style="1087" customWidth="1"/>
    <col min="4" max="4" width="7.85546875" style="1105" customWidth="1"/>
    <col min="5" max="5" width="15.85546875" style="1105" customWidth="1"/>
    <col min="6" max="6" width="30.140625" style="1087" customWidth="1"/>
    <col min="7" max="7" width="31.140625" style="1087" customWidth="1"/>
    <col min="8" max="8" width="16.7109375" style="1087" customWidth="1"/>
    <col min="9" max="9" width="16.5703125" style="1087" customWidth="1"/>
    <col min="10" max="10" width="16.140625" style="1087" customWidth="1"/>
    <col min="11" max="11" width="11.5703125" style="1087" customWidth="1"/>
    <col min="12" max="12" width="14.140625" style="1087" customWidth="1"/>
    <col min="13" max="13" width="11.85546875" style="957" customWidth="1"/>
    <col min="14" max="14" width="11.140625" style="1087" customWidth="1"/>
    <col min="15" max="15" width="21.140625" style="957" bestFit="1" customWidth="1"/>
    <col min="16" max="16" width="63.5703125" style="1178" customWidth="1"/>
    <col min="17" max="17" width="83.5703125" style="1178" customWidth="1"/>
    <col min="18" max="18" width="13.140625" style="957" customWidth="1"/>
    <col min="19" max="19" width="6.140625" style="1128" bestFit="1" customWidth="1"/>
    <col min="20" max="20" width="3.7109375" style="1128" bestFit="1" customWidth="1"/>
    <col min="21" max="22" width="4.140625" style="1128" bestFit="1" customWidth="1"/>
    <col min="23" max="23" width="3.85546875" style="1128" bestFit="1" customWidth="1"/>
    <col min="24" max="24" width="4.5703125" style="1128" bestFit="1" customWidth="1"/>
    <col min="25" max="25" width="6.140625" style="1128" bestFit="1" customWidth="1"/>
    <col min="26" max="26" width="7.5703125" style="1128" bestFit="1" customWidth="1"/>
    <col min="27" max="27" width="4.140625" style="1128" bestFit="1" customWidth="1"/>
    <col min="28" max="28" width="8.140625" style="1128" bestFit="1" customWidth="1"/>
    <col min="29" max="30" width="4.140625" style="1128" bestFit="1" customWidth="1"/>
    <col min="31" max="31" width="7.42578125" style="1128" bestFit="1" customWidth="1"/>
    <col min="32" max="32" width="5.5703125" style="1128" bestFit="1" customWidth="1"/>
    <col min="33" max="33" width="7.42578125" style="1128" bestFit="1" customWidth="1"/>
    <col min="34" max="34" width="7" style="1128" bestFit="1" customWidth="1"/>
    <col min="35" max="35" width="4.85546875" style="1128" bestFit="1" customWidth="1"/>
    <col min="36" max="36" width="8" style="1128" bestFit="1" customWidth="1"/>
    <col min="37" max="37" width="5.140625" style="1128" bestFit="1" customWidth="1"/>
    <col min="38" max="38" width="5.5703125" style="1128" bestFit="1" customWidth="1"/>
    <col min="39" max="39" width="6.85546875" style="1128" bestFit="1" customWidth="1"/>
    <col min="40" max="40" width="5.5703125" style="1128" bestFit="1" customWidth="1"/>
    <col min="41" max="41" width="4.85546875" style="1128" bestFit="1" customWidth="1"/>
    <col min="42" max="42" width="5.5703125" style="1128" bestFit="1" customWidth="1"/>
    <col min="43" max="43" width="6.42578125" style="1128" bestFit="1" customWidth="1"/>
    <col min="44" max="44" width="6.7109375" style="1128" bestFit="1" customWidth="1"/>
    <col min="45" max="45" width="5.42578125" style="1128" bestFit="1" customWidth="1"/>
    <col min="46" max="46" width="7.7109375" style="1128" bestFit="1" customWidth="1"/>
    <col min="47" max="47" width="7.42578125" style="1128" bestFit="1" customWidth="1"/>
    <col min="48" max="48" width="8" style="1128" bestFit="1" customWidth="1"/>
    <col min="49" max="49" width="6" style="1128" bestFit="1" customWidth="1"/>
    <col min="50" max="50" width="5.5703125" style="1128" bestFit="1" customWidth="1"/>
    <col min="51" max="51" width="6.42578125" style="1128" bestFit="1" customWidth="1"/>
    <col min="52" max="52" width="6.7109375" style="1128" bestFit="1" customWidth="1"/>
    <col min="53" max="53" width="7.7109375" style="1128" bestFit="1" customWidth="1"/>
    <col min="54" max="16384" width="9.140625" style="1128"/>
  </cols>
  <sheetData>
    <row r="1" spans="1:53" x14ac:dyDescent="0.2">
      <c r="A1" s="3899" t="s">
        <v>297</v>
      </c>
      <c r="B1" s="3899"/>
      <c r="C1" s="3899"/>
      <c r="D1" s="1191"/>
      <c r="E1" s="3825" t="s">
        <v>4719</v>
      </c>
      <c r="F1" s="3894" t="s">
        <v>4717</v>
      </c>
      <c r="G1" s="3895"/>
      <c r="H1" s="3895"/>
      <c r="I1" s="3895"/>
      <c r="J1" s="3895"/>
      <c r="K1" s="3895"/>
      <c r="L1" s="3895"/>
      <c r="M1" s="3895"/>
      <c r="N1" s="3896"/>
      <c r="O1" s="3830" t="s">
        <v>70</v>
      </c>
      <c r="P1" s="3831"/>
      <c r="Q1" s="3831"/>
      <c r="R1" s="3831"/>
      <c r="S1" s="3831"/>
      <c r="T1" s="3831"/>
      <c r="U1" s="3831"/>
      <c r="V1" s="3831"/>
      <c r="W1" s="3831"/>
      <c r="X1" s="3831"/>
      <c r="Y1" s="3831"/>
      <c r="Z1" s="3831"/>
      <c r="AA1" s="3831"/>
      <c r="AB1" s="3831"/>
      <c r="AC1" s="3831"/>
      <c r="AD1" s="3831"/>
      <c r="AE1" s="3831"/>
      <c r="AF1" s="3831"/>
      <c r="AG1" s="3831"/>
      <c r="AH1" s="3831"/>
      <c r="AI1" s="3885" t="s">
        <v>4366</v>
      </c>
      <c r="AJ1" s="3886"/>
      <c r="AK1" s="3886"/>
      <c r="AL1" s="3886"/>
      <c r="AM1" s="3886"/>
      <c r="AN1" s="3886"/>
      <c r="AO1" s="3887"/>
      <c r="AP1" s="3872" t="s">
        <v>85</v>
      </c>
      <c r="AQ1" s="3873"/>
      <c r="AR1" s="3873"/>
      <c r="AS1" s="3873"/>
      <c r="AT1" s="3873"/>
      <c r="AU1" s="3873"/>
      <c r="AV1" s="3873"/>
      <c r="AW1" s="3873"/>
      <c r="AX1" s="3873"/>
      <c r="AY1" s="3873"/>
      <c r="AZ1" s="3873"/>
      <c r="BA1" s="3874"/>
    </row>
    <row r="2" spans="1:53" ht="30" x14ac:dyDescent="0.2">
      <c r="A2" s="3811" t="str">
        <f>HYPERLINK("#Index!A4", "Index Pg")</f>
        <v>Index Pg</v>
      </c>
      <c r="B2" s="959"/>
      <c r="C2" s="959"/>
      <c r="D2" s="1193"/>
      <c r="E2" s="3825"/>
      <c r="F2" s="884" t="s">
        <v>118</v>
      </c>
      <c r="G2" s="884" t="s">
        <v>131</v>
      </c>
      <c r="H2" s="884" t="s">
        <v>91</v>
      </c>
      <c r="I2" s="884" t="s">
        <v>4715</v>
      </c>
      <c r="J2" s="884" t="s">
        <v>96</v>
      </c>
      <c r="K2" s="1194" t="s">
        <v>4071</v>
      </c>
      <c r="L2" s="885" t="s">
        <v>4716</v>
      </c>
      <c r="M2" s="885" t="s">
        <v>4720</v>
      </c>
      <c r="N2" s="885" t="s">
        <v>208</v>
      </c>
      <c r="O2" s="887" t="s">
        <v>4365</v>
      </c>
      <c r="P2" s="887" t="s">
        <v>3855</v>
      </c>
      <c r="Q2" s="887" t="s">
        <v>4729</v>
      </c>
      <c r="R2" s="887" t="s">
        <v>4726</v>
      </c>
      <c r="S2" s="887"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307</v>
      </c>
      <c r="AI2" s="888" t="s">
        <v>293</v>
      </c>
      <c r="AJ2" s="888" t="s">
        <v>114</v>
      </c>
      <c r="AK2" s="888" t="s">
        <v>146</v>
      </c>
      <c r="AL2" s="888" t="s">
        <v>4683</v>
      </c>
      <c r="AM2" s="888" t="s">
        <v>3323</v>
      </c>
      <c r="AN2" s="888" t="s">
        <v>3993</v>
      </c>
      <c r="AO2" s="888" t="s">
        <v>4553</v>
      </c>
      <c r="AP2" s="889" t="s">
        <v>86</v>
      </c>
      <c r="AQ2" s="889" t="s">
        <v>150</v>
      </c>
      <c r="AR2" s="889" t="s">
        <v>399</v>
      </c>
      <c r="AS2" s="889" t="s">
        <v>152</v>
      </c>
      <c r="AT2" s="889" t="s">
        <v>415</v>
      </c>
      <c r="AU2" s="889" t="s">
        <v>4607</v>
      </c>
      <c r="AV2" s="889" t="s">
        <v>4132</v>
      </c>
      <c r="AW2" s="889" t="s">
        <v>312</v>
      </c>
      <c r="AX2" s="889" t="s">
        <v>314</v>
      </c>
      <c r="AY2" s="889" t="s">
        <v>1034</v>
      </c>
      <c r="AZ2" s="889" t="s">
        <v>1020</v>
      </c>
      <c r="BA2" s="889" t="s">
        <v>4718</v>
      </c>
    </row>
    <row r="3" spans="1:53" x14ac:dyDescent="0.25">
      <c r="A3" s="3812"/>
      <c r="B3" s="892" t="str">
        <f>HYPERLINK("#'Budget Summary I'!A1:AL1", "Budget Summary I")</f>
        <v>Budget Summary I</v>
      </c>
      <c r="C3" s="832" t="s">
        <v>4608</v>
      </c>
      <c r="D3" s="1193"/>
      <c r="E3" s="1195">
        <f>R7</f>
        <v>0</v>
      </c>
      <c r="F3" s="177"/>
      <c r="G3" s="177">
        <f>R66</f>
        <v>0</v>
      </c>
      <c r="H3" s="177"/>
      <c r="I3" s="177">
        <f>R65</f>
        <v>0</v>
      </c>
      <c r="J3" s="177"/>
      <c r="K3" s="961"/>
      <c r="L3" s="177">
        <f>R89</f>
        <v>0</v>
      </c>
      <c r="M3" s="177"/>
      <c r="N3" s="961">
        <f>R90</f>
        <v>0</v>
      </c>
      <c r="O3" s="961">
        <f>R28+R29+R30+R41</f>
        <v>0</v>
      </c>
      <c r="P3" s="961"/>
      <c r="Q3" s="1208">
        <f>R11+R12+R13+R14+R15+R16+R17+R19+R20+R22+R25+R26+R27+R31+R32+R33+R37+R38+R40+R42+R43+R44+R45+R47+R48+R49+R50+R51+R52+R53+R57+R58+R59+R60+R61+R62+R63+R64+R67+R68+R69+R72+R73+R74+R75+R76+R77+R78+R79+R80+R81+R83+R86+R87+R35+R70+R98+R54+R39+R85</f>
        <v>0</v>
      </c>
      <c r="R3" s="961"/>
      <c r="S3" s="961"/>
      <c r="T3" s="961"/>
      <c r="U3" s="961"/>
      <c r="V3" s="961"/>
      <c r="W3" s="961"/>
      <c r="X3" s="961"/>
      <c r="Y3" s="961"/>
      <c r="Z3" s="961"/>
      <c r="AA3" s="961"/>
      <c r="AB3" s="961"/>
      <c r="AC3" s="961"/>
      <c r="AD3" s="961"/>
      <c r="AE3" s="961"/>
      <c r="AF3" s="961">
        <f>R84</f>
        <v>0</v>
      </c>
      <c r="AG3" s="961"/>
      <c r="AH3" s="961"/>
      <c r="AI3" s="961"/>
      <c r="AJ3" s="961">
        <f>R91+R92+R93</f>
        <v>0</v>
      </c>
      <c r="AK3" s="961"/>
      <c r="AL3" s="961">
        <f>R94</f>
        <v>0</v>
      </c>
      <c r="AM3" s="961"/>
      <c r="AN3" s="961"/>
      <c r="AO3" s="961"/>
      <c r="AP3" s="961">
        <f>R18</f>
        <v>0</v>
      </c>
      <c r="AQ3" s="961">
        <f>R95</f>
        <v>0</v>
      </c>
      <c r="AR3" s="961">
        <f>R96</f>
        <v>0</v>
      </c>
      <c r="AS3" s="961"/>
      <c r="AT3" s="961">
        <f>R97</f>
        <v>0</v>
      </c>
      <c r="AU3" s="961"/>
      <c r="AV3" s="961">
        <f>R34</f>
        <v>0</v>
      </c>
      <c r="AW3" s="961">
        <f>R23</f>
        <v>0</v>
      </c>
      <c r="AX3" s="961">
        <f>R24</f>
        <v>0</v>
      </c>
      <c r="AY3" s="961"/>
      <c r="AZ3" s="961"/>
      <c r="BA3" s="961">
        <f>R88</f>
        <v>0</v>
      </c>
    </row>
    <row r="4" spans="1:53" x14ac:dyDescent="0.25">
      <c r="A4" s="3813"/>
      <c r="B4" s="831" t="str">
        <f>HYPERLINK("#'Budget Summary II'!A3:B5", "Budget Summary II")</f>
        <v>Budget Summary II</v>
      </c>
      <c r="C4" s="832" t="s">
        <v>4609</v>
      </c>
      <c r="D4" s="1193"/>
      <c r="E4" s="1195">
        <f>O7</f>
        <v>20</v>
      </c>
      <c r="F4" s="177"/>
      <c r="G4" s="177">
        <f>O66</f>
        <v>0</v>
      </c>
      <c r="H4" s="177"/>
      <c r="I4" s="177">
        <f>O65</f>
        <v>0</v>
      </c>
      <c r="J4" s="177"/>
      <c r="K4" s="961"/>
      <c r="L4" s="177">
        <f>O89</f>
        <v>0</v>
      </c>
      <c r="M4" s="177"/>
      <c r="N4" s="961">
        <f>O90</f>
        <v>0</v>
      </c>
      <c r="O4" s="961">
        <f>O28+O29+O30+O41</f>
        <v>0</v>
      </c>
      <c r="P4" s="961"/>
      <c r="Q4" s="1208">
        <f>O11+O12+O13+O14+O15+O16+O17+O19+O20+O22+O25+O26+O27+O31+O32+O33+O37+O38+O40+O42+O43+O44+O45+O47+O48+O49+O50+O51+O52+O53+O57+O58+O59+O60+O61+O62+O63+O64+O67+O68+O69+O72+O73+O74+O75+O76+O77+O78+O79+O80+O81+O83+O86+O87+O98+O70+O35+O39+O54+O85</f>
        <v>0</v>
      </c>
      <c r="R4" s="961"/>
      <c r="S4" s="961"/>
      <c r="T4" s="961"/>
      <c r="U4" s="961"/>
      <c r="V4" s="961"/>
      <c r="W4" s="961"/>
      <c r="X4" s="961"/>
      <c r="Y4" s="961"/>
      <c r="Z4" s="961"/>
      <c r="AA4" s="961"/>
      <c r="AB4" s="961"/>
      <c r="AC4" s="961"/>
      <c r="AD4" s="961"/>
      <c r="AE4" s="961"/>
      <c r="AF4" s="961">
        <f>O84</f>
        <v>0</v>
      </c>
      <c r="AG4" s="961"/>
      <c r="AH4" s="961"/>
      <c r="AI4" s="961"/>
      <c r="AJ4" s="961">
        <f>O91+O92+O93</f>
        <v>20</v>
      </c>
      <c r="AK4" s="961"/>
      <c r="AL4" s="961">
        <f>O94</f>
        <v>0</v>
      </c>
      <c r="AM4" s="961"/>
      <c r="AN4" s="961"/>
      <c r="AO4" s="961"/>
      <c r="AP4" s="961">
        <f>O18</f>
        <v>0</v>
      </c>
      <c r="AQ4" s="961">
        <f>O95</f>
        <v>0</v>
      </c>
      <c r="AR4" s="961">
        <f>O96</f>
        <v>0</v>
      </c>
      <c r="AS4" s="961"/>
      <c r="AT4" s="961">
        <f>O97</f>
        <v>0</v>
      </c>
      <c r="AU4" s="961"/>
      <c r="AV4" s="961">
        <f>O34</f>
        <v>0</v>
      </c>
      <c r="AW4" s="961">
        <f>O23</f>
        <v>0</v>
      </c>
      <c r="AX4" s="961">
        <f>O24</f>
        <v>0</v>
      </c>
      <c r="AY4" s="961"/>
      <c r="AZ4" s="961"/>
      <c r="BA4" s="961">
        <f>O88</f>
        <v>0</v>
      </c>
    </row>
    <row r="5" spans="1:53" s="1116" customFormat="1" x14ac:dyDescent="0.2">
      <c r="A5" s="3823" t="s">
        <v>53</v>
      </c>
      <c r="B5" s="3823" t="s">
        <v>54</v>
      </c>
      <c r="C5" s="3823" t="s">
        <v>55</v>
      </c>
      <c r="D5" s="3823" t="s">
        <v>56</v>
      </c>
      <c r="E5" s="3823" t="s">
        <v>57</v>
      </c>
      <c r="F5" s="3876" t="s">
        <v>4629</v>
      </c>
      <c r="G5" s="3876"/>
      <c r="H5" s="3876"/>
      <c r="I5" s="3876"/>
      <c r="J5" s="3876"/>
      <c r="K5" s="3877" t="s">
        <v>4640</v>
      </c>
      <c r="L5" s="3888"/>
      <c r="M5" s="3888"/>
      <c r="N5" s="3888"/>
      <c r="O5" s="3888"/>
      <c r="P5" s="3889"/>
      <c r="Q5" s="3897" t="s">
        <v>4670</v>
      </c>
      <c r="R5" s="3898"/>
    </row>
    <row r="6" spans="1:53" s="1116" customFormat="1" ht="45" x14ac:dyDescent="0.2">
      <c r="A6" s="3823"/>
      <c r="B6" s="3823"/>
      <c r="C6" s="3823"/>
      <c r="D6" s="3823"/>
      <c r="E6" s="3823"/>
      <c r="F6" s="896" t="s">
        <v>4630</v>
      </c>
      <c r="G6" s="896" t="s">
        <v>4638</v>
      </c>
      <c r="H6" s="896" t="s">
        <v>4631</v>
      </c>
      <c r="I6" s="896" t="s">
        <v>4639</v>
      </c>
      <c r="J6" s="896" t="s">
        <v>2538</v>
      </c>
      <c r="K6" s="897" t="s">
        <v>58</v>
      </c>
      <c r="L6" s="897" t="s">
        <v>59</v>
      </c>
      <c r="M6" s="898" t="s">
        <v>60</v>
      </c>
      <c r="N6" s="897" t="s">
        <v>61</v>
      </c>
      <c r="O6" s="898" t="s">
        <v>62</v>
      </c>
      <c r="P6" s="962" t="s">
        <v>5547</v>
      </c>
      <c r="Q6" s="1209" t="s">
        <v>2540</v>
      </c>
      <c r="R6" s="964" t="s">
        <v>4671</v>
      </c>
      <c r="S6" s="1116" t="s">
        <v>4724</v>
      </c>
    </row>
    <row r="7" spans="1:53" x14ac:dyDescent="0.2">
      <c r="A7" s="234">
        <v>5</v>
      </c>
      <c r="B7" s="1210"/>
      <c r="C7" s="234" t="s">
        <v>14</v>
      </c>
      <c r="D7" s="966"/>
      <c r="E7" s="966"/>
      <c r="F7" s="966"/>
      <c r="G7" s="966"/>
      <c r="H7" s="224">
        <f>H8+H55+H82</f>
        <v>0</v>
      </c>
      <c r="I7" s="224">
        <f t="shared" ref="I7" si="0">I8+I55+I82</f>
        <v>0</v>
      </c>
      <c r="J7" s="224">
        <f>J8+J55+J82</f>
        <v>0</v>
      </c>
      <c r="K7" s="966"/>
      <c r="L7" s="966"/>
      <c r="M7" s="1211"/>
      <c r="N7" s="1212"/>
      <c r="O7" s="224">
        <f>O8+O55+O82</f>
        <v>20</v>
      </c>
      <c r="P7" s="224"/>
      <c r="Q7" s="1213"/>
      <c r="R7" s="1214">
        <f>R8+R55+R82</f>
        <v>0</v>
      </c>
    </row>
    <row r="8" spans="1:53" ht="30" x14ac:dyDescent="0.2">
      <c r="A8" s="356">
        <v>5.0999999999999996</v>
      </c>
      <c r="B8" s="1163"/>
      <c r="C8" s="1016" t="s">
        <v>4353</v>
      </c>
      <c r="D8" s="1215"/>
      <c r="E8" s="1215"/>
      <c r="F8" s="1216"/>
      <c r="G8" s="1216"/>
      <c r="H8" s="225">
        <f>H9+H54</f>
        <v>0</v>
      </c>
      <c r="I8" s="225">
        <f t="shared" ref="I8" si="1">I9+I54</f>
        <v>0</v>
      </c>
      <c r="J8" s="225">
        <f>J9+J54</f>
        <v>0</v>
      </c>
      <c r="K8" s="1216"/>
      <c r="L8" s="1216"/>
      <c r="M8" s="1217"/>
      <c r="N8" s="1218"/>
      <c r="O8" s="225">
        <f>O9+O54</f>
        <v>0</v>
      </c>
      <c r="P8" s="225"/>
      <c r="Q8" s="1219"/>
      <c r="R8" s="1220">
        <f>R9+R54</f>
        <v>0</v>
      </c>
      <c r="S8" s="1128">
        <f>SUM(S9:S98)</f>
        <v>0</v>
      </c>
    </row>
    <row r="9" spans="1:53" x14ac:dyDescent="0.2">
      <c r="A9" s="1221" t="s">
        <v>298</v>
      </c>
      <c r="B9" s="1159" t="s">
        <v>299</v>
      </c>
      <c r="C9" s="1024" t="s">
        <v>4808</v>
      </c>
      <c r="D9" s="973"/>
      <c r="E9" s="973"/>
      <c r="F9" s="1109"/>
      <c r="G9" s="1109"/>
      <c r="H9" s="233">
        <f>H10+H21+H36+H46</f>
        <v>0</v>
      </c>
      <c r="I9" s="233">
        <f t="shared" ref="I9" si="2">I10+I21+I36+I46</f>
        <v>0</v>
      </c>
      <c r="J9" s="233">
        <f>J10+J21+J36+J46</f>
        <v>0</v>
      </c>
      <c r="K9" s="1109"/>
      <c r="L9" s="1109"/>
      <c r="M9" s="1222"/>
      <c r="N9" s="1223"/>
      <c r="O9" s="233">
        <f>O10+O21+O36+O46</f>
        <v>0</v>
      </c>
      <c r="P9" s="233"/>
      <c r="Q9" s="1224"/>
      <c r="R9" s="1225">
        <f>R10+R21+R36+R46</f>
        <v>0</v>
      </c>
    </row>
    <row r="10" spans="1:53" ht="45" x14ac:dyDescent="0.2">
      <c r="A10" s="1226" t="s">
        <v>300</v>
      </c>
      <c r="B10" s="1227" t="s">
        <v>4886</v>
      </c>
      <c r="C10" s="1228" t="s">
        <v>4888</v>
      </c>
      <c r="D10" s="1229"/>
      <c r="E10" s="1229"/>
      <c r="F10" s="1230"/>
      <c r="G10" s="1230"/>
      <c r="H10" s="1233">
        <f>SUM(H11:H20)</f>
        <v>0</v>
      </c>
      <c r="I10" s="1233">
        <f t="shared" ref="I10" si="3">SUM(I11:I20)</f>
        <v>0</v>
      </c>
      <c r="J10" s="1233">
        <f>SUM(J11:J20)</f>
        <v>0</v>
      </c>
      <c r="K10" s="1230"/>
      <c r="L10" s="1230"/>
      <c r="M10" s="1231"/>
      <c r="N10" s="1232"/>
      <c r="O10" s="1233">
        <f>SUM(O11:O20)</f>
        <v>0</v>
      </c>
      <c r="P10" s="1233"/>
      <c r="Q10" s="1234"/>
      <c r="R10" s="1235">
        <f>SUM(R11:R20)</f>
        <v>0</v>
      </c>
    </row>
    <row r="11" spans="1:53" s="1087" customFormat="1" ht="30" x14ac:dyDescent="0.2">
      <c r="A11" s="1141" t="s">
        <v>4170</v>
      </c>
      <c r="B11" s="851" t="s">
        <v>2792</v>
      </c>
      <c r="C11" s="872" t="s">
        <v>301</v>
      </c>
      <c r="D11" s="886" t="s">
        <v>70</v>
      </c>
      <c r="E11" s="923" t="s">
        <v>70</v>
      </c>
      <c r="F11" s="2424"/>
      <c r="G11" s="2425"/>
      <c r="H11" s="2426"/>
      <c r="I11" s="2427"/>
      <c r="J11" s="2428"/>
      <c r="K11" s="2429"/>
      <c r="L11" s="2429"/>
      <c r="M11" s="327"/>
      <c r="N11" s="2424"/>
      <c r="O11" s="327">
        <f t="shared" ref="O11:O17" si="4">M11*N11</f>
        <v>0</v>
      </c>
      <c r="P11" s="327"/>
      <c r="Q11" s="1253"/>
      <c r="R11" s="1254"/>
    </row>
    <row r="12" spans="1:53" s="1087" customFormat="1" x14ac:dyDescent="0.2">
      <c r="A12" s="1141" t="s">
        <v>4171</v>
      </c>
      <c r="B12" s="851" t="s">
        <v>2797</v>
      </c>
      <c r="C12" s="851" t="s">
        <v>305</v>
      </c>
      <c r="D12" s="886" t="s">
        <v>70</v>
      </c>
      <c r="E12" s="923" t="s">
        <v>70</v>
      </c>
      <c r="F12" s="2430"/>
      <c r="G12" s="2431"/>
      <c r="H12" s="2432"/>
      <c r="I12" s="2432"/>
      <c r="J12" s="2433"/>
      <c r="K12" s="2429"/>
      <c r="L12" s="2430"/>
      <c r="M12" s="327"/>
      <c r="N12" s="2430"/>
      <c r="O12" s="327">
        <f t="shared" si="4"/>
        <v>0</v>
      </c>
      <c r="P12" s="327"/>
      <c r="Q12" s="3285"/>
      <c r="R12" s="1254"/>
    </row>
    <row r="13" spans="1:53" s="1087" customFormat="1" x14ac:dyDescent="0.2">
      <c r="A13" s="1141" t="s">
        <v>4172</v>
      </c>
      <c r="B13" s="851" t="s">
        <v>2793</v>
      </c>
      <c r="C13" s="851" t="s">
        <v>302</v>
      </c>
      <c r="D13" s="886" t="s">
        <v>70</v>
      </c>
      <c r="E13" s="923" t="s">
        <v>70</v>
      </c>
      <c r="F13" s="2424"/>
      <c r="G13" s="2425"/>
      <c r="H13" s="2434"/>
      <c r="I13" s="2434"/>
      <c r="J13" s="2435"/>
      <c r="K13" s="2436"/>
      <c r="L13" s="2436"/>
      <c r="M13" s="327"/>
      <c r="N13" s="2424"/>
      <c r="O13" s="327">
        <f t="shared" si="4"/>
        <v>0</v>
      </c>
      <c r="P13" s="327"/>
      <c r="Q13" s="3281"/>
      <c r="R13" s="1254"/>
    </row>
    <row r="14" spans="1:53" s="1087" customFormat="1" x14ac:dyDescent="0.2">
      <c r="A14" s="1141" t="s">
        <v>4173</v>
      </c>
      <c r="B14" s="851" t="s">
        <v>2794</v>
      </c>
      <c r="C14" s="851" t="s">
        <v>303</v>
      </c>
      <c r="D14" s="886" t="s">
        <v>70</v>
      </c>
      <c r="E14" s="923" t="s">
        <v>70</v>
      </c>
      <c r="F14" s="2430"/>
      <c r="G14" s="2431"/>
      <c r="H14" s="2432"/>
      <c r="I14" s="2432"/>
      <c r="J14" s="2433"/>
      <c r="K14" s="2430"/>
      <c r="L14" s="2430"/>
      <c r="M14" s="327"/>
      <c r="N14" s="2430"/>
      <c r="O14" s="327">
        <f t="shared" si="4"/>
        <v>0</v>
      </c>
      <c r="P14" s="327"/>
      <c r="Q14" s="1253"/>
      <c r="R14" s="1254"/>
    </row>
    <row r="15" spans="1:53" s="1087" customFormat="1" x14ac:dyDescent="0.2">
      <c r="A15" s="1141" t="s">
        <v>4174</v>
      </c>
      <c r="B15" s="851" t="s">
        <v>2795</v>
      </c>
      <c r="C15" s="851" t="s">
        <v>4354</v>
      </c>
      <c r="D15" s="886" t="s">
        <v>70</v>
      </c>
      <c r="E15" s="923" t="s">
        <v>70</v>
      </c>
      <c r="F15" s="2430"/>
      <c r="G15" s="2431"/>
      <c r="H15" s="2432"/>
      <c r="I15" s="2432"/>
      <c r="J15" s="2433"/>
      <c r="K15" s="2430"/>
      <c r="L15" s="2430"/>
      <c r="M15" s="327"/>
      <c r="N15" s="2430"/>
      <c r="O15" s="327">
        <f t="shared" si="4"/>
        <v>0</v>
      </c>
      <c r="P15" s="327"/>
      <c r="Q15" s="1253"/>
      <c r="R15" s="1254"/>
    </row>
    <row r="16" spans="1:53" s="1087" customFormat="1" ht="30" x14ac:dyDescent="0.2">
      <c r="A16" s="1141" t="s">
        <v>4175</v>
      </c>
      <c r="B16" s="851" t="s">
        <v>2796</v>
      </c>
      <c r="C16" s="851" t="s">
        <v>5593</v>
      </c>
      <c r="D16" s="886" t="s">
        <v>70</v>
      </c>
      <c r="E16" s="923" t="s">
        <v>70</v>
      </c>
      <c r="F16" s="2424"/>
      <c r="G16" s="2437"/>
      <c r="H16" s="2426"/>
      <c r="I16" s="2427"/>
      <c r="J16" s="2435"/>
      <c r="K16" s="2429"/>
      <c r="L16" s="2429"/>
      <c r="M16" s="327"/>
      <c r="N16" s="2424"/>
      <c r="O16" s="327">
        <f t="shared" si="4"/>
        <v>0</v>
      </c>
      <c r="P16" s="327"/>
      <c r="Q16" s="1253"/>
      <c r="R16" s="1254"/>
    </row>
    <row r="17" spans="1:18" s="1087" customFormat="1" ht="45" x14ac:dyDescent="0.2">
      <c r="A17" s="1141" t="s">
        <v>4176</v>
      </c>
      <c r="B17" s="851" t="s">
        <v>2798</v>
      </c>
      <c r="C17" s="851" t="s">
        <v>5594</v>
      </c>
      <c r="D17" s="886" t="s">
        <v>70</v>
      </c>
      <c r="E17" s="923" t="s">
        <v>70</v>
      </c>
      <c r="F17" s="2424"/>
      <c r="G17" s="2436"/>
      <c r="H17" s="2436"/>
      <c r="I17" s="2436"/>
      <c r="J17" s="2436"/>
      <c r="K17" s="2429"/>
      <c r="L17" s="2436"/>
      <c r="M17" s="327"/>
      <c r="N17" s="2424"/>
      <c r="O17" s="327">
        <f t="shared" si="4"/>
        <v>0</v>
      </c>
      <c r="P17" s="327"/>
      <c r="Q17" s="3434"/>
      <c r="R17" s="1254"/>
    </row>
    <row r="18" spans="1:18" s="1087" customFormat="1" ht="30" x14ac:dyDescent="0.2">
      <c r="A18" s="1141" t="s">
        <v>4177</v>
      </c>
      <c r="B18" s="240" t="s">
        <v>326</v>
      </c>
      <c r="C18" s="240" t="s">
        <v>327</v>
      </c>
      <c r="D18" s="889" t="s">
        <v>85</v>
      </c>
      <c r="E18" s="923" t="s">
        <v>86</v>
      </c>
      <c r="F18" s="2424"/>
      <c r="G18" s="2436"/>
      <c r="H18" s="2436"/>
      <c r="I18" s="2439"/>
      <c r="J18" s="2436"/>
      <c r="K18" s="2436"/>
      <c r="L18" s="2436"/>
      <c r="M18" s="327"/>
      <c r="N18" s="2424"/>
      <c r="O18" s="327">
        <f>M18*N18</f>
        <v>0</v>
      </c>
      <c r="P18" s="327"/>
      <c r="Q18" s="1236"/>
      <c r="R18" s="1173"/>
    </row>
    <row r="19" spans="1:18" s="1087" customFormat="1" x14ac:dyDescent="0.2">
      <c r="A19" s="1141" t="s">
        <v>4178</v>
      </c>
      <c r="B19" s="851" t="s">
        <v>2806</v>
      </c>
      <c r="C19" s="851" t="s">
        <v>306</v>
      </c>
      <c r="D19" s="886" t="s">
        <v>70</v>
      </c>
      <c r="E19" s="923" t="s">
        <v>70</v>
      </c>
      <c r="F19" s="2424"/>
      <c r="G19" s="2436"/>
      <c r="H19" s="2436"/>
      <c r="I19" s="2439"/>
      <c r="J19" s="2436"/>
      <c r="K19" s="2436"/>
      <c r="L19" s="2436"/>
      <c r="M19" s="327"/>
      <c r="N19" s="2424"/>
      <c r="O19" s="327">
        <f>M19*N19</f>
        <v>0</v>
      </c>
      <c r="P19" s="327"/>
      <c r="Q19" s="1253"/>
      <c r="R19" s="1254"/>
    </row>
    <row r="20" spans="1:18" s="1087" customFormat="1" x14ac:dyDescent="0.2">
      <c r="A20" s="1141" t="s">
        <v>4179</v>
      </c>
      <c r="B20" s="1043"/>
      <c r="C20" s="851" t="s">
        <v>2977</v>
      </c>
      <c r="D20" s="886" t="s">
        <v>70</v>
      </c>
      <c r="E20" s="923" t="s">
        <v>70</v>
      </c>
      <c r="F20" s="2424"/>
      <c r="G20" s="2436"/>
      <c r="H20" s="2436"/>
      <c r="I20" s="2439"/>
      <c r="J20" s="2436"/>
      <c r="K20" s="2436"/>
      <c r="L20" s="2436"/>
      <c r="M20" s="327"/>
      <c r="N20" s="2424"/>
      <c r="O20" s="3276">
        <f>M20*N20</f>
        <v>0</v>
      </c>
      <c r="P20" s="3276"/>
      <c r="Q20" s="1253"/>
      <c r="R20" s="1254"/>
    </row>
    <row r="21" spans="1:18" ht="30" x14ac:dyDescent="0.2">
      <c r="A21" s="1226" t="s">
        <v>308</v>
      </c>
      <c r="B21" s="1227" t="s">
        <v>4887</v>
      </c>
      <c r="C21" s="1228" t="s">
        <v>309</v>
      </c>
      <c r="D21" s="1229"/>
      <c r="E21" s="1229"/>
      <c r="F21" s="321"/>
      <c r="G21" s="321"/>
      <c r="H21" s="1237"/>
      <c r="I21" s="1237"/>
      <c r="J21" s="1237"/>
      <c r="K21" s="321"/>
      <c r="L21" s="321"/>
      <c r="M21" s="1233"/>
      <c r="N21" s="349"/>
      <c r="O21" s="1237">
        <f>SUM(O22:O35)</f>
        <v>0</v>
      </c>
      <c r="P21" s="1237"/>
      <c r="Q21" s="1234"/>
      <c r="R21" s="1235"/>
    </row>
    <row r="22" spans="1:18" s="1087" customFormat="1" ht="30" x14ac:dyDescent="0.2">
      <c r="A22" s="1141" t="s">
        <v>4180</v>
      </c>
      <c r="B22" s="851" t="s">
        <v>2799</v>
      </c>
      <c r="C22" s="872" t="s">
        <v>301</v>
      </c>
      <c r="D22" s="886" t="s">
        <v>70</v>
      </c>
      <c r="E22" s="923" t="s">
        <v>70</v>
      </c>
      <c r="F22" s="2424"/>
      <c r="G22" s="2429"/>
      <c r="H22" s="2442"/>
      <c r="I22" s="2443"/>
      <c r="J22" s="2436"/>
      <c r="K22" s="2429"/>
      <c r="L22" s="2429"/>
      <c r="M22" s="327"/>
      <c r="N22" s="2424"/>
      <c r="O22" s="327">
        <f t="shared" ref="O22:O34" si="5">M22*N22</f>
        <v>0</v>
      </c>
      <c r="P22" s="327"/>
      <c r="Q22" s="3309"/>
      <c r="R22" s="1255"/>
    </row>
    <row r="23" spans="1:18" s="1087" customFormat="1" ht="30" x14ac:dyDescent="0.2">
      <c r="A23" s="1141" t="s">
        <v>4181</v>
      </c>
      <c r="B23" s="851" t="s">
        <v>310</v>
      </c>
      <c r="C23" s="851" t="s">
        <v>311</v>
      </c>
      <c r="D23" s="891" t="s">
        <v>85</v>
      </c>
      <c r="E23" s="923" t="s">
        <v>312</v>
      </c>
      <c r="F23" s="2424"/>
      <c r="G23" s="2436"/>
      <c r="H23" s="2436"/>
      <c r="I23" s="2436"/>
      <c r="J23" s="2436"/>
      <c r="K23" s="2436"/>
      <c r="L23" s="2436"/>
      <c r="M23" s="327"/>
      <c r="N23" s="2424"/>
      <c r="O23" s="327">
        <f t="shared" si="5"/>
        <v>0</v>
      </c>
      <c r="P23" s="327"/>
      <c r="Q23" s="1236"/>
      <c r="R23" s="1173"/>
    </row>
    <row r="24" spans="1:18" s="1087" customFormat="1" ht="30" x14ac:dyDescent="0.2">
      <c r="A24" s="1141" t="s">
        <v>4182</v>
      </c>
      <c r="B24" s="851" t="s">
        <v>313</v>
      </c>
      <c r="C24" s="851" t="s">
        <v>4890</v>
      </c>
      <c r="D24" s="891" t="s">
        <v>85</v>
      </c>
      <c r="E24" s="923" t="s">
        <v>314</v>
      </c>
      <c r="F24" s="2424"/>
      <c r="G24" s="2436"/>
      <c r="H24" s="2436"/>
      <c r="I24" s="2436"/>
      <c r="J24" s="2436"/>
      <c r="K24" s="2436"/>
      <c r="L24" s="2436"/>
      <c r="M24" s="327"/>
      <c r="N24" s="2424"/>
      <c r="O24" s="327">
        <f t="shared" si="5"/>
        <v>0</v>
      </c>
      <c r="P24" s="327"/>
      <c r="Q24" s="1236"/>
      <c r="R24" s="1173"/>
    </row>
    <row r="25" spans="1:18" s="1087" customFormat="1" x14ac:dyDescent="0.2">
      <c r="A25" s="1141" t="s">
        <v>4183</v>
      </c>
      <c r="B25" s="851" t="s">
        <v>2803</v>
      </c>
      <c r="C25" s="851" t="s">
        <v>305</v>
      </c>
      <c r="D25" s="886" t="s">
        <v>70</v>
      </c>
      <c r="E25" s="923" t="s">
        <v>70</v>
      </c>
      <c r="F25" s="2424"/>
      <c r="G25" s="2425"/>
      <c r="H25" s="2436"/>
      <c r="I25" s="2444"/>
      <c r="J25" s="2436"/>
      <c r="K25" s="2429"/>
      <c r="L25" s="2429"/>
      <c r="M25" s="327"/>
      <c r="N25" s="2424"/>
      <c r="O25" s="327">
        <f t="shared" si="5"/>
        <v>0</v>
      </c>
      <c r="P25" s="327"/>
      <c r="Q25" s="1236"/>
      <c r="R25" s="1173"/>
    </row>
    <row r="26" spans="1:18" s="1087" customFormat="1" x14ac:dyDescent="0.2">
      <c r="A26" s="1141" t="s">
        <v>4184</v>
      </c>
      <c r="B26" s="851" t="s">
        <v>2800</v>
      </c>
      <c r="C26" s="851" t="s">
        <v>302</v>
      </c>
      <c r="D26" s="886" t="s">
        <v>70</v>
      </c>
      <c r="E26" s="923" t="s">
        <v>70</v>
      </c>
      <c r="F26" s="2424"/>
      <c r="G26" s="2436"/>
      <c r="H26" s="2436"/>
      <c r="I26" s="2436"/>
      <c r="J26" s="2436"/>
      <c r="K26" s="2436"/>
      <c r="L26" s="2436"/>
      <c r="M26" s="327"/>
      <c r="N26" s="2424"/>
      <c r="O26" s="327">
        <f t="shared" si="5"/>
        <v>0</v>
      </c>
      <c r="P26" s="327"/>
      <c r="Q26" s="1236"/>
      <c r="R26" s="1173"/>
    </row>
    <row r="27" spans="1:18" s="1087" customFormat="1" x14ac:dyDescent="0.2">
      <c r="A27" s="1141" t="s">
        <v>4185</v>
      </c>
      <c r="B27" s="851" t="s">
        <v>2801</v>
      </c>
      <c r="C27" s="851" t="s">
        <v>303</v>
      </c>
      <c r="D27" s="886" t="s">
        <v>70</v>
      </c>
      <c r="E27" s="923" t="s">
        <v>70</v>
      </c>
      <c r="F27" s="2424"/>
      <c r="G27" s="2425"/>
      <c r="H27" s="2436"/>
      <c r="I27" s="2444"/>
      <c r="J27" s="2436"/>
      <c r="K27" s="2436"/>
      <c r="L27" s="2436"/>
      <c r="M27" s="327"/>
      <c r="N27" s="2424"/>
      <c r="O27" s="327">
        <f t="shared" si="5"/>
        <v>0</v>
      </c>
      <c r="P27" s="327"/>
      <c r="Q27" s="1236"/>
      <c r="R27" s="1173"/>
    </row>
    <row r="28" spans="1:18" s="1087" customFormat="1" x14ac:dyDescent="0.25">
      <c r="A28" s="1141" t="s">
        <v>4186</v>
      </c>
      <c r="B28" s="851" t="s">
        <v>2802</v>
      </c>
      <c r="C28" s="1238" t="s">
        <v>5577</v>
      </c>
      <c r="D28" s="886" t="s">
        <v>70</v>
      </c>
      <c r="E28" s="923" t="s">
        <v>4365</v>
      </c>
      <c r="F28" s="2424"/>
      <c r="G28" s="2425"/>
      <c r="H28" s="2436"/>
      <c r="I28" s="2436"/>
      <c r="J28" s="2436"/>
      <c r="K28" s="2436"/>
      <c r="L28" s="2436"/>
      <c r="M28" s="327"/>
      <c r="N28" s="2424"/>
      <c r="O28" s="327">
        <f t="shared" si="5"/>
        <v>0</v>
      </c>
      <c r="P28" s="327"/>
      <c r="Q28" s="1236"/>
      <c r="R28" s="978"/>
    </row>
    <row r="29" spans="1:18" s="1087" customFormat="1" x14ac:dyDescent="0.2">
      <c r="A29" s="1141" t="s">
        <v>4187</v>
      </c>
      <c r="B29" s="872" t="s">
        <v>2041</v>
      </c>
      <c r="C29" s="872" t="s">
        <v>4611</v>
      </c>
      <c r="D29" s="886" t="s">
        <v>70</v>
      </c>
      <c r="E29" s="923" t="s">
        <v>4365</v>
      </c>
      <c r="F29" s="2430"/>
      <c r="G29" s="2430"/>
      <c r="H29" s="2430"/>
      <c r="I29" s="2445"/>
      <c r="J29" s="2430"/>
      <c r="K29" s="2430"/>
      <c r="L29" s="2430"/>
      <c r="M29" s="327"/>
      <c r="N29" s="2430"/>
      <c r="O29" s="327">
        <f t="shared" si="5"/>
        <v>0</v>
      </c>
      <c r="P29" s="327"/>
      <c r="Q29" s="1236"/>
      <c r="R29" s="978"/>
    </row>
    <row r="30" spans="1:18" x14ac:dyDescent="0.2">
      <c r="A30" s="1141" t="s">
        <v>4188</v>
      </c>
      <c r="B30" s="1141"/>
      <c r="C30" s="1141" t="s">
        <v>4612</v>
      </c>
      <c r="D30" s="886" t="s">
        <v>70</v>
      </c>
      <c r="E30" s="923" t="s">
        <v>4365</v>
      </c>
      <c r="F30" s="2446"/>
      <c r="G30" s="2439"/>
      <c r="H30" s="2439"/>
      <c r="I30" s="2439"/>
      <c r="J30" s="2439"/>
      <c r="K30" s="2436"/>
      <c r="L30" s="2436"/>
      <c r="M30" s="327"/>
      <c r="N30" s="2446"/>
      <c r="O30" s="327">
        <f t="shared" si="5"/>
        <v>0</v>
      </c>
      <c r="P30" s="327"/>
      <c r="Q30" s="1236"/>
      <c r="R30" s="978"/>
    </row>
    <row r="31" spans="1:18" s="1087" customFormat="1" x14ac:dyDescent="0.2">
      <c r="A31" s="1141" t="s">
        <v>4189</v>
      </c>
      <c r="B31" s="851" t="s">
        <v>2804</v>
      </c>
      <c r="C31" s="851" t="s">
        <v>306</v>
      </c>
      <c r="D31" s="886" t="s">
        <v>70</v>
      </c>
      <c r="E31" s="923" t="s">
        <v>70</v>
      </c>
      <c r="F31" s="2424"/>
      <c r="G31" s="2436"/>
      <c r="H31" s="2436"/>
      <c r="I31" s="2436"/>
      <c r="J31" s="2436"/>
      <c r="K31" s="2436"/>
      <c r="L31" s="2436"/>
      <c r="M31" s="327"/>
      <c r="N31" s="2424"/>
      <c r="O31" s="327">
        <f t="shared" si="5"/>
        <v>0</v>
      </c>
      <c r="P31" s="327"/>
      <c r="Q31" s="1236"/>
      <c r="R31" s="1173"/>
    </row>
    <row r="32" spans="1:18" s="1087" customFormat="1" x14ac:dyDescent="0.2">
      <c r="A32" s="1141" t="s">
        <v>4190</v>
      </c>
      <c r="B32" s="1043"/>
      <c r="C32" s="851" t="s">
        <v>2399</v>
      </c>
      <c r="D32" s="886" t="s">
        <v>70</v>
      </c>
      <c r="E32" s="923" t="s">
        <v>70</v>
      </c>
      <c r="F32" s="2424"/>
      <c r="G32" s="2436"/>
      <c r="H32" s="2436"/>
      <c r="I32" s="2439"/>
      <c r="J32" s="2436"/>
      <c r="K32" s="2436"/>
      <c r="L32" s="2436"/>
      <c r="M32" s="327"/>
      <c r="N32" s="2424"/>
      <c r="O32" s="327">
        <f t="shared" si="5"/>
        <v>0</v>
      </c>
      <c r="P32" s="327"/>
      <c r="Q32" s="1236"/>
      <c r="R32" s="1173"/>
    </row>
    <row r="33" spans="1:18" s="1087" customFormat="1" ht="45" x14ac:dyDescent="0.2">
      <c r="A33" s="1141" t="s">
        <v>4191</v>
      </c>
      <c r="B33" s="1043"/>
      <c r="C33" s="851" t="s">
        <v>2403</v>
      </c>
      <c r="D33" s="886" t="s">
        <v>70</v>
      </c>
      <c r="E33" s="923" t="s">
        <v>2402</v>
      </c>
      <c r="F33" s="2424"/>
      <c r="G33" s="2437"/>
      <c r="H33" s="2434"/>
      <c r="I33" s="2434"/>
      <c r="J33" s="2435"/>
      <c r="K33" s="2447"/>
      <c r="L33" s="2447"/>
      <c r="M33" s="327"/>
      <c r="N33" s="2424"/>
      <c r="O33" s="327">
        <f t="shared" si="5"/>
        <v>0</v>
      </c>
      <c r="P33" s="327"/>
      <c r="Q33" s="1240"/>
      <c r="R33" s="1241"/>
    </row>
    <row r="34" spans="1:18" s="1087" customFormat="1" ht="30" x14ac:dyDescent="0.2">
      <c r="A34" s="1141" t="s">
        <v>4192</v>
      </c>
      <c r="B34" s="1043"/>
      <c r="C34" s="851" t="s">
        <v>4135</v>
      </c>
      <c r="D34" s="889" t="s">
        <v>85</v>
      </c>
      <c r="E34" s="923" t="s">
        <v>4132</v>
      </c>
      <c r="F34" s="2424"/>
      <c r="G34" s="2437"/>
      <c r="H34" s="2434"/>
      <c r="I34" s="2434"/>
      <c r="J34" s="2435"/>
      <c r="K34" s="2448"/>
      <c r="L34" s="2448"/>
      <c r="M34" s="327"/>
      <c r="N34" s="2424"/>
      <c r="O34" s="327">
        <f t="shared" si="5"/>
        <v>0</v>
      </c>
      <c r="P34" s="327"/>
      <c r="Q34" s="1236"/>
      <c r="R34" s="1173"/>
    </row>
    <row r="35" spans="1:18" s="1087" customFormat="1" x14ac:dyDescent="0.2">
      <c r="A35" s="1141" t="s">
        <v>4192</v>
      </c>
      <c r="B35" s="1141"/>
      <c r="C35" s="872" t="s">
        <v>4641</v>
      </c>
      <c r="D35" s="886" t="s">
        <v>70</v>
      </c>
      <c r="E35" s="923" t="s">
        <v>70</v>
      </c>
      <c r="F35" s="2424"/>
      <c r="G35" s="2436"/>
      <c r="H35" s="2436"/>
      <c r="I35" s="2439"/>
      <c r="J35" s="2436"/>
      <c r="K35" s="2429"/>
      <c r="L35" s="2449"/>
      <c r="M35" s="327"/>
      <c r="N35" s="2424"/>
      <c r="O35" s="327">
        <v>0</v>
      </c>
      <c r="P35" s="327"/>
      <c r="Q35" s="1236"/>
      <c r="R35" s="1173"/>
    </row>
    <row r="36" spans="1:18" ht="60" x14ac:dyDescent="0.2">
      <c r="A36" s="1228" t="s">
        <v>315</v>
      </c>
      <c r="B36" s="1227" t="s">
        <v>2814</v>
      </c>
      <c r="C36" s="1228" t="s">
        <v>4554</v>
      </c>
      <c r="D36" s="1229"/>
      <c r="E36" s="1229"/>
      <c r="F36" s="321"/>
      <c r="G36" s="321"/>
      <c r="H36" s="1233"/>
      <c r="I36" s="1233"/>
      <c r="J36" s="1233"/>
      <c r="K36" s="321"/>
      <c r="L36" s="321"/>
      <c r="M36" s="1231"/>
      <c r="N36" s="349"/>
      <c r="O36" s="1233">
        <f>SUM(O37:O45)</f>
        <v>0</v>
      </c>
      <c r="P36" s="1233"/>
      <c r="Q36" s="1234"/>
      <c r="R36" s="1235">
        <f>SUM(R37:R45)</f>
        <v>0</v>
      </c>
    </row>
    <row r="37" spans="1:18" s="1087" customFormat="1" ht="30" x14ac:dyDescent="0.2">
      <c r="A37" s="1043" t="s">
        <v>4193</v>
      </c>
      <c r="B37" s="851" t="s">
        <v>2807</v>
      </c>
      <c r="C37" s="872" t="s">
        <v>301</v>
      </c>
      <c r="D37" s="886" t="s">
        <v>70</v>
      </c>
      <c r="E37" s="923" t="s">
        <v>70</v>
      </c>
      <c r="F37" s="2424"/>
      <c r="G37" s="2451"/>
      <c r="H37" s="2426"/>
      <c r="I37" s="2427"/>
      <c r="J37" s="2438"/>
      <c r="K37" s="2429"/>
      <c r="L37" s="2429"/>
      <c r="M37" s="327"/>
      <c r="N37" s="2424"/>
      <c r="O37" s="327">
        <f t="shared" ref="O37:O42" si="6">M37*N37</f>
        <v>0</v>
      </c>
      <c r="P37" s="327"/>
      <c r="Q37" s="1253"/>
      <c r="R37" s="1254"/>
    </row>
    <row r="38" spans="1:18" s="1087" customFormat="1" x14ac:dyDescent="0.2">
      <c r="A38" s="1043" t="s">
        <v>4194</v>
      </c>
      <c r="B38" s="851" t="s">
        <v>2812</v>
      </c>
      <c r="C38" s="851" t="s">
        <v>305</v>
      </c>
      <c r="D38" s="886" t="s">
        <v>70</v>
      </c>
      <c r="E38" s="923" t="s">
        <v>70</v>
      </c>
      <c r="F38" s="2424"/>
      <c r="G38" s="2451"/>
      <c r="H38" s="2426"/>
      <c r="I38" s="2426"/>
      <c r="J38" s="2438"/>
      <c r="K38" s="2430"/>
      <c r="L38" s="2430"/>
      <c r="M38" s="327"/>
      <c r="N38" s="2430"/>
      <c r="O38" s="327">
        <f t="shared" si="6"/>
        <v>0</v>
      </c>
      <c r="P38" s="327"/>
      <c r="Q38" s="1253"/>
      <c r="R38" s="1254"/>
    </row>
    <row r="39" spans="1:18" s="1087" customFormat="1" x14ac:dyDescent="0.2">
      <c r="A39" s="1043" t="s">
        <v>4195</v>
      </c>
      <c r="B39" s="851" t="s">
        <v>2808</v>
      </c>
      <c r="C39" s="851" t="s">
        <v>302</v>
      </c>
      <c r="D39" s="886" t="s">
        <v>70</v>
      </c>
      <c r="E39" s="923" t="s">
        <v>70</v>
      </c>
      <c r="F39" s="2424"/>
      <c r="G39" s="2451"/>
      <c r="H39" s="2426"/>
      <c r="I39" s="2426"/>
      <c r="J39" s="2438"/>
      <c r="K39" s="2438"/>
      <c r="L39" s="2436"/>
      <c r="M39" s="327"/>
      <c r="N39" s="2424"/>
      <c r="O39" s="327">
        <f t="shared" si="6"/>
        <v>0</v>
      </c>
      <c r="P39" s="327"/>
      <c r="Q39" s="1253"/>
      <c r="R39" s="1254"/>
    </row>
    <row r="40" spans="1:18" s="1087" customFormat="1" x14ac:dyDescent="0.2">
      <c r="A40" s="1043" t="s">
        <v>4196</v>
      </c>
      <c r="B40" s="851" t="s">
        <v>2809</v>
      </c>
      <c r="C40" s="851" t="s">
        <v>303</v>
      </c>
      <c r="D40" s="886" t="s">
        <v>70</v>
      </c>
      <c r="E40" s="923" t="s">
        <v>70</v>
      </c>
      <c r="F40" s="2424"/>
      <c r="G40" s="2451"/>
      <c r="H40" s="2426"/>
      <c r="I40" s="2427"/>
      <c r="J40" s="2438"/>
      <c r="K40" s="2430"/>
      <c r="L40" s="2430"/>
      <c r="M40" s="327"/>
      <c r="N40" s="2430"/>
      <c r="O40" s="327">
        <f t="shared" si="6"/>
        <v>0</v>
      </c>
      <c r="P40" s="327"/>
      <c r="Q40" s="1253"/>
      <c r="R40" s="1254"/>
    </row>
    <row r="41" spans="1:18" s="1087" customFormat="1" x14ac:dyDescent="0.2">
      <c r="A41" s="1043" t="s">
        <v>4197</v>
      </c>
      <c r="B41" s="851" t="s">
        <v>2810</v>
      </c>
      <c r="C41" s="1242" t="s">
        <v>5578</v>
      </c>
      <c r="D41" s="886" t="s">
        <v>70</v>
      </c>
      <c r="E41" s="923" t="s">
        <v>4365</v>
      </c>
      <c r="F41" s="2424"/>
      <c r="G41" s="2437"/>
      <c r="H41" s="2434"/>
      <c r="I41" s="2434"/>
      <c r="J41" s="2438"/>
      <c r="K41" s="2430"/>
      <c r="L41" s="2430"/>
      <c r="M41" s="327"/>
      <c r="N41" s="2430"/>
      <c r="O41" s="327">
        <f t="shared" si="6"/>
        <v>0</v>
      </c>
      <c r="P41" s="327"/>
      <c r="Q41" s="1236"/>
      <c r="R41" s="978"/>
    </row>
    <row r="42" spans="1:18" s="1087" customFormat="1" x14ac:dyDescent="0.2">
      <c r="A42" s="1043" t="s">
        <v>4198</v>
      </c>
      <c r="B42" s="851" t="s">
        <v>2811</v>
      </c>
      <c r="C42" s="851" t="s">
        <v>5586</v>
      </c>
      <c r="D42" s="886" t="s">
        <v>70</v>
      </c>
      <c r="E42" s="923" t="s">
        <v>2402</v>
      </c>
      <c r="F42" s="2424"/>
      <c r="G42" s="2437"/>
      <c r="H42" s="2434"/>
      <c r="I42" s="2434"/>
      <c r="J42" s="2438"/>
      <c r="K42" s="2429"/>
      <c r="L42" s="2429"/>
      <c r="M42" s="327"/>
      <c r="N42" s="2424"/>
      <c r="O42" s="327">
        <f t="shared" si="6"/>
        <v>0</v>
      </c>
      <c r="P42" s="327"/>
      <c r="Q42" s="1240"/>
      <c r="R42" s="1241"/>
    </row>
    <row r="43" spans="1:18" s="1087" customFormat="1" ht="60" x14ac:dyDescent="0.25">
      <c r="A43" s="1043" t="s">
        <v>4199</v>
      </c>
      <c r="B43" s="1043"/>
      <c r="C43" s="1243" t="s">
        <v>5587</v>
      </c>
      <c r="D43" s="886" t="s">
        <v>70</v>
      </c>
      <c r="E43" s="923" t="s">
        <v>4889</v>
      </c>
      <c r="F43" s="2424"/>
      <c r="G43" s="2437"/>
      <c r="H43" s="2434"/>
      <c r="I43" s="2434"/>
      <c r="J43" s="2438"/>
      <c r="K43" s="2438"/>
      <c r="L43" s="2429"/>
      <c r="M43" s="327"/>
      <c r="N43" s="2424"/>
      <c r="O43" s="327">
        <f>M43*N43</f>
        <v>0</v>
      </c>
      <c r="P43" s="327"/>
      <c r="Q43" s="1240"/>
      <c r="R43" s="1241"/>
    </row>
    <row r="44" spans="1:18" s="1087" customFormat="1" x14ac:dyDescent="0.2">
      <c r="A44" s="1043" t="s">
        <v>4200</v>
      </c>
      <c r="B44" s="851" t="s">
        <v>2813</v>
      </c>
      <c r="C44" s="851" t="s">
        <v>306</v>
      </c>
      <c r="D44" s="886" t="s">
        <v>70</v>
      </c>
      <c r="E44" s="923" t="s">
        <v>70</v>
      </c>
      <c r="F44" s="2424"/>
      <c r="G44" s="2437"/>
      <c r="H44" s="2434"/>
      <c r="I44" s="2434"/>
      <c r="J44" s="2438"/>
      <c r="K44" s="2438"/>
      <c r="L44" s="2436"/>
      <c r="M44" s="327"/>
      <c r="N44" s="2424"/>
      <c r="O44" s="327">
        <f>M44*N44</f>
        <v>0</v>
      </c>
      <c r="P44" s="327"/>
      <c r="Q44" s="3309"/>
      <c r="R44" s="1254"/>
    </row>
    <row r="45" spans="1:18" s="1087" customFormat="1" x14ac:dyDescent="0.2">
      <c r="A45" s="1043" t="s">
        <v>4201</v>
      </c>
      <c r="B45" s="1043"/>
      <c r="C45" s="851" t="s">
        <v>4641</v>
      </c>
      <c r="D45" s="886" t="s">
        <v>70</v>
      </c>
      <c r="E45" s="923" t="s">
        <v>70</v>
      </c>
      <c r="F45" s="2424"/>
      <c r="G45" s="2437"/>
      <c r="H45" s="2434"/>
      <c r="I45" s="2434"/>
      <c r="J45" s="2438"/>
      <c r="K45" s="2429"/>
      <c r="L45" s="2449"/>
      <c r="M45" s="327"/>
      <c r="N45" s="2424"/>
      <c r="O45" s="327">
        <f>M45*N45</f>
        <v>0</v>
      </c>
      <c r="P45" s="327"/>
      <c r="Q45" s="1253"/>
      <c r="R45" s="1254"/>
    </row>
    <row r="46" spans="1:18" ht="45" x14ac:dyDescent="0.2">
      <c r="A46" s="1226" t="s">
        <v>316</v>
      </c>
      <c r="B46" s="1227" t="s">
        <v>2805</v>
      </c>
      <c r="C46" s="1228" t="s">
        <v>317</v>
      </c>
      <c r="D46" s="1229"/>
      <c r="E46" s="1229"/>
      <c r="F46" s="321"/>
      <c r="G46" s="321"/>
      <c r="H46" s="1233"/>
      <c r="I46" s="1233"/>
      <c r="J46" s="1233"/>
      <c r="K46" s="321"/>
      <c r="L46" s="321"/>
      <c r="M46" s="1231"/>
      <c r="N46" s="349"/>
      <c r="O46" s="1233">
        <f>SUM(O47:O53)</f>
        <v>0</v>
      </c>
      <c r="P46" s="1233"/>
      <c r="Q46" s="1234"/>
      <c r="R46" s="1235">
        <f>SUM(R47:R53)</f>
        <v>0</v>
      </c>
    </row>
    <row r="47" spans="1:18" s="1087" customFormat="1" ht="30" x14ac:dyDescent="0.2">
      <c r="A47" s="1141" t="s">
        <v>4202</v>
      </c>
      <c r="B47" s="851" t="s">
        <v>2815</v>
      </c>
      <c r="C47" s="872" t="s">
        <v>301</v>
      </c>
      <c r="D47" s="886" t="s">
        <v>70</v>
      </c>
      <c r="E47" s="923" t="s">
        <v>70</v>
      </c>
      <c r="F47" s="256"/>
      <c r="G47" s="256"/>
      <c r="H47" s="256"/>
      <c r="I47" s="256"/>
      <c r="J47" s="256"/>
      <c r="K47" s="256"/>
      <c r="L47" s="304"/>
      <c r="M47" s="327"/>
      <c r="N47" s="304"/>
      <c r="O47" s="327">
        <f t="shared" ref="O47:O52" si="7">M47*N47</f>
        <v>0</v>
      </c>
      <c r="P47" s="327"/>
      <c r="Q47" s="1253"/>
      <c r="R47" s="1254"/>
    </row>
    <row r="48" spans="1:18" s="1087" customFormat="1" x14ac:dyDescent="0.2">
      <c r="A48" s="1141" t="s">
        <v>4203</v>
      </c>
      <c r="B48" s="851" t="s">
        <v>2819</v>
      </c>
      <c r="C48" s="851" t="s">
        <v>305</v>
      </c>
      <c r="D48" s="886" t="s">
        <v>70</v>
      </c>
      <c r="E48" s="923" t="s">
        <v>70</v>
      </c>
      <c r="F48" s="259"/>
      <c r="G48" s="260"/>
      <c r="H48" s="261"/>
      <c r="I48" s="261"/>
      <c r="J48" s="259"/>
      <c r="K48" s="259"/>
      <c r="L48" s="304"/>
      <c r="M48" s="327"/>
      <c r="N48" s="304"/>
      <c r="O48" s="327">
        <f t="shared" si="7"/>
        <v>0</v>
      </c>
      <c r="P48" s="327"/>
      <c r="Q48" s="1253"/>
      <c r="R48" s="1254"/>
    </row>
    <row r="49" spans="1:18" s="1087" customFormat="1" x14ac:dyDescent="0.2">
      <c r="A49" s="1141" t="s">
        <v>4204</v>
      </c>
      <c r="B49" s="851" t="s">
        <v>2816</v>
      </c>
      <c r="C49" s="851" t="s">
        <v>302</v>
      </c>
      <c r="D49" s="886" t="s">
        <v>70</v>
      </c>
      <c r="E49" s="923" t="s">
        <v>70</v>
      </c>
      <c r="F49" s="2424"/>
      <c r="G49" s="2437"/>
      <c r="H49" s="2434"/>
      <c r="I49" s="2434"/>
      <c r="J49" s="2438"/>
      <c r="K49" s="2429"/>
      <c r="L49" s="2436"/>
      <c r="M49" s="327"/>
      <c r="N49" s="2424"/>
      <c r="O49" s="327">
        <f t="shared" si="7"/>
        <v>0</v>
      </c>
      <c r="P49" s="327"/>
      <c r="Q49" s="1253"/>
      <c r="R49" s="1254"/>
    </row>
    <row r="50" spans="1:18" s="1087" customFormat="1" x14ac:dyDescent="0.2">
      <c r="A50" s="1141" t="s">
        <v>4205</v>
      </c>
      <c r="B50" s="851" t="s">
        <v>2817</v>
      </c>
      <c r="C50" s="851" t="s">
        <v>303</v>
      </c>
      <c r="D50" s="886" t="s">
        <v>70</v>
      </c>
      <c r="E50" s="923" t="s">
        <v>70</v>
      </c>
      <c r="F50" s="2424"/>
      <c r="G50" s="2437"/>
      <c r="H50" s="2434"/>
      <c r="I50" s="2452"/>
      <c r="J50" s="2438"/>
      <c r="K50" s="2429"/>
      <c r="L50" s="2429"/>
      <c r="M50" s="327"/>
      <c r="N50" s="2424"/>
      <c r="O50" s="327">
        <f t="shared" si="7"/>
        <v>0</v>
      </c>
      <c r="P50" s="327"/>
      <c r="Q50" s="1253"/>
      <c r="R50" s="1254"/>
    </row>
    <row r="51" spans="1:18" s="1087" customFormat="1" x14ac:dyDescent="0.2">
      <c r="A51" s="1141" t="s">
        <v>4206</v>
      </c>
      <c r="B51" s="851" t="s">
        <v>2818</v>
      </c>
      <c r="C51" s="851" t="s">
        <v>304</v>
      </c>
      <c r="D51" s="886" t="s">
        <v>70</v>
      </c>
      <c r="E51" s="923" t="s">
        <v>70</v>
      </c>
      <c r="F51" s="2424"/>
      <c r="G51" s="2437"/>
      <c r="H51" s="2434"/>
      <c r="I51" s="2434"/>
      <c r="J51" s="2438"/>
      <c r="K51" s="2438"/>
      <c r="L51" s="2436"/>
      <c r="M51" s="327"/>
      <c r="N51" s="2424"/>
      <c r="O51" s="327">
        <f t="shared" si="7"/>
        <v>0</v>
      </c>
      <c r="P51" s="327"/>
      <c r="Q51" s="1253"/>
      <c r="R51" s="1254"/>
    </row>
    <row r="52" spans="1:18" s="1087" customFormat="1" ht="30" x14ac:dyDescent="0.2">
      <c r="A52" s="1141" t="s">
        <v>4207</v>
      </c>
      <c r="B52" s="851" t="s">
        <v>2820</v>
      </c>
      <c r="C52" s="851" t="s">
        <v>2821</v>
      </c>
      <c r="D52" s="886" t="s">
        <v>70</v>
      </c>
      <c r="E52" s="923" t="s">
        <v>70</v>
      </c>
      <c r="F52" s="2424"/>
      <c r="G52" s="2453"/>
      <c r="H52" s="2434"/>
      <c r="I52" s="2434"/>
      <c r="J52" s="2454"/>
      <c r="K52" s="2429"/>
      <c r="L52" s="2455"/>
      <c r="M52" s="327"/>
      <c r="N52" s="2424"/>
      <c r="O52" s="327">
        <f t="shared" si="7"/>
        <v>0</v>
      </c>
      <c r="P52" s="327"/>
      <c r="Q52" s="1253"/>
      <c r="R52" s="1254"/>
    </row>
    <row r="53" spans="1:18" s="1087" customFormat="1" x14ac:dyDescent="0.2">
      <c r="A53" s="1141" t="s">
        <v>4208</v>
      </c>
      <c r="B53" s="1043"/>
      <c r="C53" s="851" t="s">
        <v>4641</v>
      </c>
      <c r="D53" s="886" t="s">
        <v>70</v>
      </c>
      <c r="E53" s="923" t="s">
        <v>70</v>
      </c>
      <c r="F53" s="2456"/>
      <c r="G53" s="2455"/>
      <c r="H53" s="2455"/>
      <c r="I53" s="2455"/>
      <c r="J53" s="2455"/>
      <c r="K53" s="2455"/>
      <c r="L53" s="2455"/>
      <c r="M53" s="327"/>
      <c r="N53" s="2456"/>
      <c r="O53" s="327">
        <f>M53*N53</f>
        <v>0</v>
      </c>
      <c r="P53" s="327"/>
      <c r="Q53" s="1253"/>
      <c r="R53" s="1254"/>
    </row>
    <row r="54" spans="1:18" s="1087" customFormat="1" x14ac:dyDescent="0.2">
      <c r="A54" s="1221" t="s">
        <v>318</v>
      </c>
      <c r="B54" s="1159" t="s">
        <v>328</v>
      </c>
      <c r="C54" s="1024" t="s">
        <v>329</v>
      </c>
      <c r="D54" s="886" t="s">
        <v>70</v>
      </c>
      <c r="E54" s="973" t="s">
        <v>70</v>
      </c>
      <c r="F54" s="264"/>
      <c r="G54" s="264"/>
      <c r="H54" s="264"/>
      <c r="I54" s="264"/>
      <c r="J54" s="264"/>
      <c r="K54" s="264"/>
      <c r="L54" s="355"/>
      <c r="M54" s="233"/>
      <c r="N54" s="64"/>
      <c r="O54" s="233">
        <f>M54*N54</f>
        <v>0</v>
      </c>
      <c r="P54" s="233"/>
      <c r="Q54" s="1224"/>
      <c r="R54" s="1244"/>
    </row>
    <row r="55" spans="1:18" x14ac:dyDescent="0.2">
      <c r="A55" s="356">
        <v>5.2</v>
      </c>
      <c r="B55" s="356"/>
      <c r="C55" s="1016" t="s">
        <v>16</v>
      </c>
      <c r="D55" s="1215"/>
      <c r="E55" s="1215"/>
      <c r="F55" s="347"/>
      <c r="G55" s="347"/>
      <c r="H55" s="225"/>
      <c r="I55" s="225"/>
      <c r="J55" s="225"/>
      <c r="K55" s="347"/>
      <c r="L55" s="347"/>
      <c r="M55" s="1217"/>
      <c r="N55" s="348"/>
      <c r="O55" s="225">
        <f>O56+O71</f>
        <v>0</v>
      </c>
      <c r="P55" s="225"/>
      <c r="Q55" s="1219"/>
      <c r="R55" s="1220">
        <f>R56+R71</f>
        <v>0</v>
      </c>
    </row>
    <row r="56" spans="1:18" ht="90" x14ac:dyDescent="0.2">
      <c r="A56" s="1226" t="s">
        <v>330</v>
      </c>
      <c r="B56" s="1227" t="s">
        <v>2822</v>
      </c>
      <c r="C56" s="1228" t="s">
        <v>4355</v>
      </c>
      <c r="D56" s="1229"/>
      <c r="E56" s="1229"/>
      <c r="F56" s="321"/>
      <c r="G56" s="321"/>
      <c r="H56" s="1233"/>
      <c r="I56" s="1233"/>
      <c r="J56" s="1233"/>
      <c r="K56" s="321"/>
      <c r="L56" s="321"/>
      <c r="M56" s="1231"/>
      <c r="N56" s="349"/>
      <c r="O56" s="1233">
        <f>SUM(O57:O70)</f>
        <v>0</v>
      </c>
      <c r="P56" s="1233"/>
      <c r="Q56" s="1234"/>
      <c r="R56" s="1235">
        <f>SUM(R57:R70)</f>
        <v>0</v>
      </c>
    </row>
    <row r="57" spans="1:18" s="1087" customFormat="1" x14ac:dyDescent="0.2">
      <c r="A57" s="1141" t="s">
        <v>331</v>
      </c>
      <c r="B57" s="851" t="s">
        <v>2828</v>
      </c>
      <c r="C57" s="851" t="s">
        <v>342</v>
      </c>
      <c r="D57" s="886" t="s">
        <v>70</v>
      </c>
      <c r="E57" s="923" t="s">
        <v>70</v>
      </c>
      <c r="F57" s="2424"/>
      <c r="G57" s="2436"/>
      <c r="H57" s="2436"/>
      <c r="I57" s="2436"/>
      <c r="J57" s="2436"/>
      <c r="K57" s="2436"/>
      <c r="L57" s="2436"/>
      <c r="M57" s="327"/>
      <c r="N57" s="2424"/>
      <c r="O57" s="327">
        <f t="shared" ref="O57:O62" si="8">M57*N57</f>
        <v>0</v>
      </c>
      <c r="P57" s="327"/>
      <c r="Q57" s="3435"/>
      <c r="R57" s="3441"/>
    </row>
    <row r="58" spans="1:18" s="1087" customFormat="1" x14ac:dyDescent="0.2">
      <c r="A58" s="1141" t="s">
        <v>332</v>
      </c>
      <c r="B58" s="851" t="s">
        <v>2827</v>
      </c>
      <c r="C58" s="851" t="s">
        <v>305</v>
      </c>
      <c r="D58" s="886" t="s">
        <v>70</v>
      </c>
      <c r="E58" s="923" t="s">
        <v>70</v>
      </c>
      <c r="F58" s="2424"/>
      <c r="G58" s="2436"/>
      <c r="H58" s="2436"/>
      <c r="I58" s="2436"/>
      <c r="J58" s="2436"/>
      <c r="K58" s="2436"/>
      <c r="L58" s="2436"/>
      <c r="M58" s="327"/>
      <c r="N58" s="2424"/>
      <c r="O58" s="327">
        <f t="shared" si="8"/>
        <v>0</v>
      </c>
      <c r="P58" s="327"/>
      <c r="Q58" s="1253"/>
      <c r="R58" s="1254"/>
    </row>
    <row r="59" spans="1:18" s="1087" customFormat="1" x14ac:dyDescent="0.2">
      <c r="A59" s="1141" t="s">
        <v>333</v>
      </c>
      <c r="B59" s="851" t="s">
        <v>2823</v>
      </c>
      <c r="C59" s="851" t="s">
        <v>302</v>
      </c>
      <c r="D59" s="886" t="s">
        <v>70</v>
      </c>
      <c r="E59" s="923" t="s">
        <v>70</v>
      </c>
      <c r="F59" s="2438"/>
      <c r="G59" s="2437"/>
      <c r="H59" s="2434"/>
      <c r="I59" s="2434"/>
      <c r="J59" s="2428"/>
      <c r="K59" s="2458"/>
      <c r="L59" s="2438"/>
      <c r="M59" s="327"/>
      <c r="N59" s="2438"/>
      <c r="O59" s="327">
        <f t="shared" si="8"/>
        <v>0</v>
      </c>
      <c r="P59" s="327"/>
      <c r="Q59" s="3435"/>
      <c r="R59" s="1254"/>
    </row>
    <row r="60" spans="1:18" s="1087" customFormat="1" x14ac:dyDescent="0.2">
      <c r="A60" s="1141" t="s">
        <v>335</v>
      </c>
      <c r="B60" s="851" t="s">
        <v>2824</v>
      </c>
      <c r="C60" s="851" t="s">
        <v>303</v>
      </c>
      <c r="D60" s="886" t="s">
        <v>70</v>
      </c>
      <c r="E60" s="923" t="s">
        <v>70</v>
      </c>
      <c r="F60" s="2430"/>
      <c r="G60" s="2431"/>
      <c r="H60" s="2432"/>
      <c r="I60" s="2432"/>
      <c r="J60" s="2457"/>
      <c r="K60" s="2458"/>
      <c r="L60" s="2430"/>
      <c r="M60" s="327"/>
      <c r="N60" s="2430"/>
      <c r="O60" s="327">
        <f t="shared" si="8"/>
        <v>0</v>
      </c>
      <c r="P60" s="327"/>
      <c r="Q60" s="3435"/>
      <c r="R60" s="1254"/>
    </row>
    <row r="61" spans="1:18" s="1087" customFormat="1" x14ac:dyDescent="0.2">
      <c r="A61" s="1141" t="s">
        <v>336</v>
      </c>
      <c r="B61" s="851" t="s">
        <v>2825</v>
      </c>
      <c r="C61" s="851" t="s">
        <v>334</v>
      </c>
      <c r="D61" s="886" t="s">
        <v>70</v>
      </c>
      <c r="E61" s="923" t="s">
        <v>70</v>
      </c>
      <c r="F61" s="2424"/>
      <c r="G61" s="2459"/>
      <c r="H61" s="2426"/>
      <c r="I61" s="2460"/>
      <c r="J61" s="2428"/>
      <c r="K61" s="2429"/>
      <c r="L61" s="2429"/>
      <c r="M61" s="327"/>
      <c r="N61" s="2424"/>
      <c r="O61" s="327">
        <f t="shared" si="8"/>
        <v>0</v>
      </c>
      <c r="P61" s="327"/>
      <c r="Q61" s="1253"/>
      <c r="R61" s="1254"/>
    </row>
    <row r="62" spans="1:18" s="1087" customFormat="1" x14ac:dyDescent="0.2">
      <c r="A62" s="1141" t="s">
        <v>339</v>
      </c>
      <c r="B62" s="851" t="s">
        <v>2830</v>
      </c>
      <c r="C62" s="851" t="s">
        <v>5588</v>
      </c>
      <c r="D62" s="886" t="s">
        <v>70</v>
      </c>
      <c r="E62" s="923" t="s">
        <v>2402</v>
      </c>
      <c r="F62" s="2424"/>
      <c r="G62" s="2436"/>
      <c r="H62" s="2436"/>
      <c r="I62" s="2444"/>
      <c r="J62" s="2436"/>
      <c r="K62" s="2429"/>
      <c r="L62" s="2429"/>
      <c r="M62" s="327"/>
      <c r="N62" s="2424"/>
      <c r="O62" s="327">
        <f t="shared" si="8"/>
        <v>0</v>
      </c>
      <c r="P62" s="327"/>
      <c r="Q62" s="1240"/>
      <c r="R62" s="1241"/>
    </row>
    <row r="63" spans="1:18" s="1087" customFormat="1" ht="30" x14ac:dyDescent="0.2">
      <c r="A63" s="1141" t="s">
        <v>340</v>
      </c>
      <c r="B63" s="872" t="s">
        <v>2826</v>
      </c>
      <c r="C63" s="851" t="s">
        <v>5589</v>
      </c>
      <c r="D63" s="886" t="s">
        <v>70</v>
      </c>
      <c r="E63" s="923" t="s">
        <v>4889</v>
      </c>
      <c r="F63" s="2424"/>
      <c r="G63" s="2450"/>
      <c r="H63" s="2450"/>
      <c r="I63" s="2450"/>
      <c r="J63" s="2450"/>
      <c r="K63" s="2436"/>
      <c r="L63" s="2436"/>
      <c r="M63" s="327"/>
      <c r="N63" s="2424"/>
      <c r="O63" s="327">
        <f t="shared" ref="O63:O70" si="9">M63*N63</f>
        <v>0</v>
      </c>
      <c r="P63" s="327"/>
      <c r="Q63" s="1240"/>
      <c r="R63" s="1241">
        <f>'Ab1. RMNCH+A'!R123</f>
        <v>0</v>
      </c>
    </row>
    <row r="64" spans="1:18" s="1087" customFormat="1" x14ac:dyDescent="0.2">
      <c r="A64" s="1141" t="s">
        <v>341</v>
      </c>
      <c r="B64" s="851" t="s">
        <v>2829</v>
      </c>
      <c r="C64" s="851" t="s">
        <v>5590</v>
      </c>
      <c r="D64" s="886" t="s">
        <v>70</v>
      </c>
      <c r="E64" s="923" t="s">
        <v>96</v>
      </c>
      <c r="F64" s="2424"/>
      <c r="G64" s="2436"/>
      <c r="H64" s="2436"/>
      <c r="I64" s="2436"/>
      <c r="J64" s="2436"/>
      <c r="K64" s="2436"/>
      <c r="L64" s="2436"/>
      <c r="M64" s="327"/>
      <c r="N64" s="2424"/>
      <c r="O64" s="327">
        <f t="shared" si="9"/>
        <v>0</v>
      </c>
      <c r="P64" s="327"/>
      <c r="Q64" s="1240"/>
      <c r="R64" s="1241">
        <f>'Ab1. RMNCH+A'!R352</f>
        <v>0</v>
      </c>
    </row>
    <row r="65" spans="1:18" s="1087" customFormat="1" x14ac:dyDescent="0.2">
      <c r="A65" s="1141" t="s">
        <v>343</v>
      </c>
      <c r="B65" s="851" t="s">
        <v>346</v>
      </c>
      <c r="C65" s="851" t="s">
        <v>347</v>
      </c>
      <c r="D65" s="977" t="s">
        <v>90</v>
      </c>
      <c r="E65" s="923" t="s">
        <v>193</v>
      </c>
      <c r="F65" s="2424"/>
      <c r="G65" s="2436"/>
      <c r="H65" s="2436"/>
      <c r="I65" s="2436"/>
      <c r="J65" s="2436"/>
      <c r="K65" s="2436"/>
      <c r="L65" s="2436"/>
      <c r="M65" s="327"/>
      <c r="N65" s="2424"/>
      <c r="O65" s="327">
        <f t="shared" si="9"/>
        <v>0</v>
      </c>
      <c r="P65" s="327"/>
      <c r="Q65" s="1236"/>
      <c r="R65" s="978">
        <f>'Ab1. RMNCH+A'!R303</f>
        <v>0</v>
      </c>
    </row>
    <row r="66" spans="1:18" s="1087" customFormat="1" x14ac:dyDescent="0.2">
      <c r="A66" s="1141" t="s">
        <v>344</v>
      </c>
      <c r="B66" s="851" t="s">
        <v>349</v>
      </c>
      <c r="C66" s="851" t="s">
        <v>350</v>
      </c>
      <c r="D66" s="977" t="s">
        <v>90</v>
      </c>
      <c r="E66" s="923" t="s">
        <v>131</v>
      </c>
      <c r="F66" s="2430"/>
      <c r="G66" s="2430"/>
      <c r="H66" s="2430"/>
      <c r="I66" s="2430"/>
      <c r="J66" s="2430"/>
      <c r="K66" s="2458"/>
      <c r="L66" s="2430"/>
      <c r="M66" s="327"/>
      <c r="N66" s="2430"/>
      <c r="O66" s="327">
        <f t="shared" si="9"/>
        <v>0</v>
      </c>
      <c r="P66" s="327"/>
      <c r="Q66" s="1236"/>
      <c r="R66" s="978">
        <f>'Ab1. RMNCH+A'!R124</f>
        <v>0</v>
      </c>
    </row>
    <row r="67" spans="1:18" s="1087" customFormat="1" x14ac:dyDescent="0.2">
      <c r="A67" s="1141" t="s">
        <v>345</v>
      </c>
      <c r="B67" s="1043"/>
      <c r="C67" s="851" t="s">
        <v>2399</v>
      </c>
      <c r="D67" s="886" t="s">
        <v>70</v>
      </c>
      <c r="E67" s="923" t="s">
        <v>70</v>
      </c>
      <c r="F67" s="2424"/>
      <c r="G67" s="2436"/>
      <c r="H67" s="2436"/>
      <c r="I67" s="2436"/>
      <c r="J67" s="2436"/>
      <c r="K67" s="2436"/>
      <c r="L67" s="2436"/>
      <c r="M67" s="327"/>
      <c r="N67" s="2424"/>
      <c r="O67" s="327">
        <f t="shared" si="9"/>
        <v>0</v>
      </c>
      <c r="P67" s="327"/>
      <c r="Q67" s="1253"/>
      <c r="R67" s="1254"/>
    </row>
    <row r="68" spans="1:18" s="1087" customFormat="1" x14ac:dyDescent="0.2">
      <c r="A68" s="1141" t="s">
        <v>348</v>
      </c>
      <c r="B68" s="851" t="s">
        <v>337</v>
      </c>
      <c r="C68" s="851" t="s">
        <v>338</v>
      </c>
      <c r="D68" s="886" t="s">
        <v>70</v>
      </c>
      <c r="E68" s="923" t="s">
        <v>70</v>
      </c>
      <c r="F68" s="2424"/>
      <c r="G68" s="2436"/>
      <c r="H68" s="2436"/>
      <c r="I68" s="2439"/>
      <c r="J68" s="2436"/>
      <c r="K68" s="2429"/>
      <c r="L68" s="2429"/>
      <c r="M68" s="327"/>
      <c r="N68" s="2424"/>
      <c r="O68" s="327">
        <f t="shared" si="9"/>
        <v>0</v>
      </c>
      <c r="P68" s="327"/>
      <c r="Q68" s="1253"/>
      <c r="R68" s="1254"/>
    </row>
    <row r="69" spans="1:18" s="1087" customFormat="1" x14ac:dyDescent="0.2">
      <c r="A69" s="1141" t="s">
        <v>351</v>
      </c>
      <c r="B69" s="851" t="s">
        <v>2831</v>
      </c>
      <c r="C69" s="851" t="s">
        <v>306</v>
      </c>
      <c r="D69" s="886" t="s">
        <v>70</v>
      </c>
      <c r="E69" s="923" t="s">
        <v>70</v>
      </c>
      <c r="F69" s="2424"/>
      <c r="G69" s="2436"/>
      <c r="H69" s="2436"/>
      <c r="I69" s="2436"/>
      <c r="J69" s="2436"/>
      <c r="K69" s="2436"/>
      <c r="L69" s="2436"/>
      <c r="M69" s="327"/>
      <c r="N69" s="2424"/>
      <c r="O69" s="327">
        <f t="shared" si="9"/>
        <v>0</v>
      </c>
      <c r="P69" s="327"/>
      <c r="Q69" s="1253"/>
      <c r="R69" s="1254"/>
    </row>
    <row r="70" spans="1:18" s="1087" customFormat="1" ht="18" x14ac:dyDescent="0.2">
      <c r="A70" s="1141" t="s">
        <v>2400</v>
      </c>
      <c r="B70" s="1043"/>
      <c r="C70" s="851" t="s">
        <v>307</v>
      </c>
      <c r="D70" s="886" t="s">
        <v>70</v>
      </c>
      <c r="E70" s="923" t="s">
        <v>70</v>
      </c>
      <c r="F70" s="2438"/>
      <c r="G70" s="2437"/>
      <c r="H70" s="2434"/>
      <c r="I70" s="2434"/>
      <c r="J70" s="2438"/>
      <c r="K70" s="2438"/>
      <c r="L70" s="2438"/>
      <c r="M70" s="327"/>
      <c r="N70" s="2438"/>
      <c r="O70" s="327">
        <f t="shared" si="9"/>
        <v>0</v>
      </c>
      <c r="P70" s="327"/>
      <c r="Q70" s="3280"/>
      <c r="R70" s="1254"/>
    </row>
    <row r="71" spans="1:18" ht="60" x14ac:dyDescent="0.2">
      <c r="A71" s="1226" t="s">
        <v>352</v>
      </c>
      <c r="B71" s="1246" t="s">
        <v>2832</v>
      </c>
      <c r="C71" s="1247" t="s">
        <v>353</v>
      </c>
      <c r="D71" s="1229"/>
      <c r="E71" s="1229"/>
      <c r="F71" s="321"/>
      <c r="G71" s="321"/>
      <c r="H71" s="1233"/>
      <c r="I71" s="1233"/>
      <c r="J71" s="1233"/>
      <c r="K71" s="321"/>
      <c r="L71" s="321"/>
      <c r="M71" s="1231"/>
      <c r="N71" s="349"/>
      <c r="O71" s="1233">
        <f>SUM(O72:O81)</f>
        <v>0</v>
      </c>
      <c r="P71" s="1233"/>
      <c r="Q71" s="1234"/>
      <c r="R71" s="1235">
        <f>SUM(R72:R81)</f>
        <v>0</v>
      </c>
    </row>
    <row r="72" spans="1:18" s="1087" customFormat="1" x14ac:dyDescent="0.2">
      <c r="A72" s="1141" t="s">
        <v>354</v>
      </c>
      <c r="B72" s="851" t="s">
        <v>2839</v>
      </c>
      <c r="C72" s="851" t="s">
        <v>342</v>
      </c>
      <c r="D72" s="886" t="s">
        <v>70</v>
      </c>
      <c r="E72" s="923" t="s">
        <v>70</v>
      </c>
      <c r="F72" s="2424"/>
      <c r="G72" s="2437"/>
      <c r="H72" s="2426"/>
      <c r="I72" s="2427"/>
      <c r="J72" s="2438"/>
      <c r="K72" s="2429"/>
      <c r="L72" s="2429"/>
      <c r="M72" s="327"/>
      <c r="N72" s="304"/>
      <c r="O72" s="327">
        <f>M72*N72</f>
        <v>0</v>
      </c>
      <c r="P72" s="327"/>
      <c r="Q72" s="1253"/>
      <c r="R72" s="1254"/>
    </row>
    <row r="73" spans="1:18" s="1087" customFormat="1" x14ac:dyDescent="0.2">
      <c r="A73" s="1141" t="s">
        <v>355</v>
      </c>
      <c r="B73" s="851" t="s">
        <v>2838</v>
      </c>
      <c r="C73" s="851" t="s">
        <v>305</v>
      </c>
      <c r="D73" s="886" t="s">
        <v>70</v>
      </c>
      <c r="E73" s="923" t="s">
        <v>70</v>
      </c>
      <c r="F73" s="2424"/>
      <c r="G73" s="2437"/>
      <c r="H73" s="2434"/>
      <c r="I73" s="2434"/>
      <c r="J73" s="2438"/>
      <c r="K73" s="2429"/>
      <c r="L73" s="2429"/>
      <c r="M73" s="327"/>
      <c r="N73" s="2424"/>
      <c r="O73" s="327">
        <f>M73*N73</f>
        <v>0</v>
      </c>
      <c r="P73" s="327"/>
      <c r="Q73" s="3281"/>
      <c r="R73" s="1254"/>
    </row>
    <row r="74" spans="1:18" s="1087" customFormat="1" x14ac:dyDescent="0.2">
      <c r="A74" s="1141" t="s">
        <v>356</v>
      </c>
      <c r="B74" s="851" t="s">
        <v>2833</v>
      </c>
      <c r="C74" s="851" t="s">
        <v>302</v>
      </c>
      <c r="D74" s="886" t="s">
        <v>70</v>
      </c>
      <c r="E74" s="923" t="s">
        <v>70</v>
      </c>
      <c r="F74" s="2424"/>
      <c r="G74" s="2437"/>
      <c r="H74" s="2434"/>
      <c r="I74" s="2434"/>
      <c r="J74" s="2438"/>
      <c r="K74" s="2438"/>
      <c r="L74" s="2461"/>
      <c r="M74" s="327"/>
      <c r="N74" s="304"/>
      <c r="O74" s="327">
        <f>M74*N74</f>
        <v>0</v>
      </c>
      <c r="P74" s="327"/>
      <c r="Q74" s="1253"/>
      <c r="R74" s="1254"/>
    </row>
    <row r="75" spans="1:18" s="1087" customFormat="1" x14ac:dyDescent="0.2">
      <c r="A75" s="1141" t="s">
        <v>357</v>
      </c>
      <c r="B75" s="851" t="s">
        <v>2834</v>
      </c>
      <c r="C75" s="851" t="s">
        <v>303</v>
      </c>
      <c r="D75" s="886" t="s">
        <v>70</v>
      </c>
      <c r="E75" s="923" t="s">
        <v>70</v>
      </c>
      <c r="F75" s="2424"/>
      <c r="G75" s="2437"/>
      <c r="H75" s="2434"/>
      <c r="I75" s="2434"/>
      <c r="J75" s="2438"/>
      <c r="K75" s="2438"/>
      <c r="L75" s="2461"/>
      <c r="M75" s="327"/>
      <c r="N75" s="304"/>
      <c r="O75" s="327">
        <f>M75*N75</f>
        <v>0</v>
      </c>
      <c r="P75" s="327"/>
      <c r="Q75" s="1253"/>
      <c r="R75" s="1254"/>
    </row>
    <row r="76" spans="1:18" s="1087" customFormat="1" x14ac:dyDescent="0.2">
      <c r="A76" s="1141" t="s">
        <v>358</v>
      </c>
      <c r="B76" s="851" t="s">
        <v>2835</v>
      </c>
      <c r="C76" s="851" t="s">
        <v>334</v>
      </c>
      <c r="D76" s="886" t="s">
        <v>70</v>
      </c>
      <c r="E76" s="923" t="s">
        <v>70</v>
      </c>
      <c r="F76" s="2424"/>
      <c r="G76" s="2437"/>
      <c r="H76" s="2438"/>
      <c r="I76" s="2438"/>
      <c r="J76" s="2438"/>
      <c r="K76" s="2438"/>
      <c r="L76" s="2461"/>
      <c r="M76" s="327"/>
      <c r="N76" s="304"/>
      <c r="O76" s="327">
        <f t="shared" ref="O76:O81" si="10">M76*N76</f>
        <v>0</v>
      </c>
      <c r="P76" s="327"/>
      <c r="Q76" s="1253"/>
      <c r="R76" s="1254"/>
    </row>
    <row r="77" spans="1:18" s="1087" customFormat="1" ht="45" x14ac:dyDescent="0.2">
      <c r="A77" s="1141" t="s">
        <v>359</v>
      </c>
      <c r="B77" s="851" t="s">
        <v>2836</v>
      </c>
      <c r="C77" s="853" t="s">
        <v>5592</v>
      </c>
      <c r="D77" s="886" t="s">
        <v>70</v>
      </c>
      <c r="E77" s="923" t="s">
        <v>4889</v>
      </c>
      <c r="F77" s="2424"/>
      <c r="G77" s="2436"/>
      <c r="H77" s="2438"/>
      <c r="I77" s="2438"/>
      <c r="J77" s="2436"/>
      <c r="K77" s="2436"/>
      <c r="L77" s="2436"/>
      <c r="M77" s="327"/>
      <c r="N77" s="304"/>
      <c r="O77" s="327">
        <f t="shared" si="10"/>
        <v>0</v>
      </c>
      <c r="P77" s="327"/>
      <c r="Q77" s="1240"/>
      <c r="R77" s="1241">
        <f>'Ab1. RMNCH+A'!R125</f>
        <v>0</v>
      </c>
    </row>
    <row r="78" spans="1:18" s="1087" customFormat="1" x14ac:dyDescent="0.2">
      <c r="A78" s="1141" t="s">
        <v>360</v>
      </c>
      <c r="B78" s="851" t="s">
        <v>2840</v>
      </c>
      <c r="C78" s="851" t="s">
        <v>5591</v>
      </c>
      <c r="D78" s="886" t="s">
        <v>70</v>
      </c>
      <c r="E78" s="923" t="s">
        <v>96</v>
      </c>
      <c r="F78" s="2424"/>
      <c r="G78" s="2436"/>
      <c r="H78" s="2438"/>
      <c r="I78" s="2438"/>
      <c r="J78" s="2436"/>
      <c r="K78" s="2436"/>
      <c r="L78" s="2436"/>
      <c r="M78" s="327"/>
      <c r="N78" s="304"/>
      <c r="O78" s="327">
        <f t="shared" si="10"/>
        <v>0</v>
      </c>
      <c r="P78" s="327"/>
      <c r="Q78" s="1240"/>
      <c r="R78" s="1241">
        <f>'Ab1. RMNCH+A'!R353</f>
        <v>0</v>
      </c>
    </row>
    <row r="79" spans="1:18" s="1087" customFormat="1" x14ac:dyDescent="0.2">
      <c r="A79" s="1141" t="s">
        <v>361</v>
      </c>
      <c r="B79" s="851" t="s">
        <v>337</v>
      </c>
      <c r="C79" s="851" t="s">
        <v>338</v>
      </c>
      <c r="D79" s="886" t="s">
        <v>70</v>
      </c>
      <c r="E79" s="923" t="s">
        <v>70</v>
      </c>
      <c r="F79" s="2424"/>
      <c r="G79" s="2436"/>
      <c r="H79" s="2436"/>
      <c r="I79" s="2439"/>
      <c r="J79" s="2436"/>
      <c r="K79" s="2429"/>
      <c r="L79" s="2429"/>
      <c r="M79" s="327"/>
      <c r="N79" s="2424"/>
      <c r="O79" s="327">
        <f>M79*N79</f>
        <v>0</v>
      </c>
      <c r="P79" s="327"/>
      <c r="Q79" s="1253"/>
      <c r="R79" s="1254"/>
    </row>
    <row r="80" spans="1:18" s="1087" customFormat="1" x14ac:dyDescent="0.2">
      <c r="A80" s="1141" t="s">
        <v>362</v>
      </c>
      <c r="B80" s="851" t="s">
        <v>2837</v>
      </c>
      <c r="C80" s="851" t="s">
        <v>306</v>
      </c>
      <c r="D80" s="886" t="s">
        <v>70</v>
      </c>
      <c r="E80" s="923" t="s">
        <v>70</v>
      </c>
      <c r="F80" s="2424"/>
      <c r="G80" s="2437"/>
      <c r="H80" s="2436"/>
      <c r="I80" s="2439"/>
      <c r="J80" s="2438"/>
      <c r="K80" s="2429"/>
      <c r="L80" s="2429"/>
      <c r="M80" s="327"/>
      <c r="N80" s="304"/>
      <c r="O80" s="327">
        <f t="shared" si="10"/>
        <v>0</v>
      </c>
      <c r="P80" s="327"/>
      <c r="Q80" s="1253"/>
      <c r="R80" s="1254"/>
    </row>
    <row r="81" spans="1:18" s="1087" customFormat="1" x14ac:dyDescent="0.2">
      <c r="A81" s="1141" t="s">
        <v>363</v>
      </c>
      <c r="B81" s="1043"/>
      <c r="C81" s="851" t="s">
        <v>307</v>
      </c>
      <c r="D81" s="886" t="s">
        <v>70</v>
      </c>
      <c r="E81" s="923" t="s">
        <v>70</v>
      </c>
      <c r="F81" s="2424"/>
      <c r="G81" s="2437"/>
      <c r="H81" s="2436"/>
      <c r="I81" s="2436"/>
      <c r="J81" s="2438"/>
      <c r="K81" s="2429"/>
      <c r="L81" s="2429"/>
      <c r="M81" s="327"/>
      <c r="N81" s="304"/>
      <c r="O81" s="327">
        <f t="shared" si="10"/>
        <v>0</v>
      </c>
      <c r="P81" s="327"/>
      <c r="Q81" s="1253"/>
      <c r="R81" s="1254"/>
    </row>
    <row r="82" spans="1:18" ht="30" x14ac:dyDescent="0.2">
      <c r="A82" s="356">
        <v>5.3</v>
      </c>
      <c r="B82" s="1163"/>
      <c r="C82" s="1016" t="s">
        <v>4472</v>
      </c>
      <c r="D82" s="1215"/>
      <c r="E82" s="1215"/>
      <c r="F82" s="347"/>
      <c r="G82" s="347"/>
      <c r="H82" s="225"/>
      <c r="I82" s="225"/>
      <c r="J82" s="225"/>
      <c r="K82" s="347"/>
      <c r="L82" s="347"/>
      <c r="M82" s="1217"/>
      <c r="N82" s="348"/>
      <c r="O82" s="225">
        <f>SUM(O83:O98)</f>
        <v>20</v>
      </c>
      <c r="P82" s="225"/>
      <c r="Q82" s="1219"/>
      <c r="R82" s="1220">
        <f>SUM(R83:R98)</f>
        <v>0</v>
      </c>
    </row>
    <row r="83" spans="1:18" s="1087" customFormat="1" x14ac:dyDescent="0.2">
      <c r="A83" s="1141" t="s">
        <v>364</v>
      </c>
      <c r="B83" s="851" t="s">
        <v>365</v>
      </c>
      <c r="C83" s="851" t="s">
        <v>366</v>
      </c>
      <c r="D83" s="886" t="s">
        <v>70</v>
      </c>
      <c r="E83" s="923" t="s">
        <v>70</v>
      </c>
      <c r="F83" s="2424"/>
      <c r="G83" s="2437"/>
      <c r="H83" s="2426"/>
      <c r="I83" s="2427"/>
      <c r="J83" s="2438"/>
      <c r="K83" s="2441"/>
      <c r="L83" s="2441"/>
      <c r="M83" s="327"/>
      <c r="N83" s="304"/>
      <c r="O83" s="327">
        <f>M83*N83</f>
        <v>0</v>
      </c>
      <c r="P83" s="327"/>
      <c r="Q83" s="1253"/>
      <c r="R83" s="1254"/>
    </row>
    <row r="84" spans="1:18" s="1087" customFormat="1" ht="30" x14ac:dyDescent="0.2">
      <c r="A84" s="1141" t="s">
        <v>368</v>
      </c>
      <c r="B84" s="851" t="s">
        <v>369</v>
      </c>
      <c r="C84" s="872" t="s">
        <v>3894</v>
      </c>
      <c r="D84" s="886" t="s">
        <v>70</v>
      </c>
      <c r="E84" s="923" t="s">
        <v>2943</v>
      </c>
      <c r="F84" s="2424"/>
      <c r="G84" s="2437"/>
      <c r="H84" s="2426"/>
      <c r="I84" s="2426"/>
      <c r="J84" s="2438"/>
      <c r="K84" s="2438"/>
      <c r="L84" s="3277"/>
      <c r="M84" s="327"/>
      <c r="N84" s="304"/>
      <c r="O84" s="327">
        <f>M84*N84</f>
        <v>0</v>
      </c>
      <c r="P84" s="327"/>
      <c r="Q84" s="1236"/>
      <c r="R84" s="978"/>
    </row>
    <row r="85" spans="1:18" s="1087" customFormat="1" x14ac:dyDescent="0.2">
      <c r="A85" s="1141" t="s">
        <v>370</v>
      </c>
      <c r="B85" s="851" t="s">
        <v>371</v>
      </c>
      <c r="C85" s="851" t="s">
        <v>372</v>
      </c>
      <c r="D85" s="886" t="s">
        <v>70</v>
      </c>
      <c r="E85" s="923" t="s">
        <v>70</v>
      </c>
      <c r="F85" s="2424"/>
      <c r="G85" s="2436"/>
      <c r="H85" s="2436"/>
      <c r="I85" s="2462"/>
      <c r="J85" s="2436"/>
      <c r="K85" s="2436"/>
      <c r="L85" s="2436"/>
      <c r="M85" s="327"/>
      <c r="N85" s="304"/>
      <c r="O85" s="327">
        <f>M85*N85</f>
        <v>0</v>
      </c>
      <c r="P85" s="327"/>
      <c r="Q85" s="1253"/>
      <c r="R85" s="1254"/>
    </row>
    <row r="86" spans="1:18" s="1087" customFormat="1" x14ac:dyDescent="0.2">
      <c r="A86" s="1141" t="s">
        <v>373</v>
      </c>
      <c r="B86" s="851" t="s">
        <v>374</v>
      </c>
      <c r="C86" s="851" t="s">
        <v>375</v>
      </c>
      <c r="D86" s="886" t="s">
        <v>70</v>
      </c>
      <c r="E86" s="923" t="s">
        <v>70</v>
      </c>
      <c r="F86" s="2424"/>
      <c r="G86" s="2436"/>
      <c r="H86" s="2436"/>
      <c r="I86" s="2436"/>
      <c r="J86" s="2436"/>
      <c r="K86" s="2436"/>
      <c r="L86" s="2436"/>
      <c r="M86" s="327"/>
      <c r="N86" s="304"/>
      <c r="O86" s="327">
        <f>M86*N86</f>
        <v>0</v>
      </c>
      <c r="P86" s="327"/>
      <c r="Q86" s="1253"/>
      <c r="R86" s="1254"/>
    </row>
    <row r="87" spans="1:18" s="1087" customFormat="1" ht="30" x14ac:dyDescent="0.2">
      <c r="A87" s="1141" t="s">
        <v>376</v>
      </c>
      <c r="B87" s="851" t="s">
        <v>377</v>
      </c>
      <c r="C87" s="851" t="s">
        <v>378</v>
      </c>
      <c r="D87" s="886" t="s">
        <v>70</v>
      </c>
      <c r="E87" s="923" t="s">
        <v>70</v>
      </c>
      <c r="F87" s="2424"/>
      <c r="G87" s="2436"/>
      <c r="H87" s="2436"/>
      <c r="I87" s="2439"/>
      <c r="J87" s="2436"/>
      <c r="K87" s="2429"/>
      <c r="L87" s="2429"/>
      <c r="M87" s="327"/>
      <c r="N87" s="304"/>
      <c r="O87" s="327">
        <f>M87*N87</f>
        <v>0</v>
      </c>
      <c r="P87" s="327"/>
      <c r="Q87" s="1253"/>
      <c r="R87" s="1254"/>
    </row>
    <row r="88" spans="1:18" s="1087" customFormat="1" ht="30" x14ac:dyDescent="0.2">
      <c r="A88" s="1141" t="s">
        <v>380</v>
      </c>
      <c r="B88" s="851" t="s">
        <v>379</v>
      </c>
      <c r="C88" s="851" t="s">
        <v>2841</v>
      </c>
      <c r="D88" s="891" t="s">
        <v>85</v>
      </c>
      <c r="E88" s="1129" t="s">
        <v>4718</v>
      </c>
      <c r="F88" s="2424"/>
      <c r="G88" s="2436"/>
      <c r="H88" s="2436"/>
      <c r="I88" s="2439"/>
      <c r="J88" s="2436"/>
      <c r="K88" s="2429"/>
      <c r="L88" s="2429"/>
      <c r="M88" s="327"/>
      <c r="N88" s="2424"/>
      <c r="O88" s="327">
        <f t="shared" ref="O88:O95" si="11">M88*N88</f>
        <v>0</v>
      </c>
      <c r="P88" s="327"/>
      <c r="Q88" s="1236"/>
      <c r="R88" s="1173">
        <f>'Abs26. Burns &amp; Injury'!R7</f>
        <v>0</v>
      </c>
    </row>
    <row r="89" spans="1:18" s="1087" customFormat="1" x14ac:dyDescent="0.2">
      <c r="A89" s="1141" t="s">
        <v>383</v>
      </c>
      <c r="B89" s="872" t="s">
        <v>381</v>
      </c>
      <c r="C89" s="872" t="s">
        <v>382</v>
      </c>
      <c r="D89" s="977" t="s">
        <v>90</v>
      </c>
      <c r="E89" s="923" t="s">
        <v>205</v>
      </c>
      <c r="F89" s="2424"/>
      <c r="G89" s="2436"/>
      <c r="H89" s="2436"/>
      <c r="I89" s="2436"/>
      <c r="J89" s="2436"/>
      <c r="K89" s="2436"/>
      <c r="L89" s="2436"/>
      <c r="M89" s="327"/>
      <c r="N89" s="2424"/>
      <c r="O89" s="327">
        <f t="shared" si="11"/>
        <v>0</v>
      </c>
      <c r="P89" s="327"/>
      <c r="Q89" s="1236"/>
      <c r="R89" s="978">
        <f>'Ab1. RMNCH+A'!R408</f>
        <v>0</v>
      </c>
    </row>
    <row r="90" spans="1:18" s="1087" customFormat="1" x14ac:dyDescent="0.2">
      <c r="A90" s="1141" t="s">
        <v>386</v>
      </c>
      <c r="B90" s="872" t="s">
        <v>384</v>
      </c>
      <c r="C90" s="872" t="s">
        <v>385</v>
      </c>
      <c r="D90" s="977" t="s">
        <v>90</v>
      </c>
      <c r="E90" s="923" t="s">
        <v>208</v>
      </c>
      <c r="F90" s="2424"/>
      <c r="G90" s="2436"/>
      <c r="H90" s="2436"/>
      <c r="I90" s="2436"/>
      <c r="J90" s="2436"/>
      <c r="K90" s="2436"/>
      <c r="L90" s="2436"/>
      <c r="M90" s="327"/>
      <c r="N90" s="2424"/>
      <c r="O90" s="327">
        <f t="shared" si="11"/>
        <v>0</v>
      </c>
      <c r="P90" s="327"/>
      <c r="Q90" s="1236"/>
      <c r="R90" s="978">
        <f>'Ab2. NIDDCP'!R9</f>
        <v>0</v>
      </c>
    </row>
    <row r="91" spans="1:18" s="1087" customFormat="1" ht="30" x14ac:dyDescent="0.2">
      <c r="A91" s="1141" t="s">
        <v>389</v>
      </c>
      <c r="B91" s="240" t="s">
        <v>387</v>
      </c>
      <c r="C91" s="240" t="s">
        <v>388</v>
      </c>
      <c r="D91" s="980" t="s">
        <v>4366</v>
      </c>
      <c r="E91" s="923" t="s">
        <v>4829</v>
      </c>
      <c r="F91" s="2438"/>
      <c r="G91" s="2437"/>
      <c r="H91" s="2434"/>
      <c r="I91" s="2427"/>
      <c r="J91" s="2438"/>
      <c r="K91" s="2436"/>
      <c r="L91" s="2436"/>
      <c r="M91" s="227"/>
      <c r="N91" s="2436"/>
      <c r="O91" s="227">
        <f t="shared" si="11"/>
        <v>0</v>
      </c>
      <c r="P91" s="227"/>
      <c r="Q91" s="1236"/>
      <c r="R91" s="1173"/>
    </row>
    <row r="92" spans="1:18" s="1087" customFormat="1" ht="85.5" x14ac:dyDescent="0.2">
      <c r="A92" s="1141" t="s">
        <v>392</v>
      </c>
      <c r="B92" s="240" t="s">
        <v>390</v>
      </c>
      <c r="C92" s="240" t="s">
        <v>391</v>
      </c>
      <c r="D92" s="980" t="s">
        <v>4366</v>
      </c>
      <c r="E92" s="923" t="s">
        <v>1549</v>
      </c>
      <c r="F92" s="2424"/>
      <c r="G92" s="2436"/>
      <c r="H92" s="2436"/>
      <c r="I92" s="2436"/>
      <c r="J92" s="2436"/>
      <c r="K92" s="2436" t="s">
        <v>5736</v>
      </c>
      <c r="L92" s="2436">
        <v>2000000</v>
      </c>
      <c r="M92" s="327">
        <f>+L92/100000</f>
        <v>20</v>
      </c>
      <c r="N92" s="2424">
        <v>1</v>
      </c>
      <c r="O92" s="327">
        <f t="shared" si="11"/>
        <v>20</v>
      </c>
      <c r="P92" s="3688" t="s">
        <v>5953</v>
      </c>
      <c r="Q92" s="1236"/>
      <c r="R92" s="1173">
        <f>'Abs9. NVBDCP'!R34</f>
        <v>0</v>
      </c>
    </row>
    <row r="93" spans="1:18" s="1087" customFormat="1" x14ac:dyDescent="0.2">
      <c r="A93" s="1141" t="s">
        <v>393</v>
      </c>
      <c r="B93" s="240" t="s">
        <v>2107</v>
      </c>
      <c r="C93" s="240" t="s">
        <v>2108</v>
      </c>
      <c r="D93" s="980" t="s">
        <v>4366</v>
      </c>
      <c r="E93" s="923" t="s">
        <v>4982</v>
      </c>
      <c r="F93" s="2424"/>
      <c r="G93" s="2436"/>
      <c r="H93" s="2436"/>
      <c r="I93" s="2436"/>
      <c r="J93" s="2436"/>
      <c r="K93" s="2436"/>
      <c r="L93" s="2436"/>
      <c r="M93" s="327"/>
      <c r="N93" s="2424"/>
      <c r="O93" s="327">
        <f t="shared" si="11"/>
        <v>0</v>
      </c>
      <c r="P93" s="327"/>
      <c r="Q93" s="1236"/>
      <c r="R93" s="1173">
        <f>'Abs9. NVBDCP'!R35</f>
        <v>0</v>
      </c>
    </row>
    <row r="94" spans="1:18" s="1087" customFormat="1" x14ac:dyDescent="0.2">
      <c r="A94" s="1141" t="s">
        <v>395</v>
      </c>
      <c r="B94" s="240" t="s">
        <v>394</v>
      </c>
      <c r="C94" s="240" t="s">
        <v>4891</v>
      </c>
      <c r="D94" s="980" t="s">
        <v>4366</v>
      </c>
      <c r="E94" s="923" t="s">
        <v>4683</v>
      </c>
      <c r="F94" s="2436"/>
      <c r="G94" s="2451"/>
      <c r="H94" s="2426"/>
      <c r="I94" s="2427"/>
      <c r="J94" s="2463"/>
      <c r="K94" s="2436"/>
      <c r="L94" s="2436"/>
      <c r="M94" s="327"/>
      <c r="N94" s="2436"/>
      <c r="O94" s="327">
        <f t="shared" si="11"/>
        <v>0</v>
      </c>
      <c r="P94" s="327"/>
      <c r="Q94" s="1236"/>
      <c r="R94" s="1173">
        <f>'Abs11. NTEP'!R19</f>
        <v>0</v>
      </c>
    </row>
    <row r="95" spans="1:18" s="1087" customFormat="1" ht="45" x14ac:dyDescent="0.2">
      <c r="A95" s="1141" t="s">
        <v>397</v>
      </c>
      <c r="B95" s="872" t="s">
        <v>396</v>
      </c>
      <c r="C95" s="872" t="s">
        <v>4091</v>
      </c>
      <c r="D95" s="889" t="s">
        <v>85</v>
      </c>
      <c r="E95" s="923" t="s">
        <v>150</v>
      </c>
      <c r="F95" s="2424"/>
      <c r="G95" s="2436"/>
      <c r="H95" s="2436"/>
      <c r="I95" s="2436"/>
      <c r="J95" s="2436"/>
      <c r="K95" s="2436"/>
      <c r="L95" s="2436"/>
      <c r="M95" s="327"/>
      <c r="N95" s="2424"/>
      <c r="O95" s="327">
        <f t="shared" si="11"/>
        <v>0</v>
      </c>
      <c r="P95" s="327"/>
      <c r="Q95" s="1236"/>
      <c r="R95" s="1173">
        <f>'Abs16. NMHP'!R11</f>
        <v>0</v>
      </c>
    </row>
    <row r="96" spans="1:18" s="1087" customFormat="1" ht="60" x14ac:dyDescent="0.25">
      <c r="A96" s="1141" t="s">
        <v>2109</v>
      </c>
      <c r="B96" s="1248" t="s">
        <v>398</v>
      </c>
      <c r="C96" s="1249" t="s">
        <v>4421</v>
      </c>
      <c r="D96" s="889" t="s">
        <v>85</v>
      </c>
      <c r="E96" s="1250" t="s">
        <v>399</v>
      </c>
      <c r="F96" s="2464"/>
      <c r="G96" s="2465"/>
      <c r="H96" s="2466"/>
      <c r="I96" s="2467"/>
      <c r="J96" s="2465"/>
      <c r="K96" s="2468"/>
      <c r="L96" s="2464"/>
      <c r="M96" s="327"/>
      <c r="N96" s="2464"/>
      <c r="O96" s="774">
        <f>N96*M96</f>
        <v>0</v>
      </c>
      <c r="P96" s="774"/>
      <c r="Q96" s="1251"/>
      <c r="R96" s="1252">
        <f>'Abs17. NPHCE'!R9</f>
        <v>0</v>
      </c>
    </row>
    <row r="97" spans="1:20" s="1087" customFormat="1" x14ac:dyDescent="0.2">
      <c r="A97" s="1141" t="s">
        <v>2474</v>
      </c>
      <c r="B97" s="240" t="s">
        <v>1669</v>
      </c>
      <c r="C97" s="240" t="s">
        <v>2110</v>
      </c>
      <c r="D97" s="889" t="s">
        <v>85</v>
      </c>
      <c r="E97" s="923" t="s">
        <v>415</v>
      </c>
      <c r="F97" s="2424"/>
      <c r="G97" s="2436"/>
      <c r="H97" s="2436"/>
      <c r="I97" s="2436"/>
      <c r="J97" s="2436"/>
      <c r="K97" s="2436"/>
      <c r="L97" s="2436"/>
      <c r="M97" s="327"/>
      <c r="N97" s="2424"/>
      <c r="O97" s="327">
        <f>M97*N97</f>
        <v>0</v>
      </c>
      <c r="P97" s="327"/>
      <c r="Q97" s="1236"/>
      <c r="R97" s="1173">
        <f>'Abs19. NPCDCS'!R16</f>
        <v>0</v>
      </c>
    </row>
    <row r="98" spans="1:20" s="1087" customFormat="1" x14ac:dyDescent="0.2">
      <c r="A98" s="1141" t="s">
        <v>2475</v>
      </c>
      <c r="B98" s="1141"/>
      <c r="C98" s="872" t="s">
        <v>1310</v>
      </c>
      <c r="D98" s="886" t="s">
        <v>70</v>
      </c>
      <c r="E98" s="923" t="s">
        <v>70</v>
      </c>
      <c r="F98" s="2424"/>
      <c r="G98" s="2436"/>
      <c r="H98" s="2436"/>
      <c r="I98" s="2436"/>
      <c r="J98" s="2436"/>
      <c r="K98" s="2429"/>
      <c r="L98" s="2429"/>
      <c r="M98" s="327"/>
      <c r="N98" s="2424"/>
      <c r="O98" s="327">
        <f>M98*N98</f>
        <v>0</v>
      </c>
      <c r="P98" s="327"/>
      <c r="Q98" s="3435"/>
      <c r="R98" s="1256"/>
      <c r="T98" s="1087" t="s">
        <v>5906</v>
      </c>
    </row>
    <row r="100" spans="1:20" x14ac:dyDescent="0.2">
      <c r="Q100" s="3310"/>
    </row>
    <row r="101" spans="1:20" x14ac:dyDescent="0.2">
      <c r="N101" s="956"/>
    </row>
    <row r="102" spans="1:20" x14ac:dyDescent="0.2">
      <c r="N102" s="956"/>
    </row>
  </sheetData>
  <sheetProtection formatCells="0" formatColumns="0" formatRows="0" autoFilter="0"/>
  <autoFilter ref="A6:R98"/>
  <mergeCells count="15">
    <mergeCell ref="AI1:AO1"/>
    <mergeCell ref="AP1:BA1"/>
    <mergeCell ref="K5:P5"/>
    <mergeCell ref="Q5:R5"/>
    <mergeCell ref="A1:C1"/>
    <mergeCell ref="F5:J5"/>
    <mergeCell ref="A5:A6"/>
    <mergeCell ref="B5:B6"/>
    <mergeCell ref="C5:C6"/>
    <mergeCell ref="D5:D6"/>
    <mergeCell ref="E5:E6"/>
    <mergeCell ref="A2:A4"/>
    <mergeCell ref="E1:E2"/>
    <mergeCell ref="F1:N1"/>
    <mergeCell ref="O1:AH1"/>
  </mergeCells>
  <phoneticPr fontId="57" type="noConversion"/>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90"/>
  <sheetViews>
    <sheetView zoomScale="80" zoomScaleNormal="80" workbookViewId="0">
      <pane xSplit="5" ySplit="7" topLeftCell="M50" activePane="bottomRight" state="frozen"/>
      <selection activeCell="A2" sqref="A2:A4"/>
      <selection pane="topRight" activeCell="A2" sqref="A2:A4"/>
      <selection pane="bottomLeft" activeCell="A2" sqref="A2:A4"/>
      <selection pane="bottomRight" activeCell="O77" sqref="O77"/>
    </sheetView>
  </sheetViews>
  <sheetFormatPr defaultColWidth="66.85546875" defaultRowHeight="15" x14ac:dyDescent="0.2"/>
  <cols>
    <col min="1" max="1" width="12.140625" style="1279" customWidth="1"/>
    <col min="2" max="2" width="12.28515625" style="1278" customWidth="1"/>
    <col min="3" max="3" width="44" style="1279" customWidth="1"/>
    <col min="4" max="4" width="8.85546875" style="1296" customWidth="1"/>
    <col min="5" max="5" width="20.140625" style="1297" customWidth="1"/>
    <col min="6" max="6" width="17.85546875" style="1276" customWidth="1"/>
    <col min="7" max="7" width="21.5703125" style="1276" customWidth="1"/>
    <col min="8" max="10" width="17.85546875" style="1276" customWidth="1"/>
    <col min="11" max="11" width="9.140625" style="1296" customWidth="1"/>
    <col min="12" max="12" width="9.85546875" style="1296" customWidth="1"/>
    <col min="13" max="13" width="12.140625" style="1298" customWidth="1"/>
    <col min="14" max="14" width="10.5703125" style="1296" customWidth="1"/>
    <col min="15" max="15" width="11.85546875" style="1298" bestFit="1" customWidth="1"/>
    <col min="16" max="16" width="56.5703125" style="1299" customWidth="1"/>
    <col min="17" max="17" width="35.28515625" style="1299" customWidth="1"/>
    <col min="18" max="18" width="12.85546875" style="1298" customWidth="1"/>
    <col min="19" max="19" width="6" style="1279" bestFit="1" customWidth="1"/>
    <col min="20" max="20" width="3.7109375" style="1279" bestFit="1" customWidth="1"/>
    <col min="21" max="21" width="4" style="1279" bestFit="1" customWidth="1"/>
    <col min="22" max="22" width="3.85546875" style="1279" bestFit="1" customWidth="1"/>
    <col min="23" max="23" width="3.5703125" style="1279" bestFit="1" customWidth="1"/>
    <col min="24" max="24" width="4.5703125" style="1279" bestFit="1" customWidth="1"/>
    <col min="25" max="25" width="5.85546875" style="1279" bestFit="1" customWidth="1"/>
    <col min="26" max="26" width="7.140625" style="1279" bestFit="1" customWidth="1"/>
    <col min="27" max="27" width="3.7109375" style="1279" bestFit="1" customWidth="1"/>
    <col min="28" max="28" width="8" style="1279" bestFit="1" customWidth="1"/>
    <col min="29" max="29" width="4.140625" style="1279" bestFit="1" customWidth="1"/>
    <col min="30" max="30" width="3.85546875" style="1279" bestFit="1" customWidth="1"/>
    <col min="31" max="31" width="11.7109375" style="1279" bestFit="1" customWidth="1"/>
    <col min="32" max="32" width="5.5703125" style="1279" bestFit="1" customWidth="1"/>
    <col min="33" max="34" width="7.140625" style="1279" bestFit="1" customWidth="1"/>
    <col min="35" max="35" width="5.5703125" style="1279" bestFit="1" customWidth="1"/>
    <col min="36" max="36" width="8" style="1279" bestFit="1" customWidth="1"/>
    <col min="37" max="38" width="5.28515625" style="1279" bestFit="1" customWidth="1"/>
    <col min="39" max="39" width="6.85546875" style="1279" bestFit="1" customWidth="1"/>
    <col min="40" max="42" width="5.5703125" style="1279" bestFit="1" customWidth="1"/>
    <col min="43" max="43" width="6.28515625" style="1279" bestFit="1" customWidth="1"/>
    <col min="44" max="44" width="6.5703125" style="1279" bestFit="1" customWidth="1"/>
    <col min="45" max="45" width="5.42578125" style="1279" bestFit="1" customWidth="1"/>
    <col min="46" max="46" width="7.5703125" style="1279" bestFit="1" customWidth="1"/>
    <col min="47" max="47" width="7.42578125" style="1279" bestFit="1" customWidth="1"/>
    <col min="48" max="48" width="8" style="1279" bestFit="1" customWidth="1"/>
    <col min="49" max="49" width="6" style="1279" bestFit="1" customWidth="1"/>
    <col min="50" max="50" width="5.5703125" style="1279" bestFit="1" customWidth="1"/>
    <col min="51" max="51" width="6.42578125" style="1279" bestFit="1" customWidth="1"/>
    <col min="52" max="52" width="6.7109375" style="1279" bestFit="1" customWidth="1"/>
    <col min="53" max="53" width="7.5703125" style="1279" bestFit="1" customWidth="1"/>
    <col min="54" max="16384" width="66.85546875" style="1279"/>
  </cols>
  <sheetData>
    <row r="1" spans="1:53" s="1257" customFormat="1" ht="13.5" customHeight="1" x14ac:dyDescent="0.2">
      <c r="A1" s="3900" t="s">
        <v>1584</v>
      </c>
      <c r="B1" s="3901"/>
      <c r="C1" s="3902"/>
      <c r="D1" s="1191"/>
      <c r="E1" s="3825" t="s">
        <v>4719</v>
      </c>
      <c r="F1" s="3894" t="s">
        <v>4717</v>
      </c>
      <c r="G1" s="3895"/>
      <c r="H1" s="3895"/>
      <c r="I1" s="3895"/>
      <c r="J1" s="3895"/>
      <c r="K1" s="3895"/>
      <c r="L1" s="3895"/>
      <c r="M1" s="3895"/>
      <c r="N1" s="3896"/>
      <c r="O1" s="3830" t="s">
        <v>70</v>
      </c>
      <c r="P1" s="3831"/>
      <c r="Q1" s="3831"/>
      <c r="R1" s="3831"/>
      <c r="S1" s="3831"/>
      <c r="T1" s="3831"/>
      <c r="U1" s="3831"/>
      <c r="V1" s="3831"/>
      <c r="W1" s="3831"/>
      <c r="X1" s="3831"/>
      <c r="Y1" s="3831"/>
      <c r="Z1" s="3831"/>
      <c r="AA1" s="3831"/>
      <c r="AB1" s="3831"/>
      <c r="AC1" s="3831"/>
      <c r="AD1" s="3831"/>
      <c r="AE1" s="3831"/>
      <c r="AF1" s="3831"/>
      <c r="AG1" s="3831"/>
      <c r="AH1" s="3831"/>
      <c r="AI1" s="3885" t="s">
        <v>4366</v>
      </c>
      <c r="AJ1" s="3886"/>
      <c r="AK1" s="3886"/>
      <c r="AL1" s="3886"/>
      <c r="AM1" s="3886"/>
      <c r="AN1" s="3886"/>
      <c r="AO1" s="3887"/>
      <c r="AP1" s="3872" t="s">
        <v>85</v>
      </c>
      <c r="AQ1" s="3873"/>
      <c r="AR1" s="3873"/>
      <c r="AS1" s="3873"/>
      <c r="AT1" s="3873"/>
      <c r="AU1" s="3873"/>
      <c r="AV1" s="3873"/>
      <c r="AW1" s="3873"/>
      <c r="AX1" s="3873"/>
      <c r="AY1" s="3873"/>
      <c r="AZ1" s="3873"/>
      <c r="BA1" s="3874"/>
    </row>
    <row r="2" spans="1:53" s="1258" customFormat="1" ht="45" x14ac:dyDescent="0.2">
      <c r="A2" s="3811" t="str">
        <f>HYPERLINK("#Index!A4", "Index Pg")</f>
        <v>Index Pg</v>
      </c>
      <c r="B2" s="959"/>
      <c r="C2" s="959"/>
      <c r="D2" s="1193"/>
      <c r="E2" s="3825"/>
      <c r="F2" s="884" t="s">
        <v>118</v>
      </c>
      <c r="G2" s="884" t="s">
        <v>131</v>
      </c>
      <c r="H2" s="884" t="s">
        <v>91</v>
      </c>
      <c r="I2" s="884" t="s">
        <v>4715</v>
      </c>
      <c r="J2" s="884" t="s">
        <v>96</v>
      </c>
      <c r="K2" s="1194" t="s">
        <v>4071</v>
      </c>
      <c r="L2" s="885" t="s">
        <v>4716</v>
      </c>
      <c r="M2" s="885" t="s">
        <v>4720</v>
      </c>
      <c r="N2" s="885" t="s">
        <v>208</v>
      </c>
      <c r="O2" s="887" t="s">
        <v>4365</v>
      </c>
      <c r="P2" s="887" t="s">
        <v>3855</v>
      </c>
      <c r="Q2" s="887" t="s">
        <v>4729</v>
      </c>
      <c r="R2" s="887" t="s">
        <v>4726</v>
      </c>
      <c r="S2" s="887"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307</v>
      </c>
      <c r="AI2" s="888" t="s">
        <v>293</v>
      </c>
      <c r="AJ2" s="888" t="s">
        <v>114</v>
      </c>
      <c r="AK2" s="888" t="s">
        <v>146</v>
      </c>
      <c r="AL2" s="888" t="s">
        <v>4683</v>
      </c>
      <c r="AM2" s="888" t="s">
        <v>3323</v>
      </c>
      <c r="AN2" s="888" t="s">
        <v>3993</v>
      </c>
      <c r="AO2" s="888" t="s">
        <v>4553</v>
      </c>
      <c r="AP2" s="889" t="s">
        <v>86</v>
      </c>
      <c r="AQ2" s="889" t="s">
        <v>150</v>
      </c>
      <c r="AR2" s="889" t="s">
        <v>399</v>
      </c>
      <c r="AS2" s="889" t="s">
        <v>152</v>
      </c>
      <c r="AT2" s="889" t="s">
        <v>415</v>
      </c>
      <c r="AU2" s="889" t="s">
        <v>4607</v>
      </c>
      <c r="AV2" s="889" t="s">
        <v>4132</v>
      </c>
      <c r="AW2" s="889" t="s">
        <v>312</v>
      </c>
      <c r="AX2" s="889" t="s">
        <v>314</v>
      </c>
      <c r="AY2" s="889" t="s">
        <v>1034</v>
      </c>
      <c r="AZ2" s="889" t="s">
        <v>1020</v>
      </c>
      <c r="BA2" s="889" t="s">
        <v>4718</v>
      </c>
    </row>
    <row r="3" spans="1:53" s="1258" customFormat="1" x14ac:dyDescent="0.25">
      <c r="A3" s="3812"/>
      <c r="B3" s="892" t="str">
        <f>HYPERLINK("#'Budget Summary I'!A1:AL1", "Budget Summary I")</f>
        <v>Budget Summary I</v>
      </c>
      <c r="C3" s="832" t="s">
        <v>4608</v>
      </c>
      <c r="D3" s="1193"/>
      <c r="E3" s="1195">
        <f>R7</f>
        <v>0</v>
      </c>
      <c r="F3" s="177">
        <f>R10+R27+R56</f>
        <v>0</v>
      </c>
      <c r="G3" s="177">
        <f>R11+R57+R28</f>
        <v>0</v>
      </c>
      <c r="H3" s="177">
        <f>R12+R47+R58</f>
        <v>0</v>
      </c>
      <c r="I3" s="177">
        <f>R13+R59</f>
        <v>0</v>
      </c>
      <c r="J3" s="177">
        <f>R14+R60</f>
        <v>0</v>
      </c>
      <c r="K3" s="177"/>
      <c r="L3" s="177">
        <f>R15+R61</f>
        <v>0</v>
      </c>
      <c r="M3" s="177"/>
      <c r="N3" s="177">
        <f>R16+R62</f>
        <v>0</v>
      </c>
      <c r="O3" s="177">
        <f>R23+R69</f>
        <v>0</v>
      </c>
      <c r="P3" s="177">
        <f>R64</f>
        <v>0</v>
      </c>
      <c r="Q3" s="177"/>
      <c r="R3" s="177"/>
      <c r="S3" s="961"/>
      <c r="T3" s="961"/>
      <c r="U3" s="961"/>
      <c r="V3" s="961"/>
      <c r="W3" s="961"/>
      <c r="X3" s="961"/>
      <c r="Y3" s="961">
        <f>R68</f>
        <v>0</v>
      </c>
      <c r="Z3" s="961">
        <f>R26</f>
        <v>0</v>
      </c>
      <c r="AA3" s="961"/>
      <c r="AB3" s="961"/>
      <c r="AC3" s="961"/>
      <c r="AD3" s="961"/>
      <c r="AE3" s="961">
        <f>R24</f>
        <v>0</v>
      </c>
      <c r="AF3" s="961">
        <f>R20+R65</f>
        <v>0</v>
      </c>
      <c r="AG3" s="961">
        <f>R19+R67</f>
        <v>0</v>
      </c>
      <c r="AH3" s="961">
        <f>R18+R21+R22+R52+R53+R66+R70</f>
        <v>0</v>
      </c>
      <c r="AI3" s="961">
        <f>R30+R48</f>
        <v>0</v>
      </c>
      <c r="AJ3" s="961">
        <f>R31+R50+R72</f>
        <v>0</v>
      </c>
      <c r="AK3" s="961">
        <f>R32+R73</f>
        <v>0</v>
      </c>
      <c r="AL3" s="961">
        <f>R33+R49+R74+R87</f>
        <v>0</v>
      </c>
      <c r="AM3" s="961">
        <f>R75</f>
        <v>0</v>
      </c>
      <c r="AN3" s="961">
        <f>R34+R76</f>
        <v>0</v>
      </c>
      <c r="AO3" s="961">
        <f>R77</f>
        <v>0</v>
      </c>
      <c r="AP3" s="961">
        <f>R36+R51+R79</f>
        <v>0</v>
      </c>
      <c r="AQ3" s="961">
        <f>R37+R80</f>
        <v>0</v>
      </c>
      <c r="AR3" s="961">
        <f>R38+R81</f>
        <v>0</v>
      </c>
      <c r="AS3" s="961">
        <f>R39+R82</f>
        <v>0</v>
      </c>
      <c r="AT3" s="961">
        <f>R40+R83</f>
        <v>0</v>
      </c>
      <c r="AU3" s="961">
        <f>R41+R84</f>
        <v>0</v>
      </c>
      <c r="AV3" s="961"/>
      <c r="AW3" s="961">
        <f>R43+R85</f>
        <v>0</v>
      </c>
      <c r="AX3" s="961">
        <f>R44</f>
        <v>0</v>
      </c>
      <c r="AY3" s="961"/>
      <c r="AZ3" s="961">
        <f>R42</f>
        <v>0</v>
      </c>
      <c r="BA3" s="961">
        <f>R45</f>
        <v>0</v>
      </c>
    </row>
    <row r="4" spans="1:53" s="1258" customFormat="1" x14ac:dyDescent="0.25">
      <c r="A4" s="3813"/>
      <c r="B4" s="831" t="str">
        <f>HYPERLINK("#'Budget Summary II'!A3:B5", "Budget Summary II")</f>
        <v>Budget Summary II</v>
      </c>
      <c r="C4" s="832" t="s">
        <v>4609</v>
      </c>
      <c r="D4" s="1193"/>
      <c r="E4" s="1195">
        <f>O7</f>
        <v>6139.0083800000002</v>
      </c>
      <c r="F4" s="177">
        <f>O10+O27+O56</f>
        <v>2024.9999</v>
      </c>
      <c r="G4" s="177">
        <f>O11+O57+O28</f>
        <v>12</v>
      </c>
      <c r="H4" s="177">
        <f>O12+O47+O58</f>
        <v>0</v>
      </c>
      <c r="I4" s="177">
        <f>O13+O59</f>
        <v>0</v>
      </c>
      <c r="J4" s="177">
        <f>O14+O60</f>
        <v>0</v>
      </c>
      <c r="K4" s="177"/>
      <c r="L4" s="177">
        <f>O15+O61</f>
        <v>0</v>
      </c>
      <c r="M4" s="177"/>
      <c r="N4" s="177">
        <f>O16+O62</f>
        <v>0</v>
      </c>
      <c r="O4" s="177">
        <f>O23+O69</f>
        <v>0</v>
      </c>
      <c r="P4" s="177">
        <f>O64</f>
        <v>0</v>
      </c>
      <c r="Q4" s="177"/>
      <c r="R4" s="177"/>
      <c r="S4" s="961"/>
      <c r="T4" s="961"/>
      <c r="U4" s="961"/>
      <c r="V4" s="961"/>
      <c r="W4" s="961"/>
      <c r="X4" s="961"/>
      <c r="Y4" s="961">
        <f>O68</f>
        <v>0</v>
      </c>
      <c r="Z4" s="961">
        <f>O26</f>
        <v>135</v>
      </c>
      <c r="AA4" s="961"/>
      <c r="AB4" s="961"/>
      <c r="AC4" s="961"/>
      <c r="AD4" s="961"/>
      <c r="AE4" s="961">
        <f>O24</f>
        <v>0</v>
      </c>
      <c r="AF4" s="961">
        <f>O20+O65</f>
        <v>0</v>
      </c>
      <c r="AG4" s="961">
        <f>O19+O67</f>
        <v>0</v>
      </c>
      <c r="AH4" s="961">
        <f>O18+O21+O22+O52+O53+O66+O70</f>
        <v>128.08000000000001</v>
      </c>
      <c r="AI4" s="961">
        <f>O30+O48</f>
        <v>0</v>
      </c>
      <c r="AJ4" s="961">
        <f>O31+O50+O72</f>
        <v>0</v>
      </c>
      <c r="AK4" s="961">
        <f>O32+O73</f>
        <v>0</v>
      </c>
      <c r="AL4" s="961">
        <f>O33+O49+O74+O87</f>
        <v>3301.2784799999999</v>
      </c>
      <c r="AM4" s="961">
        <f>O75</f>
        <v>0</v>
      </c>
      <c r="AN4" s="961">
        <f>O34+O76</f>
        <v>0</v>
      </c>
      <c r="AO4" s="961">
        <f>O77</f>
        <v>27.65</v>
      </c>
      <c r="AP4" s="961">
        <f>O36+O51+O79</f>
        <v>0</v>
      </c>
      <c r="AQ4" s="961">
        <f>O37+O80</f>
        <v>0</v>
      </c>
      <c r="AR4" s="961">
        <f>O38+O81</f>
        <v>0</v>
      </c>
      <c r="AS4" s="961">
        <f>O39+O82</f>
        <v>0</v>
      </c>
      <c r="AT4" s="961">
        <f>O40+O83</f>
        <v>0</v>
      </c>
      <c r="AU4" s="961">
        <f>O41+O84</f>
        <v>510</v>
      </c>
      <c r="AV4" s="961"/>
      <c r="AW4" s="961">
        <f>O43+O85</f>
        <v>0</v>
      </c>
      <c r="AX4" s="961">
        <f>O44</f>
        <v>0</v>
      </c>
      <c r="AY4" s="961"/>
      <c r="AZ4" s="961">
        <f>O42</f>
        <v>0</v>
      </c>
      <c r="BA4" s="961">
        <f>O45</f>
        <v>0</v>
      </c>
    </row>
    <row r="5" spans="1:53" s="1259" customFormat="1" ht="12.75" customHeight="1" x14ac:dyDescent="0.2">
      <c r="A5" s="3823" t="s">
        <v>53</v>
      </c>
      <c r="B5" s="3823" t="s">
        <v>54</v>
      </c>
      <c r="C5" s="3823" t="s">
        <v>55</v>
      </c>
      <c r="D5" s="3823" t="s">
        <v>56</v>
      </c>
      <c r="E5" s="3823" t="s">
        <v>57</v>
      </c>
      <c r="F5" s="3876" t="s">
        <v>4629</v>
      </c>
      <c r="G5" s="3876"/>
      <c r="H5" s="3876"/>
      <c r="I5" s="3876"/>
      <c r="J5" s="3876"/>
      <c r="K5" s="3876" t="s">
        <v>4640</v>
      </c>
      <c r="L5" s="3876"/>
      <c r="M5" s="3876"/>
      <c r="N5" s="3876"/>
      <c r="O5" s="3876"/>
      <c r="P5" s="3876"/>
      <c r="Q5" s="3823" t="s">
        <v>4670</v>
      </c>
      <c r="R5" s="3823"/>
    </row>
    <row r="6" spans="1:53" s="1260" customFormat="1" ht="45" x14ac:dyDescent="0.2">
      <c r="A6" s="3823"/>
      <c r="B6" s="3823"/>
      <c r="C6" s="3823"/>
      <c r="D6" s="3823"/>
      <c r="E6" s="3823"/>
      <c r="F6" s="896" t="s">
        <v>4630</v>
      </c>
      <c r="G6" s="896" t="s">
        <v>4638</v>
      </c>
      <c r="H6" s="896" t="s">
        <v>4631</v>
      </c>
      <c r="I6" s="896" t="s">
        <v>4639</v>
      </c>
      <c r="J6" s="896" t="s">
        <v>2538</v>
      </c>
      <c r="K6" s="897" t="s">
        <v>58</v>
      </c>
      <c r="L6" s="897" t="s">
        <v>59</v>
      </c>
      <c r="M6" s="898" t="s">
        <v>60</v>
      </c>
      <c r="N6" s="897" t="s">
        <v>61</v>
      </c>
      <c r="O6" s="898" t="s">
        <v>62</v>
      </c>
      <c r="P6" s="897" t="s">
        <v>5547</v>
      </c>
      <c r="Q6" s="899" t="s">
        <v>2540</v>
      </c>
      <c r="R6" s="900" t="s">
        <v>4671</v>
      </c>
      <c r="S6" s="3448" t="s">
        <v>4724</v>
      </c>
    </row>
    <row r="7" spans="1:53" s="1265" customFormat="1" x14ac:dyDescent="0.2">
      <c r="A7" s="484">
        <v>6</v>
      </c>
      <c r="B7" s="484"/>
      <c r="C7" s="484" t="s">
        <v>18</v>
      </c>
      <c r="D7" s="1261"/>
      <c r="E7" s="1261"/>
      <c r="F7" s="1262"/>
      <c r="G7" s="1262"/>
      <c r="H7" s="1264">
        <f>H8+H54+H86</f>
        <v>0</v>
      </c>
      <c r="I7" s="1264">
        <f>I8+I54+I86</f>
        <v>0</v>
      </c>
      <c r="J7" s="1264">
        <f>J8+J54+J86</f>
        <v>0</v>
      </c>
      <c r="K7" s="1263"/>
      <c r="L7" s="1263"/>
      <c r="M7" s="1264"/>
      <c r="N7" s="1263"/>
      <c r="O7" s="1264">
        <f>O8+O54+O86</f>
        <v>6139.0083800000002</v>
      </c>
      <c r="P7" s="1262"/>
      <c r="Q7" s="1262"/>
      <c r="R7" s="1264">
        <f>R8+R54+R86</f>
        <v>0</v>
      </c>
    </row>
    <row r="8" spans="1:53" s="1257" customFormat="1" x14ac:dyDescent="0.2">
      <c r="A8" s="1266">
        <v>6.1</v>
      </c>
      <c r="B8" s="1267" t="s">
        <v>1585</v>
      </c>
      <c r="C8" s="1266" t="s">
        <v>1586</v>
      </c>
      <c r="D8" s="908"/>
      <c r="E8" s="908"/>
      <c r="F8" s="99"/>
      <c r="G8" s="99"/>
      <c r="H8" s="738">
        <f>H9+H17+H25+H29+H35+H46</f>
        <v>0</v>
      </c>
      <c r="I8" s="738">
        <f>I9+I17+I25+I29+I35+I46</f>
        <v>0</v>
      </c>
      <c r="J8" s="738">
        <f>J9+J17+J25+J29+J35+J46</f>
        <v>0</v>
      </c>
      <c r="K8" s="907"/>
      <c r="L8" s="907"/>
      <c r="M8" s="738"/>
      <c r="N8" s="907"/>
      <c r="O8" s="738">
        <f>O9+O17+O25+O29+O35+O46</f>
        <v>2300.0799000000002</v>
      </c>
      <c r="P8" s="99"/>
      <c r="Q8" s="99"/>
      <c r="R8" s="738">
        <f>R9+R17+R25+R29+R35+R46</f>
        <v>0</v>
      </c>
      <c r="S8" s="1257">
        <f>SUM(S9:S87)</f>
        <v>0</v>
      </c>
    </row>
    <row r="9" spans="1:53" s="1276" customFormat="1" ht="30" x14ac:dyDescent="0.2">
      <c r="A9" s="1268" t="s">
        <v>1587</v>
      </c>
      <c r="B9" s="1269"/>
      <c r="C9" s="1270" t="s">
        <v>4945</v>
      </c>
      <c r="D9" s="1271"/>
      <c r="E9" s="1271"/>
      <c r="F9" s="1272"/>
      <c r="G9" s="1272"/>
      <c r="H9" s="1274">
        <f>SUM(H10:H16)</f>
        <v>0</v>
      </c>
      <c r="I9" s="1274">
        <f>SUM(I10:I16)</f>
        <v>0</v>
      </c>
      <c r="J9" s="1274">
        <f>SUM(J10:J16)</f>
        <v>0</v>
      </c>
      <c r="K9" s="1273"/>
      <c r="L9" s="1273"/>
      <c r="M9" s="1274"/>
      <c r="N9" s="1273"/>
      <c r="O9" s="1274">
        <f>SUM(O10:O16)</f>
        <v>2036.9999</v>
      </c>
      <c r="P9" s="1275"/>
      <c r="Q9" s="1275"/>
      <c r="R9" s="1274">
        <f>SUM(R10:R16)</f>
        <v>0</v>
      </c>
    </row>
    <row r="10" spans="1:53" ht="30" x14ac:dyDescent="0.2">
      <c r="A10" s="510" t="s">
        <v>1588</v>
      </c>
      <c r="B10" s="510" t="s">
        <v>1589</v>
      </c>
      <c r="C10" s="510" t="s">
        <v>4931</v>
      </c>
      <c r="D10" s="1277" t="s">
        <v>90</v>
      </c>
      <c r="E10" s="1129" t="s">
        <v>118</v>
      </c>
      <c r="F10" s="322"/>
      <c r="G10" s="322"/>
      <c r="H10" s="229">
        <f>'6-A. Proc. Sub-Annex'!I7</f>
        <v>0</v>
      </c>
      <c r="I10" s="229">
        <f>'6-A. Proc. Sub-Annex'!J7</f>
        <v>0</v>
      </c>
      <c r="J10" s="229">
        <f>'6-A. Proc. Sub-Annex'!K7</f>
        <v>0</v>
      </c>
      <c r="K10" s="323"/>
      <c r="L10" s="323"/>
      <c r="M10" s="1300"/>
      <c r="N10" s="323"/>
      <c r="O10" s="229">
        <f>'6-A. Proc. Sub-Annex'!P7</f>
        <v>2024.9999</v>
      </c>
      <c r="P10" s="2608"/>
      <c r="Q10" s="976" t="s">
        <v>5917</v>
      </c>
      <c r="R10" s="229">
        <f>'6-A. Proc. Sub-Annex'!S7</f>
        <v>0</v>
      </c>
      <c r="S10" s="1278"/>
    </row>
    <row r="11" spans="1:53" ht="30" x14ac:dyDescent="0.2">
      <c r="A11" s="510" t="s">
        <v>1593</v>
      </c>
      <c r="B11" s="510" t="s">
        <v>1594</v>
      </c>
      <c r="C11" s="510" t="s">
        <v>4948</v>
      </c>
      <c r="D11" s="1277" t="s">
        <v>90</v>
      </c>
      <c r="E11" s="1129" t="s">
        <v>131</v>
      </c>
      <c r="F11" s="322"/>
      <c r="G11" s="322"/>
      <c r="H11" s="229">
        <f>'6-A. Proc. Sub-Annex'!I13</f>
        <v>0</v>
      </c>
      <c r="I11" s="229">
        <f>'6-A. Proc. Sub-Annex'!J13</f>
        <v>0</v>
      </c>
      <c r="J11" s="229">
        <f>'6-A. Proc. Sub-Annex'!K13</f>
        <v>0</v>
      </c>
      <c r="K11" s="323"/>
      <c r="L11" s="323"/>
      <c r="M11" s="1300"/>
      <c r="N11" s="323"/>
      <c r="O11" s="229">
        <f>'6-A. Proc. Sub-Annex'!P13</f>
        <v>12</v>
      </c>
      <c r="P11" s="161"/>
      <c r="Q11" s="976" t="s">
        <v>5917</v>
      </c>
      <c r="R11" s="229">
        <f>'6-A. Proc. Sub-Annex'!S13</f>
        <v>0</v>
      </c>
      <c r="S11" s="1278"/>
    </row>
    <row r="12" spans="1:53" ht="30" x14ac:dyDescent="0.2">
      <c r="A12" s="510" t="s">
        <v>1597</v>
      </c>
      <c r="B12" s="510" t="s">
        <v>1598</v>
      </c>
      <c r="C12" s="510" t="s">
        <v>4949</v>
      </c>
      <c r="D12" s="1277" t="s">
        <v>90</v>
      </c>
      <c r="E12" s="1129" t="s">
        <v>91</v>
      </c>
      <c r="F12" s="322"/>
      <c r="G12" s="322"/>
      <c r="H12" s="229">
        <f>'6-A. Proc. Sub-Annex'!I19</f>
        <v>0</v>
      </c>
      <c r="I12" s="229">
        <f>'6-A. Proc. Sub-Annex'!J19</f>
        <v>0</v>
      </c>
      <c r="J12" s="229">
        <f>'6-A. Proc. Sub-Annex'!K19</f>
        <v>0</v>
      </c>
      <c r="K12" s="323"/>
      <c r="L12" s="323"/>
      <c r="M12" s="1300"/>
      <c r="N12" s="323"/>
      <c r="O12" s="229">
        <f>'6-A. Proc. Sub-Annex'!P19</f>
        <v>0</v>
      </c>
      <c r="P12" s="161"/>
      <c r="Q12" s="976" t="s">
        <v>5917</v>
      </c>
      <c r="R12" s="229">
        <f>'6-A. Proc. Sub-Annex'!S19</f>
        <v>0</v>
      </c>
      <c r="S12" s="1278"/>
    </row>
    <row r="13" spans="1:53" ht="30" x14ac:dyDescent="0.2">
      <c r="A13" s="510" t="s">
        <v>1611</v>
      </c>
      <c r="B13" s="510" t="s">
        <v>1612</v>
      </c>
      <c r="C13" s="510" t="s">
        <v>4950</v>
      </c>
      <c r="D13" s="1277" t="s">
        <v>90</v>
      </c>
      <c r="E13" s="1280" t="s">
        <v>193</v>
      </c>
      <c r="F13" s="322"/>
      <c r="G13" s="322"/>
      <c r="H13" s="229">
        <f>'6-A. Proc. Sub-Annex'!I26</f>
        <v>0</v>
      </c>
      <c r="I13" s="229">
        <f>'6-A. Proc. Sub-Annex'!J26</f>
        <v>0</v>
      </c>
      <c r="J13" s="229">
        <f>'6-A. Proc. Sub-Annex'!K26</f>
        <v>0</v>
      </c>
      <c r="K13" s="323"/>
      <c r="L13" s="323"/>
      <c r="M13" s="1300"/>
      <c r="N13" s="323"/>
      <c r="O13" s="229">
        <f>'6-A. Proc. Sub-Annex'!P26</f>
        <v>0</v>
      </c>
      <c r="P13" s="161"/>
      <c r="Q13" s="976"/>
      <c r="R13" s="229">
        <f>'6-A. Proc. Sub-Annex'!S26</f>
        <v>0</v>
      </c>
      <c r="S13" s="1278"/>
    </row>
    <row r="14" spans="1:53" ht="30" x14ac:dyDescent="0.2">
      <c r="A14" s="510" t="s">
        <v>1615</v>
      </c>
      <c r="B14" s="510" t="s">
        <v>1616</v>
      </c>
      <c r="C14" s="510" t="s">
        <v>4951</v>
      </c>
      <c r="D14" s="1277" t="s">
        <v>90</v>
      </c>
      <c r="E14" s="1129" t="s">
        <v>96</v>
      </c>
      <c r="F14" s="322"/>
      <c r="G14" s="322"/>
      <c r="H14" s="229">
        <f>'6-A. Proc. Sub-Annex'!I29</f>
        <v>0</v>
      </c>
      <c r="I14" s="229">
        <f>'6-A. Proc. Sub-Annex'!J29</f>
        <v>0</v>
      </c>
      <c r="J14" s="229">
        <f>'6-A. Proc. Sub-Annex'!K29</f>
        <v>0</v>
      </c>
      <c r="K14" s="323"/>
      <c r="L14" s="323"/>
      <c r="M14" s="1300"/>
      <c r="N14" s="323"/>
      <c r="O14" s="229">
        <f>'6-A. Proc. Sub-Annex'!P29</f>
        <v>0</v>
      </c>
      <c r="P14" s="161"/>
      <c r="Q14" s="976" t="s">
        <v>5917</v>
      </c>
      <c r="R14" s="229">
        <f>'6-A. Proc. Sub-Annex'!S29</f>
        <v>0</v>
      </c>
      <c r="S14" s="1278"/>
    </row>
    <row r="15" spans="1:53" ht="30" x14ac:dyDescent="0.2">
      <c r="A15" s="510" t="s">
        <v>1625</v>
      </c>
      <c r="B15" s="510"/>
      <c r="C15" s="510" t="s">
        <v>4905</v>
      </c>
      <c r="D15" s="1277" t="s">
        <v>90</v>
      </c>
      <c r="E15" s="1129" t="s">
        <v>205</v>
      </c>
      <c r="F15" s="322"/>
      <c r="G15" s="322"/>
      <c r="H15" s="229">
        <f>'6-A. Proc. Sub-Annex'!I35</f>
        <v>0</v>
      </c>
      <c r="I15" s="229">
        <f>'6-A. Proc. Sub-Annex'!J35</f>
        <v>0</v>
      </c>
      <c r="J15" s="229">
        <f>'6-A. Proc. Sub-Annex'!K35</f>
        <v>0</v>
      </c>
      <c r="K15" s="323"/>
      <c r="L15" s="323"/>
      <c r="M15" s="1300"/>
      <c r="N15" s="323"/>
      <c r="O15" s="229">
        <f>'6-A. Proc. Sub-Annex'!P35</f>
        <v>0</v>
      </c>
      <c r="P15" s="161"/>
      <c r="Q15" s="976"/>
      <c r="R15" s="229">
        <f>'6-A. Proc. Sub-Annex'!S35</f>
        <v>0</v>
      </c>
      <c r="S15" s="1278"/>
    </row>
    <row r="16" spans="1:53" ht="30" x14ac:dyDescent="0.2">
      <c r="A16" s="510" t="s">
        <v>1629</v>
      </c>
      <c r="B16" s="519"/>
      <c r="C16" s="510" t="s">
        <v>4906</v>
      </c>
      <c r="D16" s="1277" t="s">
        <v>90</v>
      </c>
      <c r="E16" s="1280" t="s">
        <v>208</v>
      </c>
      <c r="F16" s="322"/>
      <c r="G16" s="322"/>
      <c r="H16" s="229">
        <f>'6-A. Proc. Sub-Annex'!I38</f>
        <v>0</v>
      </c>
      <c r="I16" s="229">
        <f>'6-A. Proc. Sub-Annex'!J38</f>
        <v>0</v>
      </c>
      <c r="J16" s="229">
        <f>'6-A. Proc. Sub-Annex'!K38</f>
        <v>0</v>
      </c>
      <c r="K16" s="323"/>
      <c r="L16" s="323"/>
      <c r="M16" s="1300"/>
      <c r="N16" s="323"/>
      <c r="O16" s="229">
        <f>'6-A. Proc. Sub-Annex'!P38</f>
        <v>0</v>
      </c>
      <c r="P16" s="161"/>
      <c r="Q16" s="976"/>
      <c r="R16" s="229">
        <f>'6-A. Proc. Sub-Annex'!S38</f>
        <v>0</v>
      </c>
      <c r="S16" s="1278"/>
    </row>
    <row r="17" spans="1:18" s="1276" customFormat="1" ht="30" x14ac:dyDescent="0.2">
      <c r="A17" s="1268" t="s">
        <v>1677</v>
      </c>
      <c r="B17" s="1269"/>
      <c r="C17" s="1270" t="s">
        <v>4946</v>
      </c>
      <c r="D17" s="1271"/>
      <c r="E17" s="1271"/>
      <c r="F17" s="583"/>
      <c r="G17" s="583"/>
      <c r="H17" s="1274">
        <f>SUM(H18:H24)</f>
        <v>0</v>
      </c>
      <c r="I17" s="1274">
        <f>SUM(I18:I24)</f>
        <v>0</v>
      </c>
      <c r="J17" s="1274">
        <f>SUM(J18:J24)</f>
        <v>0</v>
      </c>
      <c r="K17" s="588"/>
      <c r="L17" s="588"/>
      <c r="M17" s="1301"/>
      <c r="N17" s="588"/>
      <c r="O17" s="1274">
        <f>SUM(O18:O24)</f>
        <v>128.08000000000001</v>
      </c>
      <c r="P17" s="584"/>
      <c r="Q17" s="1275"/>
      <c r="R17" s="1274">
        <f>SUM(R18:R24)</f>
        <v>0</v>
      </c>
    </row>
    <row r="18" spans="1:18" ht="30" x14ac:dyDescent="0.2">
      <c r="A18" s="510" t="s">
        <v>1678</v>
      </c>
      <c r="B18" s="510" t="s">
        <v>1626</v>
      </c>
      <c r="C18" s="510" t="s">
        <v>4907</v>
      </c>
      <c r="D18" s="886" t="s">
        <v>70</v>
      </c>
      <c r="E18" s="1129" t="s">
        <v>4961</v>
      </c>
      <c r="F18" s="322"/>
      <c r="G18" s="322"/>
      <c r="H18" s="229">
        <f>'6-A. Proc. Sub-Annex'!I42</f>
        <v>0</v>
      </c>
      <c r="I18" s="229">
        <f>'6-A. Proc. Sub-Annex'!J42</f>
        <v>0</v>
      </c>
      <c r="J18" s="229">
        <f>'6-A. Proc. Sub-Annex'!K42</f>
        <v>0</v>
      </c>
      <c r="K18" s="323"/>
      <c r="L18" s="323"/>
      <c r="M18" s="1300"/>
      <c r="N18" s="323"/>
      <c r="O18" s="229">
        <f>'6-A. Proc. Sub-Annex'!P42</f>
        <v>0</v>
      </c>
      <c r="P18" s="173"/>
      <c r="Q18" s="976" t="s">
        <v>5917</v>
      </c>
      <c r="R18" s="229">
        <f>'6-A. Proc. Sub-Annex'!S42</f>
        <v>0</v>
      </c>
    </row>
    <row r="19" spans="1:18" ht="30" x14ac:dyDescent="0.2">
      <c r="A19" s="510" t="s">
        <v>1679</v>
      </c>
      <c r="B19" s="510" t="s">
        <v>1630</v>
      </c>
      <c r="C19" s="1281" t="s">
        <v>4947</v>
      </c>
      <c r="D19" s="886" t="s">
        <v>70</v>
      </c>
      <c r="E19" s="1129" t="s">
        <v>70</v>
      </c>
      <c r="F19" s="322"/>
      <c r="G19" s="322"/>
      <c r="H19" s="229">
        <f>'6-A. Proc. Sub-Annex'!I47</f>
        <v>0</v>
      </c>
      <c r="I19" s="229">
        <f>'6-A. Proc. Sub-Annex'!J47</f>
        <v>0</v>
      </c>
      <c r="J19" s="229">
        <f>'6-A. Proc. Sub-Annex'!K47</f>
        <v>0</v>
      </c>
      <c r="K19" s="323"/>
      <c r="L19" s="323"/>
      <c r="M19" s="1300"/>
      <c r="N19" s="323"/>
      <c r="O19" s="229">
        <f>'6-A. Proc. Sub-Annex'!P47</f>
        <v>0</v>
      </c>
      <c r="P19" s="173"/>
      <c r="Q19" s="1137"/>
      <c r="R19" s="229">
        <f>'6-A. Proc. Sub-Annex'!S47</f>
        <v>0</v>
      </c>
    </row>
    <row r="20" spans="1:18" ht="30" x14ac:dyDescent="0.2">
      <c r="A20" s="510" t="s">
        <v>1688</v>
      </c>
      <c r="B20" s="510" t="s">
        <v>1632</v>
      </c>
      <c r="C20" s="510" t="s">
        <v>4908</v>
      </c>
      <c r="D20" s="886" t="s">
        <v>70</v>
      </c>
      <c r="E20" s="1250" t="s">
        <v>3312</v>
      </c>
      <c r="F20" s="322"/>
      <c r="G20" s="322"/>
      <c r="H20" s="229">
        <f>'6-A. Proc. Sub-Annex'!I50</f>
        <v>0</v>
      </c>
      <c r="I20" s="229">
        <f>'6-A. Proc. Sub-Annex'!J50</f>
        <v>0</v>
      </c>
      <c r="J20" s="229">
        <f>'6-A. Proc. Sub-Annex'!K50</f>
        <v>0</v>
      </c>
      <c r="K20" s="323"/>
      <c r="L20" s="323"/>
      <c r="M20" s="1300"/>
      <c r="N20" s="323"/>
      <c r="O20" s="229">
        <f>'6-A. Proc. Sub-Annex'!P50</f>
        <v>0</v>
      </c>
      <c r="P20" s="173"/>
      <c r="Q20" s="976" t="s">
        <v>5917</v>
      </c>
      <c r="R20" s="229">
        <f>'6-A. Proc. Sub-Annex'!S50</f>
        <v>0</v>
      </c>
    </row>
    <row r="21" spans="1:18" x14ac:dyDescent="0.2">
      <c r="A21" s="510" t="s">
        <v>1693</v>
      </c>
      <c r="B21" s="510" t="s">
        <v>1634</v>
      </c>
      <c r="C21" s="510" t="s">
        <v>1635</v>
      </c>
      <c r="D21" s="886" t="s">
        <v>70</v>
      </c>
      <c r="E21" s="1129" t="s">
        <v>70</v>
      </c>
      <c r="F21" s="319"/>
      <c r="G21" s="319"/>
      <c r="H21" s="229">
        <f>'6-A. Proc. Sub-Annex'!I53</f>
        <v>0</v>
      </c>
      <c r="I21" s="229">
        <f>'6-A. Proc. Sub-Annex'!J53</f>
        <v>0</v>
      </c>
      <c r="J21" s="229">
        <f>'6-A. Proc. Sub-Annex'!K53</f>
        <v>0</v>
      </c>
      <c r="K21" s="589"/>
      <c r="L21" s="589"/>
      <c r="M21" s="739"/>
      <c r="N21" s="589"/>
      <c r="O21" s="229">
        <f>'6-A. Proc. Sub-Annex'!P53</f>
        <v>0</v>
      </c>
      <c r="P21" s="161"/>
      <c r="Q21" s="976"/>
      <c r="R21" s="229">
        <f>'6-A. Proc. Sub-Annex'!S53</f>
        <v>0</v>
      </c>
    </row>
    <row r="22" spans="1:18" x14ac:dyDescent="0.2">
      <c r="A22" s="510" t="s">
        <v>1695</v>
      </c>
      <c r="B22" s="510"/>
      <c r="C22" s="510" t="s">
        <v>1696</v>
      </c>
      <c r="D22" s="886" t="s">
        <v>70</v>
      </c>
      <c r="E22" s="1280" t="s">
        <v>70</v>
      </c>
      <c r="F22" s="319"/>
      <c r="G22" s="319"/>
      <c r="H22" s="229">
        <f>'6-A. Proc. Sub-Annex'!I55</f>
        <v>0</v>
      </c>
      <c r="I22" s="229">
        <f>'6-A. Proc. Sub-Annex'!J55</f>
        <v>0</v>
      </c>
      <c r="J22" s="229">
        <f>'6-A. Proc. Sub-Annex'!K55</f>
        <v>0</v>
      </c>
      <c r="K22" s="589"/>
      <c r="L22" s="589"/>
      <c r="M22" s="739"/>
      <c r="N22" s="589"/>
      <c r="O22" s="229">
        <f>'6-A. Proc. Sub-Annex'!P55</f>
        <v>128.08000000000001</v>
      </c>
      <c r="P22" s="161"/>
      <c r="Q22" s="976" t="s">
        <v>5917</v>
      </c>
      <c r="R22" s="229">
        <f>'6-A. Proc. Sub-Annex'!S55</f>
        <v>0</v>
      </c>
    </row>
    <row r="23" spans="1:18" x14ac:dyDescent="0.2">
      <c r="A23" s="510" t="s">
        <v>2395</v>
      </c>
      <c r="B23" s="510"/>
      <c r="C23" s="510" t="s">
        <v>5019</v>
      </c>
      <c r="D23" s="886" t="s">
        <v>70</v>
      </c>
      <c r="E23" s="1280" t="s">
        <v>4365</v>
      </c>
      <c r="F23" s="319"/>
      <c r="G23" s="319"/>
      <c r="H23" s="229">
        <f>'6-A. Proc. Sub-Annex'!I59</f>
        <v>0</v>
      </c>
      <c r="I23" s="229">
        <f>'6-A. Proc. Sub-Annex'!J59</f>
        <v>0</v>
      </c>
      <c r="J23" s="229">
        <f>'6-A. Proc. Sub-Annex'!K59</f>
        <v>0</v>
      </c>
      <c r="K23" s="589"/>
      <c r="L23" s="589"/>
      <c r="M23" s="739"/>
      <c r="N23" s="589"/>
      <c r="O23" s="229">
        <f>'6-A. Proc. Sub-Annex'!P59</f>
        <v>0</v>
      </c>
      <c r="P23" s="161"/>
      <c r="Q23" s="976" t="s">
        <v>5917</v>
      </c>
      <c r="R23" s="229">
        <f>'6-A. Proc. Sub-Annex'!S59</f>
        <v>0</v>
      </c>
    </row>
    <row r="24" spans="1:18" x14ac:dyDescent="0.2">
      <c r="A24" s="510" t="s">
        <v>5017</v>
      </c>
      <c r="B24" s="510"/>
      <c r="C24" s="510" t="s">
        <v>2415</v>
      </c>
      <c r="D24" s="886" t="s">
        <v>70</v>
      </c>
      <c r="E24" s="1280" t="s">
        <v>2383</v>
      </c>
      <c r="F24" s="319"/>
      <c r="G24" s="319"/>
      <c r="H24" s="229">
        <f>'6-A. Proc. Sub-Annex'!I61</f>
        <v>0</v>
      </c>
      <c r="I24" s="229">
        <f>'6-A. Proc. Sub-Annex'!J61</f>
        <v>0</v>
      </c>
      <c r="J24" s="229">
        <f>'6-A. Proc. Sub-Annex'!K61</f>
        <v>0</v>
      </c>
      <c r="K24" s="589"/>
      <c r="L24" s="589"/>
      <c r="M24" s="739"/>
      <c r="N24" s="589"/>
      <c r="O24" s="229">
        <f>'6-A. Proc. Sub-Annex'!P61</f>
        <v>0</v>
      </c>
      <c r="P24" s="161"/>
      <c r="Q24" s="976"/>
      <c r="R24" s="229">
        <f>'6-A. Proc. Sub-Annex'!S61</f>
        <v>0</v>
      </c>
    </row>
    <row r="25" spans="1:18" s="1276" customFormat="1" x14ac:dyDescent="0.2">
      <c r="A25" s="1268" t="s">
        <v>1697</v>
      </c>
      <c r="B25" s="1269"/>
      <c r="C25" s="1270" t="s">
        <v>4959</v>
      </c>
      <c r="D25" s="1271"/>
      <c r="E25" s="1271"/>
      <c r="F25" s="583"/>
      <c r="G25" s="583"/>
      <c r="H25" s="1274">
        <f>SUM(H26:H27)</f>
        <v>0</v>
      </c>
      <c r="I25" s="1274">
        <f>SUM(I26:I27)</f>
        <v>0</v>
      </c>
      <c r="J25" s="1274">
        <f>SUM(J26:J27)</f>
        <v>0</v>
      </c>
      <c r="K25" s="588"/>
      <c r="L25" s="588"/>
      <c r="M25" s="1301"/>
      <c r="N25" s="588"/>
      <c r="O25" s="1274">
        <f>SUM(O26:O28)</f>
        <v>135</v>
      </c>
      <c r="P25" s="584"/>
      <c r="Q25" s="1275"/>
      <c r="R25" s="1274">
        <f>SUM(R26:R28)</f>
        <v>0</v>
      </c>
    </row>
    <row r="26" spans="1:18" x14ac:dyDescent="0.2">
      <c r="A26" s="510" t="s">
        <v>1698</v>
      </c>
      <c r="B26" s="510"/>
      <c r="C26" s="510" t="s">
        <v>1938</v>
      </c>
      <c r="D26" s="886" t="s">
        <v>70</v>
      </c>
      <c r="E26" s="1280" t="s">
        <v>4925</v>
      </c>
      <c r="F26" s="322"/>
      <c r="G26" s="322"/>
      <c r="H26" s="229">
        <f>'6-A. Proc. Sub-Annex'!I65</f>
        <v>0</v>
      </c>
      <c r="I26" s="229">
        <f>'6-A. Proc. Sub-Annex'!J65</f>
        <v>0</v>
      </c>
      <c r="J26" s="229">
        <f>'6-A. Proc. Sub-Annex'!K65</f>
        <v>0</v>
      </c>
      <c r="K26" s="323"/>
      <c r="L26" s="323"/>
      <c r="M26" s="1300"/>
      <c r="N26" s="323"/>
      <c r="O26" s="229">
        <f>'6-A. Proc. Sub-Annex'!P65</f>
        <v>135</v>
      </c>
      <c r="P26" s="173"/>
      <c r="Q26" s="976" t="s">
        <v>5917</v>
      </c>
      <c r="R26" s="229">
        <f>'6-A. Proc. Sub-Annex'!S65</f>
        <v>0</v>
      </c>
    </row>
    <row r="27" spans="1:18" x14ac:dyDescent="0.2">
      <c r="A27" s="510" t="s">
        <v>1706</v>
      </c>
      <c r="B27" s="510"/>
      <c r="C27" s="510" t="s">
        <v>4958</v>
      </c>
      <c r="D27" s="1277" t="s">
        <v>90</v>
      </c>
      <c r="E27" s="1280" t="s">
        <v>118</v>
      </c>
      <c r="F27" s="322"/>
      <c r="G27" s="322"/>
      <c r="H27" s="229">
        <f>'6-A. Proc. Sub-Annex'!I70</f>
        <v>0</v>
      </c>
      <c r="I27" s="229">
        <f>'6-A. Proc. Sub-Annex'!J70</f>
        <v>0</v>
      </c>
      <c r="J27" s="229">
        <f>'6-A. Proc. Sub-Annex'!K70</f>
        <v>0</v>
      </c>
      <c r="K27" s="323"/>
      <c r="L27" s="323"/>
      <c r="M27" s="1300"/>
      <c r="N27" s="323"/>
      <c r="O27" s="229">
        <f>'6-A. Proc. Sub-Annex'!P70</f>
        <v>0</v>
      </c>
      <c r="P27" s="173"/>
      <c r="Q27" s="976" t="s">
        <v>5917</v>
      </c>
      <c r="R27" s="229">
        <f>'6-A. Proc. Sub-Annex'!S70</f>
        <v>0</v>
      </c>
    </row>
    <row r="28" spans="1:18" x14ac:dyDescent="0.2">
      <c r="A28" s="510" t="s">
        <v>1706</v>
      </c>
      <c r="B28" s="510"/>
      <c r="C28" s="510" t="s">
        <v>4958</v>
      </c>
      <c r="D28" s="1277" t="s">
        <v>90</v>
      </c>
      <c r="E28" s="1282" t="s">
        <v>131</v>
      </c>
      <c r="F28" s="322"/>
      <c r="G28" s="322"/>
      <c r="H28" s="229">
        <f>'6-A. Proc. Sub-Annex'!I71</f>
        <v>0</v>
      </c>
      <c r="I28" s="229">
        <f>'6-A. Proc. Sub-Annex'!J71</f>
        <v>0</v>
      </c>
      <c r="J28" s="229">
        <f>'6-A. Proc. Sub-Annex'!K71</f>
        <v>0</v>
      </c>
      <c r="K28" s="323"/>
      <c r="L28" s="323"/>
      <c r="M28" s="1300"/>
      <c r="N28" s="323"/>
      <c r="O28" s="229">
        <f>'6-A. Proc. Sub-Annex'!P71</f>
        <v>0</v>
      </c>
      <c r="P28" s="173"/>
      <c r="Q28" s="976" t="s">
        <v>5917</v>
      </c>
      <c r="R28" s="229">
        <f>'6-A. Proc. Sub-Annex'!S71</f>
        <v>0</v>
      </c>
    </row>
    <row r="29" spans="1:18" ht="30" x14ac:dyDescent="0.2">
      <c r="A29" s="1268" t="s">
        <v>4960</v>
      </c>
      <c r="B29" s="1269"/>
      <c r="C29" s="1270" t="s">
        <v>4957</v>
      </c>
      <c r="D29" s="1271"/>
      <c r="E29" s="1271"/>
      <c r="F29" s="583"/>
      <c r="G29" s="583"/>
      <c r="H29" s="1274">
        <f>SUM(H30:H34)</f>
        <v>0</v>
      </c>
      <c r="I29" s="1274">
        <f>SUM(I30:I34)</f>
        <v>0</v>
      </c>
      <c r="J29" s="1274">
        <f>SUM(J30:J34)</f>
        <v>0</v>
      </c>
      <c r="K29" s="588"/>
      <c r="L29" s="588"/>
      <c r="M29" s="1301"/>
      <c r="N29" s="588"/>
      <c r="O29" s="1274">
        <f>SUM(O30:O34)</f>
        <v>0</v>
      </c>
      <c r="P29" s="584"/>
      <c r="Q29" s="1275"/>
      <c r="R29" s="1274">
        <f>SUM(R30:R34)</f>
        <v>0</v>
      </c>
    </row>
    <row r="30" spans="1:18" ht="30" x14ac:dyDescent="0.2">
      <c r="A30" s="510" t="s">
        <v>4962</v>
      </c>
      <c r="B30" s="510"/>
      <c r="C30" s="510" t="s">
        <v>4909</v>
      </c>
      <c r="D30" s="1283" t="s">
        <v>4366</v>
      </c>
      <c r="E30" s="1129" t="s">
        <v>293</v>
      </c>
      <c r="F30" s="322"/>
      <c r="G30" s="322"/>
      <c r="H30" s="229">
        <f>'6-A. Proc. Sub-Annex'!I73</f>
        <v>0</v>
      </c>
      <c r="I30" s="229">
        <f>'6-A. Proc. Sub-Annex'!J73</f>
        <v>0</v>
      </c>
      <c r="J30" s="229">
        <f>'6-A. Proc. Sub-Annex'!K73</f>
        <v>0</v>
      </c>
      <c r="K30" s="323"/>
      <c r="L30" s="323"/>
      <c r="M30" s="1300"/>
      <c r="N30" s="323"/>
      <c r="O30" s="229">
        <f>'6-A. Proc. Sub-Annex'!P73</f>
        <v>0</v>
      </c>
      <c r="P30" s="173"/>
      <c r="Q30" s="976" t="s">
        <v>5917</v>
      </c>
      <c r="R30" s="229">
        <f>'6-A. Proc. Sub-Annex'!S73</f>
        <v>0</v>
      </c>
    </row>
    <row r="31" spans="1:18" ht="30" x14ac:dyDescent="0.2">
      <c r="A31" s="510" t="s">
        <v>4963</v>
      </c>
      <c r="B31" s="510"/>
      <c r="C31" s="510" t="s">
        <v>4910</v>
      </c>
      <c r="D31" s="1283" t="s">
        <v>4366</v>
      </c>
      <c r="E31" s="1129" t="s">
        <v>114</v>
      </c>
      <c r="F31" s="322"/>
      <c r="G31" s="322"/>
      <c r="H31" s="229">
        <f>'6-A. Proc. Sub-Annex'!I76</f>
        <v>0</v>
      </c>
      <c r="I31" s="229">
        <f>'6-A. Proc. Sub-Annex'!J76</f>
        <v>0</v>
      </c>
      <c r="J31" s="229">
        <f>'6-A. Proc. Sub-Annex'!K76</f>
        <v>0</v>
      </c>
      <c r="K31" s="323"/>
      <c r="L31" s="323"/>
      <c r="M31" s="1300"/>
      <c r="N31" s="323"/>
      <c r="O31" s="229">
        <f>'6-A. Proc. Sub-Annex'!P76</f>
        <v>0</v>
      </c>
      <c r="P31" s="173"/>
      <c r="Q31" s="976" t="s">
        <v>5917</v>
      </c>
      <c r="R31" s="229">
        <f>'6-A. Proc. Sub-Annex'!S76</f>
        <v>0</v>
      </c>
    </row>
    <row r="32" spans="1:18" ht="30" x14ac:dyDescent="0.2">
      <c r="A32" s="510" t="s">
        <v>4964</v>
      </c>
      <c r="B32" s="510"/>
      <c r="C32" s="510" t="s">
        <v>4911</v>
      </c>
      <c r="D32" s="1283" t="s">
        <v>4366</v>
      </c>
      <c r="E32" s="1129" t="s">
        <v>146</v>
      </c>
      <c r="F32" s="322"/>
      <c r="G32" s="322"/>
      <c r="H32" s="229">
        <f>'6-A. Proc. Sub-Annex'!I83</f>
        <v>0</v>
      </c>
      <c r="I32" s="229">
        <f>'6-A. Proc. Sub-Annex'!J83</f>
        <v>0</v>
      </c>
      <c r="J32" s="229">
        <f>'6-A. Proc. Sub-Annex'!K83</f>
        <v>0</v>
      </c>
      <c r="K32" s="323"/>
      <c r="L32" s="323"/>
      <c r="M32" s="1300"/>
      <c r="N32" s="323"/>
      <c r="O32" s="229">
        <f>'6-A. Proc. Sub-Annex'!P83</f>
        <v>0</v>
      </c>
      <c r="P32" s="173"/>
      <c r="Q32" s="976" t="s">
        <v>5917</v>
      </c>
      <c r="R32" s="229">
        <f>'6-A. Proc. Sub-Annex'!S83</f>
        <v>0</v>
      </c>
    </row>
    <row r="33" spans="1:18" ht="30" x14ac:dyDescent="0.2">
      <c r="A33" s="510" t="s">
        <v>4965</v>
      </c>
      <c r="B33" s="510"/>
      <c r="C33" s="510" t="s">
        <v>4912</v>
      </c>
      <c r="D33" s="1283" t="s">
        <v>4366</v>
      </c>
      <c r="E33" s="1129" t="s">
        <v>4683</v>
      </c>
      <c r="F33" s="322"/>
      <c r="G33" s="322"/>
      <c r="H33" s="229">
        <f>'6-A. Proc. Sub-Annex'!I88</f>
        <v>0</v>
      </c>
      <c r="I33" s="229">
        <f>'6-A. Proc. Sub-Annex'!J88</f>
        <v>0</v>
      </c>
      <c r="J33" s="229">
        <f>'6-A. Proc. Sub-Annex'!K88</f>
        <v>0</v>
      </c>
      <c r="K33" s="323"/>
      <c r="L33" s="323"/>
      <c r="M33" s="1300"/>
      <c r="N33" s="323"/>
      <c r="O33" s="229">
        <f>'6-A. Proc. Sub-Annex'!P88</f>
        <v>0</v>
      </c>
      <c r="P33" s="173"/>
      <c r="Q33" s="976" t="s">
        <v>5917</v>
      </c>
      <c r="R33" s="229">
        <f>'6-A. Proc. Sub-Annex'!S88</f>
        <v>0</v>
      </c>
    </row>
    <row r="34" spans="1:18" ht="30" x14ac:dyDescent="0.2">
      <c r="A34" s="510" t="s">
        <v>4966</v>
      </c>
      <c r="B34" s="510"/>
      <c r="C34" s="510" t="s">
        <v>4952</v>
      </c>
      <c r="D34" s="1283" t="s">
        <v>4366</v>
      </c>
      <c r="E34" s="1129" t="s">
        <v>3993</v>
      </c>
      <c r="F34" s="322"/>
      <c r="G34" s="322"/>
      <c r="H34" s="229">
        <f>'6-A. Proc. Sub-Annex'!I90</f>
        <v>0</v>
      </c>
      <c r="I34" s="229">
        <f>'6-A. Proc. Sub-Annex'!J90</f>
        <v>0</v>
      </c>
      <c r="J34" s="229">
        <f>'6-A. Proc. Sub-Annex'!K90</f>
        <v>0</v>
      </c>
      <c r="K34" s="323"/>
      <c r="L34" s="323"/>
      <c r="M34" s="1300"/>
      <c r="N34" s="323"/>
      <c r="O34" s="229">
        <f>'6-A. Proc. Sub-Annex'!P90</f>
        <v>0</v>
      </c>
      <c r="P34" s="173"/>
      <c r="Q34" s="1137"/>
      <c r="R34" s="229">
        <f>'6-A. Proc. Sub-Annex'!S90</f>
        <v>0</v>
      </c>
    </row>
    <row r="35" spans="1:18" ht="30" x14ac:dyDescent="0.2">
      <c r="A35" s="1268" t="s">
        <v>4968</v>
      </c>
      <c r="B35" s="1269"/>
      <c r="C35" s="1270" t="s">
        <v>4967</v>
      </c>
      <c r="D35" s="1271"/>
      <c r="E35" s="1271"/>
      <c r="F35" s="583"/>
      <c r="G35" s="583"/>
      <c r="H35" s="1274">
        <f>SUM(H36:H45)</f>
        <v>0</v>
      </c>
      <c r="I35" s="1274">
        <f>SUM(I36:I45)</f>
        <v>0</v>
      </c>
      <c r="J35" s="1274">
        <f>SUM(J36:J45)</f>
        <v>0</v>
      </c>
      <c r="K35" s="588"/>
      <c r="L35" s="588"/>
      <c r="M35" s="1301"/>
      <c r="N35" s="588"/>
      <c r="O35" s="1274">
        <f>SUM(O36:O45)</f>
        <v>0</v>
      </c>
      <c r="P35" s="584"/>
      <c r="Q35" s="1275"/>
      <c r="R35" s="1274">
        <f>SUM(R36:R45)</f>
        <v>0</v>
      </c>
    </row>
    <row r="36" spans="1:18" ht="30" x14ac:dyDescent="0.2">
      <c r="A36" s="510" t="s">
        <v>4969</v>
      </c>
      <c r="B36" s="510"/>
      <c r="C36" s="510" t="s">
        <v>4913</v>
      </c>
      <c r="D36" s="889" t="s">
        <v>85</v>
      </c>
      <c r="E36" s="1280" t="s">
        <v>86</v>
      </c>
      <c r="F36" s="319"/>
      <c r="G36" s="319"/>
      <c r="H36" s="229">
        <f>'6-A. Proc. Sub-Annex'!I93</f>
        <v>0</v>
      </c>
      <c r="I36" s="229">
        <f>'6-A. Proc. Sub-Annex'!J93</f>
        <v>0</v>
      </c>
      <c r="J36" s="229">
        <f>'6-A. Proc. Sub-Annex'!K93</f>
        <v>0</v>
      </c>
      <c r="K36" s="589"/>
      <c r="L36" s="589"/>
      <c r="M36" s="739"/>
      <c r="N36" s="589"/>
      <c r="O36" s="229">
        <f>'6-A. Proc. Sub-Annex'!P93</f>
        <v>0</v>
      </c>
      <c r="P36" s="161"/>
      <c r="Q36" s="976" t="s">
        <v>5917</v>
      </c>
      <c r="R36" s="229">
        <f>'6-A. Proc. Sub-Annex'!S93</f>
        <v>0</v>
      </c>
    </row>
    <row r="37" spans="1:18" ht="30" x14ac:dyDescent="0.2">
      <c r="A37" s="510" t="s">
        <v>4970</v>
      </c>
      <c r="B37" s="510"/>
      <c r="C37" s="510" t="s">
        <v>4918</v>
      </c>
      <c r="D37" s="889" t="s">
        <v>85</v>
      </c>
      <c r="E37" s="1280" t="s">
        <v>150</v>
      </c>
      <c r="F37" s="319"/>
      <c r="G37" s="319"/>
      <c r="H37" s="229">
        <f>'6-A. Proc. Sub-Annex'!I99</f>
        <v>0</v>
      </c>
      <c r="I37" s="229">
        <f>'6-A. Proc. Sub-Annex'!J99</f>
        <v>0</v>
      </c>
      <c r="J37" s="229">
        <f>'6-A. Proc. Sub-Annex'!K99</f>
        <v>0</v>
      </c>
      <c r="K37" s="589"/>
      <c r="L37" s="589"/>
      <c r="M37" s="739"/>
      <c r="N37" s="589"/>
      <c r="O37" s="229">
        <f>'6-A. Proc. Sub-Annex'!P99</f>
        <v>0</v>
      </c>
      <c r="P37" s="161"/>
      <c r="Q37" s="976" t="s">
        <v>5917</v>
      </c>
      <c r="R37" s="229">
        <f>'6-A. Proc. Sub-Annex'!S99</f>
        <v>0</v>
      </c>
    </row>
    <row r="38" spans="1:18" ht="30" x14ac:dyDescent="0.2">
      <c r="A38" s="510" t="s">
        <v>4971</v>
      </c>
      <c r="B38" s="510" t="s">
        <v>1657</v>
      </c>
      <c r="C38" s="510" t="s">
        <v>4919</v>
      </c>
      <c r="D38" s="889" t="s">
        <v>85</v>
      </c>
      <c r="E38" s="1280" t="s">
        <v>399</v>
      </c>
      <c r="F38" s="319"/>
      <c r="G38" s="319"/>
      <c r="H38" s="229">
        <f>'6-A. Proc. Sub-Annex'!I101</f>
        <v>0</v>
      </c>
      <c r="I38" s="229">
        <f>'6-A. Proc. Sub-Annex'!J101</f>
        <v>0</v>
      </c>
      <c r="J38" s="229">
        <f>'6-A. Proc. Sub-Annex'!K101</f>
        <v>0</v>
      </c>
      <c r="K38" s="589"/>
      <c r="L38" s="589"/>
      <c r="M38" s="739"/>
      <c r="N38" s="589"/>
      <c r="O38" s="229">
        <f>'6-A. Proc. Sub-Annex'!P101</f>
        <v>0</v>
      </c>
      <c r="P38" s="161"/>
      <c r="Q38" s="976"/>
      <c r="R38" s="229">
        <f>'6-A. Proc. Sub-Annex'!S101</f>
        <v>0</v>
      </c>
    </row>
    <row r="39" spans="1:18" ht="30" x14ac:dyDescent="0.2">
      <c r="A39" s="510" t="s">
        <v>4972</v>
      </c>
      <c r="B39" s="510"/>
      <c r="C39" s="510" t="s">
        <v>4920</v>
      </c>
      <c r="D39" s="889" t="s">
        <v>85</v>
      </c>
      <c r="E39" s="1280" t="s">
        <v>152</v>
      </c>
      <c r="F39" s="319"/>
      <c r="G39" s="319"/>
      <c r="H39" s="229">
        <f>'6-A. Proc. Sub-Annex'!I109</f>
        <v>0</v>
      </c>
      <c r="I39" s="229">
        <f>'6-A. Proc. Sub-Annex'!J109</f>
        <v>0</v>
      </c>
      <c r="J39" s="229">
        <f>'6-A. Proc. Sub-Annex'!K109</f>
        <v>0</v>
      </c>
      <c r="K39" s="589"/>
      <c r="L39" s="589"/>
      <c r="M39" s="739"/>
      <c r="N39" s="589"/>
      <c r="O39" s="229">
        <f>'6-A. Proc. Sub-Annex'!P109</f>
        <v>0</v>
      </c>
      <c r="P39" s="161"/>
      <c r="Q39" s="976" t="s">
        <v>5917</v>
      </c>
      <c r="R39" s="229">
        <f>'6-A. Proc. Sub-Annex'!S109</f>
        <v>0</v>
      </c>
    </row>
    <row r="40" spans="1:18" ht="30" x14ac:dyDescent="0.2">
      <c r="A40" s="510" t="s">
        <v>4973</v>
      </c>
      <c r="B40" s="510"/>
      <c r="C40" s="510" t="s">
        <v>4921</v>
      </c>
      <c r="D40" s="889" t="s">
        <v>85</v>
      </c>
      <c r="E40" s="1280" t="s">
        <v>415</v>
      </c>
      <c r="F40" s="319"/>
      <c r="G40" s="319"/>
      <c r="H40" s="229">
        <f>'6-A. Proc. Sub-Annex'!I113</f>
        <v>0</v>
      </c>
      <c r="I40" s="229">
        <f>'6-A. Proc. Sub-Annex'!J113</f>
        <v>0</v>
      </c>
      <c r="J40" s="229">
        <f>'6-A. Proc. Sub-Annex'!K113</f>
        <v>0</v>
      </c>
      <c r="K40" s="589"/>
      <c r="L40" s="589"/>
      <c r="M40" s="739"/>
      <c r="N40" s="589"/>
      <c r="O40" s="229">
        <f>'6-A. Proc. Sub-Annex'!P113</f>
        <v>0</v>
      </c>
      <c r="P40" s="161"/>
      <c r="Q40" s="976" t="s">
        <v>5917</v>
      </c>
      <c r="R40" s="229">
        <f>'6-A. Proc. Sub-Annex'!S113</f>
        <v>0</v>
      </c>
    </row>
    <row r="41" spans="1:18" ht="30" x14ac:dyDescent="0.2">
      <c r="A41" s="510" t="s">
        <v>4974</v>
      </c>
      <c r="B41" s="510" t="s">
        <v>1338</v>
      </c>
      <c r="C41" s="510" t="s">
        <v>4922</v>
      </c>
      <c r="D41" s="889" t="s">
        <v>85</v>
      </c>
      <c r="E41" s="1129" t="s">
        <v>4925</v>
      </c>
      <c r="F41" s="319"/>
      <c r="G41" s="319"/>
      <c r="H41" s="229">
        <f>'6-A. Proc. Sub-Annex'!I120</f>
        <v>0</v>
      </c>
      <c r="I41" s="229">
        <f>'6-A. Proc. Sub-Annex'!J120</f>
        <v>0</v>
      </c>
      <c r="J41" s="229">
        <f>'6-A. Proc. Sub-Annex'!K120</f>
        <v>0</v>
      </c>
      <c r="K41" s="589"/>
      <c r="L41" s="589"/>
      <c r="M41" s="739"/>
      <c r="N41" s="589"/>
      <c r="O41" s="229">
        <f>'6-A. Proc. Sub-Annex'!P120</f>
        <v>0</v>
      </c>
      <c r="P41" s="161"/>
      <c r="Q41" s="976" t="s">
        <v>5917</v>
      </c>
      <c r="R41" s="229">
        <f>'6-A. Proc. Sub-Annex'!S120</f>
        <v>0</v>
      </c>
    </row>
    <row r="42" spans="1:18" ht="30" x14ac:dyDescent="0.2">
      <c r="A42" s="510" t="s">
        <v>4975</v>
      </c>
      <c r="B42" s="510" t="s">
        <v>1639</v>
      </c>
      <c r="C42" s="510" t="s">
        <v>4914</v>
      </c>
      <c r="D42" s="889" t="s">
        <v>85</v>
      </c>
      <c r="E42" s="1129" t="s">
        <v>1020</v>
      </c>
      <c r="F42" s="319"/>
      <c r="G42" s="319"/>
      <c r="H42" s="229">
        <f>'6-A. Proc. Sub-Annex'!I123</f>
        <v>0</v>
      </c>
      <c r="I42" s="229">
        <f>'6-A. Proc. Sub-Annex'!J123</f>
        <v>0</v>
      </c>
      <c r="J42" s="229">
        <f>'6-A. Proc. Sub-Annex'!K123</f>
        <v>0</v>
      </c>
      <c r="K42" s="589"/>
      <c r="L42" s="589"/>
      <c r="M42" s="739"/>
      <c r="N42" s="589"/>
      <c r="O42" s="229">
        <f>'6-A. Proc. Sub-Annex'!P123</f>
        <v>0</v>
      </c>
      <c r="P42" s="161"/>
      <c r="Q42" s="976" t="s">
        <v>5917</v>
      </c>
      <c r="R42" s="229">
        <f>'6-A. Proc. Sub-Annex'!S123</f>
        <v>0</v>
      </c>
    </row>
    <row r="43" spans="1:18" ht="30" x14ac:dyDescent="0.2">
      <c r="A43" s="510" t="s">
        <v>4999</v>
      </c>
      <c r="B43" s="510"/>
      <c r="C43" s="510" t="s">
        <v>4915</v>
      </c>
      <c r="D43" s="889" t="s">
        <v>85</v>
      </c>
      <c r="E43" s="1129" t="s">
        <v>312</v>
      </c>
      <c r="F43" s="319"/>
      <c r="G43" s="319"/>
      <c r="H43" s="229">
        <f>'6-A. Proc. Sub-Annex'!I126</f>
        <v>0</v>
      </c>
      <c r="I43" s="229">
        <f>'6-A. Proc. Sub-Annex'!J126</f>
        <v>0</v>
      </c>
      <c r="J43" s="229">
        <f>'6-A. Proc. Sub-Annex'!K126</f>
        <v>0</v>
      </c>
      <c r="K43" s="589"/>
      <c r="L43" s="589"/>
      <c r="M43" s="739"/>
      <c r="N43" s="589"/>
      <c r="O43" s="229">
        <f>'6-A. Proc. Sub-Annex'!P126</f>
        <v>0</v>
      </c>
      <c r="P43" s="161"/>
      <c r="Q43" s="976"/>
      <c r="R43" s="229">
        <f>'6-A. Proc. Sub-Annex'!S126</f>
        <v>0</v>
      </c>
    </row>
    <row r="44" spans="1:18" ht="30" x14ac:dyDescent="0.2">
      <c r="A44" s="510" t="s">
        <v>5000</v>
      </c>
      <c r="B44" s="510"/>
      <c r="C44" s="510" t="s">
        <v>4916</v>
      </c>
      <c r="D44" s="889" t="s">
        <v>85</v>
      </c>
      <c r="E44" s="1129" t="s">
        <v>314</v>
      </c>
      <c r="F44" s="319"/>
      <c r="G44" s="319"/>
      <c r="H44" s="229">
        <f>'6-A. Proc. Sub-Annex'!I129</f>
        <v>0</v>
      </c>
      <c r="I44" s="229">
        <f>'6-A. Proc. Sub-Annex'!J129</f>
        <v>0</v>
      </c>
      <c r="J44" s="229">
        <f>'6-A. Proc. Sub-Annex'!K129</f>
        <v>0</v>
      </c>
      <c r="K44" s="589"/>
      <c r="L44" s="589"/>
      <c r="M44" s="739"/>
      <c r="N44" s="589"/>
      <c r="O44" s="229">
        <f>'6-A. Proc. Sub-Annex'!P129</f>
        <v>0</v>
      </c>
      <c r="P44" s="161"/>
      <c r="Q44" s="976"/>
      <c r="R44" s="229">
        <f>'6-A. Proc. Sub-Annex'!S129</f>
        <v>0</v>
      </c>
    </row>
    <row r="45" spans="1:18" ht="30" x14ac:dyDescent="0.2">
      <c r="A45" s="510" t="s">
        <v>5001</v>
      </c>
      <c r="B45" s="510"/>
      <c r="C45" s="510" t="s">
        <v>4917</v>
      </c>
      <c r="D45" s="889" t="s">
        <v>85</v>
      </c>
      <c r="E45" s="1129" t="s">
        <v>4718</v>
      </c>
      <c r="F45" s="319"/>
      <c r="G45" s="319"/>
      <c r="H45" s="229">
        <f>'6-A. Proc. Sub-Annex'!I132</f>
        <v>0</v>
      </c>
      <c r="I45" s="229">
        <f>'6-A. Proc. Sub-Annex'!J132</f>
        <v>0</v>
      </c>
      <c r="J45" s="229">
        <f>'6-A. Proc. Sub-Annex'!K132</f>
        <v>0</v>
      </c>
      <c r="K45" s="589"/>
      <c r="L45" s="589"/>
      <c r="M45" s="739"/>
      <c r="N45" s="589"/>
      <c r="O45" s="229">
        <f>'6-A. Proc. Sub-Annex'!P132</f>
        <v>0</v>
      </c>
      <c r="P45" s="161"/>
      <c r="Q45" s="976"/>
      <c r="R45" s="229">
        <f>'6-A. Proc. Sub-Annex'!S132</f>
        <v>0</v>
      </c>
    </row>
    <row r="46" spans="1:18" ht="30" x14ac:dyDescent="0.2">
      <c r="A46" s="1268" t="s">
        <v>4998</v>
      </c>
      <c r="B46" s="1269"/>
      <c r="C46" s="1270" t="s">
        <v>4953</v>
      </c>
      <c r="D46" s="1271"/>
      <c r="E46" s="1271"/>
      <c r="F46" s="583"/>
      <c r="G46" s="583"/>
      <c r="H46" s="1274">
        <f>SUM(H47:H53)</f>
        <v>0</v>
      </c>
      <c r="I46" s="1274">
        <f>SUM(I47:I53)</f>
        <v>0</v>
      </c>
      <c r="J46" s="1274">
        <f>SUM(J47:J53)</f>
        <v>0</v>
      </c>
      <c r="K46" s="588"/>
      <c r="L46" s="588"/>
      <c r="M46" s="1301"/>
      <c r="N46" s="588"/>
      <c r="O46" s="1274">
        <f>SUM(O47:O53)</f>
        <v>0</v>
      </c>
      <c r="P46" s="584"/>
      <c r="Q46" s="1275"/>
      <c r="R46" s="1274">
        <f>SUM(R47:R53)</f>
        <v>0</v>
      </c>
    </row>
    <row r="47" spans="1:18" x14ac:dyDescent="0.2">
      <c r="A47" s="510" t="s">
        <v>5002</v>
      </c>
      <c r="B47" s="1284" t="s">
        <v>1699</v>
      </c>
      <c r="C47" s="510" t="s">
        <v>1700</v>
      </c>
      <c r="D47" s="1277" t="s">
        <v>90</v>
      </c>
      <c r="E47" s="1250" t="s">
        <v>91</v>
      </c>
      <c r="F47" s="322"/>
      <c r="G47" s="322"/>
      <c r="H47" s="1285">
        <f>'6-A. Proc. Sub-Annex'!I137</f>
        <v>0</v>
      </c>
      <c r="I47" s="1285">
        <f>'6-A. Proc. Sub-Annex'!J137</f>
        <v>0</v>
      </c>
      <c r="J47" s="1285">
        <f>'6-A. Proc. Sub-Annex'!K137</f>
        <v>0</v>
      </c>
      <c r="K47" s="589">
        <f>'6-A. Proc. Sub-Annex'!L137</f>
        <v>0</v>
      </c>
      <c r="L47" s="589"/>
      <c r="M47" s="1285">
        <f>'6-A. Proc. Sub-Annex'!N137</f>
        <v>0</v>
      </c>
      <c r="N47" s="589"/>
      <c r="O47" s="1285">
        <f>'6-A. Proc. Sub-Annex'!P137</f>
        <v>0</v>
      </c>
      <c r="P47" s="161">
        <f>'6-A. Proc. Sub-Annex'!Q137</f>
        <v>0</v>
      </c>
      <c r="Q47" s="976">
        <f>'6-A. Proc. Sub-Annex'!R137</f>
        <v>0</v>
      </c>
      <c r="R47" s="1285">
        <f>'6-A. Proc. Sub-Annex'!S137</f>
        <v>0</v>
      </c>
    </row>
    <row r="48" spans="1:18" x14ac:dyDescent="0.2">
      <c r="A48" s="510" t="s">
        <v>5003</v>
      </c>
      <c r="B48" s="510" t="s">
        <v>1701</v>
      </c>
      <c r="C48" s="510" t="s">
        <v>1702</v>
      </c>
      <c r="D48" s="980" t="s">
        <v>4366</v>
      </c>
      <c r="E48" s="1250" t="s">
        <v>293</v>
      </c>
      <c r="F48" s="322"/>
      <c r="G48" s="322"/>
      <c r="H48" s="1285">
        <f>'6-A. Proc. Sub-Annex'!I138</f>
        <v>0</v>
      </c>
      <c r="I48" s="1285">
        <f>'6-A. Proc. Sub-Annex'!J138</f>
        <v>0</v>
      </c>
      <c r="J48" s="1285">
        <f>'6-A. Proc. Sub-Annex'!K138</f>
        <v>0</v>
      </c>
      <c r="K48" s="589">
        <f>'6-A. Proc. Sub-Annex'!L138</f>
        <v>0</v>
      </c>
      <c r="L48" s="589"/>
      <c r="M48" s="1285">
        <f>'6-A. Proc. Sub-Annex'!N138</f>
        <v>0</v>
      </c>
      <c r="N48" s="589"/>
      <c r="O48" s="1285">
        <f>'6-A. Proc. Sub-Annex'!P138</f>
        <v>0</v>
      </c>
      <c r="P48" s="161">
        <f>'6-A. Proc. Sub-Annex'!Q138</f>
        <v>0</v>
      </c>
      <c r="Q48" s="976">
        <f>'6-A. Proc. Sub-Annex'!R138</f>
        <v>0</v>
      </c>
      <c r="R48" s="1285">
        <f>'6-A. Proc. Sub-Annex'!S138</f>
        <v>0</v>
      </c>
    </row>
    <row r="49" spans="1:18" x14ac:dyDescent="0.2">
      <c r="A49" s="510" t="s">
        <v>5004</v>
      </c>
      <c r="B49" s="510" t="s">
        <v>1703</v>
      </c>
      <c r="C49" s="510" t="s">
        <v>1704</v>
      </c>
      <c r="D49" s="980" t="s">
        <v>4366</v>
      </c>
      <c r="E49" s="1250" t="s">
        <v>4683</v>
      </c>
      <c r="F49" s="322"/>
      <c r="G49" s="322"/>
      <c r="H49" s="1285">
        <f>'6-A. Proc. Sub-Annex'!I139</f>
        <v>0</v>
      </c>
      <c r="I49" s="1285">
        <f>'6-A. Proc. Sub-Annex'!J139</f>
        <v>0</v>
      </c>
      <c r="J49" s="1285">
        <f>'6-A. Proc. Sub-Annex'!K139</f>
        <v>0</v>
      </c>
      <c r="K49" s="589">
        <f>'6-A. Proc. Sub-Annex'!L139</f>
        <v>0</v>
      </c>
      <c r="L49" s="589"/>
      <c r="M49" s="1285">
        <f>'6-A. Proc. Sub-Annex'!N139</f>
        <v>0</v>
      </c>
      <c r="N49" s="589"/>
      <c r="O49" s="1285">
        <f>'6-A. Proc. Sub-Annex'!P139</f>
        <v>0</v>
      </c>
      <c r="P49" s="161">
        <f>'6-A. Proc. Sub-Annex'!Q139</f>
        <v>0</v>
      </c>
      <c r="Q49" s="976">
        <f>'6-A. Proc. Sub-Annex'!R139</f>
        <v>0</v>
      </c>
      <c r="R49" s="1285">
        <f>'6-A. Proc. Sub-Annex'!S139</f>
        <v>0</v>
      </c>
    </row>
    <row r="50" spans="1:18" x14ac:dyDescent="0.2">
      <c r="A50" s="510" t="s">
        <v>5005</v>
      </c>
      <c r="B50" s="510"/>
      <c r="C50" s="510" t="s">
        <v>4446</v>
      </c>
      <c r="D50" s="980" t="s">
        <v>4366</v>
      </c>
      <c r="E50" s="1280" t="s">
        <v>114</v>
      </c>
      <c r="F50" s="322"/>
      <c r="G50" s="322"/>
      <c r="H50" s="1285">
        <f>'6-A. Proc. Sub-Annex'!I140</f>
        <v>0</v>
      </c>
      <c r="I50" s="1285">
        <f>'6-A. Proc. Sub-Annex'!J140</f>
        <v>0</v>
      </c>
      <c r="J50" s="1285">
        <f>'6-A. Proc. Sub-Annex'!K140</f>
        <v>0</v>
      </c>
      <c r="K50" s="589">
        <f>'6-A. Proc. Sub-Annex'!L140</f>
        <v>0</v>
      </c>
      <c r="L50" s="589"/>
      <c r="M50" s="1285">
        <f>'6-A. Proc. Sub-Annex'!N140</f>
        <v>0</v>
      </c>
      <c r="N50" s="589"/>
      <c r="O50" s="1285">
        <f>'6-A. Proc. Sub-Annex'!P140</f>
        <v>0</v>
      </c>
      <c r="P50" s="161">
        <f>'6-A. Proc. Sub-Annex'!Q140</f>
        <v>0</v>
      </c>
      <c r="Q50" s="976">
        <f>'6-A. Proc. Sub-Annex'!R140</f>
        <v>0</v>
      </c>
      <c r="R50" s="1285">
        <f>'6-A. Proc. Sub-Annex'!S140</f>
        <v>0</v>
      </c>
    </row>
    <row r="51" spans="1:18" x14ac:dyDescent="0.2">
      <c r="A51" s="510" t="s">
        <v>5006</v>
      </c>
      <c r="B51" s="568" t="s">
        <v>1705</v>
      </c>
      <c r="C51" s="568" t="s">
        <v>2854</v>
      </c>
      <c r="D51" s="889" t="s">
        <v>85</v>
      </c>
      <c r="E51" s="1250" t="s">
        <v>86</v>
      </c>
      <c r="F51" s="173"/>
      <c r="G51" s="173"/>
      <c r="H51" s="1285">
        <f>'6-A. Proc. Sub-Annex'!I141</f>
        <v>0</v>
      </c>
      <c r="I51" s="1285">
        <f>'6-A. Proc. Sub-Annex'!J141</f>
        <v>0</v>
      </c>
      <c r="J51" s="1285">
        <f>'6-A. Proc. Sub-Annex'!K141</f>
        <v>0</v>
      </c>
      <c r="K51" s="589">
        <f>'6-A. Proc. Sub-Annex'!L141</f>
        <v>0</v>
      </c>
      <c r="L51" s="589"/>
      <c r="M51" s="1285">
        <f>'6-A. Proc. Sub-Annex'!N141</f>
        <v>0</v>
      </c>
      <c r="N51" s="589"/>
      <c r="O51" s="1285">
        <f>'6-A. Proc. Sub-Annex'!P141</f>
        <v>0</v>
      </c>
      <c r="P51" s="161">
        <f>'6-A. Proc. Sub-Annex'!Q141</f>
        <v>0</v>
      </c>
      <c r="Q51" s="976">
        <f>'6-A. Proc. Sub-Annex'!R141</f>
        <v>0</v>
      </c>
      <c r="R51" s="1285">
        <f>'6-A. Proc. Sub-Annex'!S141</f>
        <v>0</v>
      </c>
    </row>
    <row r="52" spans="1:18" ht="30" x14ac:dyDescent="0.2">
      <c r="A52" s="510" t="s">
        <v>5007</v>
      </c>
      <c r="B52" s="510"/>
      <c r="C52" s="510" t="s">
        <v>4445</v>
      </c>
      <c r="D52" s="886" t="s">
        <v>70</v>
      </c>
      <c r="E52" s="1280" t="s">
        <v>4925</v>
      </c>
      <c r="F52" s="322"/>
      <c r="G52" s="322"/>
      <c r="H52" s="1285">
        <f>'6-A. Proc. Sub-Annex'!I142</f>
        <v>0</v>
      </c>
      <c r="I52" s="1285">
        <f>'6-A. Proc. Sub-Annex'!J142</f>
        <v>0</v>
      </c>
      <c r="J52" s="1285">
        <f>'6-A. Proc. Sub-Annex'!K142</f>
        <v>0</v>
      </c>
      <c r="K52" s="589">
        <f>'6-A. Proc. Sub-Annex'!L142</f>
        <v>0</v>
      </c>
      <c r="L52" s="589"/>
      <c r="M52" s="1285">
        <f>'6-A. Proc. Sub-Annex'!N142</f>
        <v>0</v>
      </c>
      <c r="N52" s="589"/>
      <c r="O52" s="1285">
        <f>'6-A. Proc. Sub-Annex'!P142</f>
        <v>0</v>
      </c>
      <c r="P52" s="161">
        <f>'6-A. Proc. Sub-Annex'!Q142</f>
        <v>0</v>
      </c>
      <c r="Q52" s="976">
        <f>'6-A. Proc. Sub-Annex'!R142</f>
        <v>0</v>
      </c>
      <c r="R52" s="1285">
        <f>'6-A. Proc. Sub-Annex'!S142</f>
        <v>0</v>
      </c>
    </row>
    <row r="53" spans="1:18" x14ac:dyDescent="0.2">
      <c r="A53" s="510" t="s">
        <v>5008</v>
      </c>
      <c r="B53" s="510"/>
      <c r="C53" s="510" t="s">
        <v>1310</v>
      </c>
      <c r="D53" s="886" t="s">
        <v>70</v>
      </c>
      <c r="E53" s="1250" t="s">
        <v>4925</v>
      </c>
      <c r="F53" s="322"/>
      <c r="G53" s="322"/>
      <c r="H53" s="1285">
        <f>'6-A. Proc. Sub-Annex'!I143</f>
        <v>0</v>
      </c>
      <c r="I53" s="1285">
        <f>'6-A. Proc. Sub-Annex'!J143</f>
        <v>0</v>
      </c>
      <c r="J53" s="1285">
        <f>'6-A. Proc. Sub-Annex'!K143</f>
        <v>0</v>
      </c>
      <c r="K53" s="589">
        <f>'6-A. Proc. Sub-Annex'!L143</f>
        <v>0</v>
      </c>
      <c r="L53" s="589"/>
      <c r="M53" s="1285">
        <f>'6-A. Proc. Sub-Annex'!N143</f>
        <v>0</v>
      </c>
      <c r="N53" s="589"/>
      <c r="O53" s="1285">
        <f>'6-A. Proc. Sub-Annex'!P143</f>
        <v>0</v>
      </c>
      <c r="P53" s="161">
        <f>'6-A. Proc. Sub-Annex'!Q143</f>
        <v>0</v>
      </c>
      <c r="Q53" s="976">
        <f>'6-A. Proc. Sub-Annex'!R143</f>
        <v>0</v>
      </c>
      <c r="R53" s="1285">
        <f>'6-A. Proc. Sub-Annex'!S143</f>
        <v>0</v>
      </c>
    </row>
    <row r="54" spans="1:18" s="1257" customFormat="1" x14ac:dyDescent="0.2">
      <c r="A54" s="1266">
        <v>6.2</v>
      </c>
      <c r="B54" s="1267" t="s">
        <v>1707</v>
      </c>
      <c r="C54" s="1266" t="s">
        <v>4997</v>
      </c>
      <c r="D54" s="908"/>
      <c r="E54" s="908"/>
      <c r="F54" s="109"/>
      <c r="G54" s="109"/>
      <c r="H54" s="738">
        <f>H55+H63+H71+H78</f>
        <v>0</v>
      </c>
      <c r="I54" s="738">
        <f>I55+I63+I71+I78</f>
        <v>0</v>
      </c>
      <c r="J54" s="738">
        <f>J55+J63+J71+J78</f>
        <v>0</v>
      </c>
      <c r="K54" s="166"/>
      <c r="L54" s="166"/>
      <c r="M54" s="741"/>
      <c r="N54" s="166"/>
      <c r="O54" s="738">
        <f>O55+O63+O71+O78</f>
        <v>3838.92848</v>
      </c>
      <c r="P54" s="109"/>
      <c r="Q54" s="99"/>
      <c r="R54" s="738">
        <f>R55+R63+R71+R78</f>
        <v>0</v>
      </c>
    </row>
    <row r="55" spans="1:18" s="1276" customFormat="1" ht="30" x14ac:dyDescent="0.2">
      <c r="A55" s="1268" t="s">
        <v>1709</v>
      </c>
      <c r="B55" s="1269"/>
      <c r="C55" s="1270" t="s">
        <v>4954</v>
      </c>
      <c r="D55" s="1271"/>
      <c r="E55" s="1271"/>
      <c r="F55" s="583"/>
      <c r="G55" s="583"/>
      <c r="H55" s="1274">
        <f>SUM(H56:H62)</f>
        <v>0</v>
      </c>
      <c r="I55" s="1274">
        <f>SUM(I56:I62)</f>
        <v>0</v>
      </c>
      <c r="J55" s="1274">
        <f>SUM(J56:J62)</f>
        <v>0</v>
      </c>
      <c r="K55" s="588"/>
      <c r="L55" s="588"/>
      <c r="M55" s="1301"/>
      <c r="N55" s="588"/>
      <c r="O55" s="1274">
        <f>SUM(O56:O62)</f>
        <v>0</v>
      </c>
      <c r="P55" s="584"/>
      <c r="Q55" s="1275"/>
      <c r="R55" s="1274">
        <f>SUM(R56:R62)</f>
        <v>0</v>
      </c>
    </row>
    <row r="56" spans="1:18" x14ac:dyDescent="0.2">
      <c r="A56" s="1286" t="s">
        <v>1712</v>
      </c>
      <c r="B56" s="510"/>
      <c r="C56" s="510" t="s">
        <v>1711</v>
      </c>
      <c r="D56" s="1277" t="s">
        <v>90</v>
      </c>
      <c r="E56" s="1129" t="s">
        <v>118</v>
      </c>
      <c r="F56" s="322"/>
      <c r="G56" s="322"/>
      <c r="H56" s="229">
        <f>'6-A. Proc. Sub-Annex'!I146</f>
        <v>0</v>
      </c>
      <c r="I56" s="229">
        <f>'6-A. Proc. Sub-Annex'!J146</f>
        <v>0</v>
      </c>
      <c r="J56" s="229">
        <f>'6-A. Proc. Sub-Annex'!K146</f>
        <v>0</v>
      </c>
      <c r="K56" s="590"/>
      <c r="L56" s="323"/>
      <c r="M56" s="1300"/>
      <c r="N56" s="323"/>
      <c r="O56" s="229">
        <f>'6-A. Proc. Sub-Annex'!P146</f>
        <v>0</v>
      </c>
      <c r="P56" s="173"/>
      <c r="Q56" s="976" t="s">
        <v>5917</v>
      </c>
      <c r="R56" s="229">
        <f>'6-A. Proc. Sub-Annex'!S146</f>
        <v>0</v>
      </c>
    </row>
    <row r="57" spans="1:18" x14ac:dyDescent="0.2">
      <c r="A57" s="1286" t="s">
        <v>1715</v>
      </c>
      <c r="B57" s="510"/>
      <c r="C57" s="510" t="s">
        <v>1742</v>
      </c>
      <c r="D57" s="1277" t="s">
        <v>90</v>
      </c>
      <c r="E57" s="1129" t="s">
        <v>131</v>
      </c>
      <c r="F57" s="322"/>
      <c r="G57" s="322"/>
      <c r="H57" s="229">
        <f>'6-A. Proc. Sub-Annex'!I160</f>
        <v>0</v>
      </c>
      <c r="I57" s="229">
        <f>'6-A. Proc. Sub-Annex'!J160</f>
        <v>0</v>
      </c>
      <c r="J57" s="229">
        <f>'6-A. Proc. Sub-Annex'!K160</f>
        <v>0</v>
      </c>
      <c r="K57" s="590"/>
      <c r="L57" s="323"/>
      <c r="M57" s="1300"/>
      <c r="N57" s="323"/>
      <c r="O57" s="229">
        <f>'6-A. Proc. Sub-Annex'!P160</f>
        <v>0</v>
      </c>
      <c r="P57" s="173"/>
      <c r="Q57" s="976" t="s">
        <v>5917</v>
      </c>
      <c r="R57" s="229">
        <f>'6-A. Proc. Sub-Annex'!S160</f>
        <v>0</v>
      </c>
    </row>
    <row r="58" spans="1:18" x14ac:dyDescent="0.2">
      <c r="A58" s="1286" t="s">
        <v>1717</v>
      </c>
      <c r="B58" s="510"/>
      <c r="C58" s="510" t="s">
        <v>1771</v>
      </c>
      <c r="D58" s="1277" t="s">
        <v>90</v>
      </c>
      <c r="E58" s="1129" t="s">
        <v>91</v>
      </c>
      <c r="F58" s="322"/>
      <c r="G58" s="322"/>
      <c r="H58" s="229">
        <f>'6-A. Proc. Sub-Annex'!I173</f>
        <v>0</v>
      </c>
      <c r="I58" s="229">
        <f>'6-A. Proc. Sub-Annex'!J173</f>
        <v>0</v>
      </c>
      <c r="J58" s="229">
        <f>'6-A. Proc. Sub-Annex'!K173</f>
        <v>0</v>
      </c>
      <c r="K58" s="590"/>
      <c r="L58" s="323"/>
      <c r="M58" s="1300"/>
      <c r="N58" s="323"/>
      <c r="O58" s="229">
        <f>'6-A. Proc. Sub-Annex'!P173</f>
        <v>0</v>
      </c>
      <c r="P58" s="173"/>
      <c r="Q58" s="1137"/>
      <c r="R58" s="229">
        <f>'6-A. Proc. Sub-Annex'!S173</f>
        <v>0</v>
      </c>
    </row>
    <row r="59" spans="1:18" x14ac:dyDescent="0.2">
      <c r="A59" s="1286" t="s">
        <v>1720</v>
      </c>
      <c r="B59" s="510"/>
      <c r="C59" s="510" t="s">
        <v>1775</v>
      </c>
      <c r="D59" s="1277" t="s">
        <v>90</v>
      </c>
      <c r="E59" s="1129" t="s">
        <v>193</v>
      </c>
      <c r="F59" s="322"/>
      <c r="G59" s="322"/>
      <c r="H59" s="229">
        <f>'6-A. Proc. Sub-Annex'!I176</f>
        <v>0</v>
      </c>
      <c r="I59" s="229">
        <f>'6-A. Proc. Sub-Annex'!J176</f>
        <v>0</v>
      </c>
      <c r="J59" s="229">
        <f>'6-A. Proc. Sub-Annex'!K176</f>
        <v>0</v>
      </c>
      <c r="K59" s="590"/>
      <c r="L59" s="323"/>
      <c r="M59" s="1300"/>
      <c r="N59" s="323"/>
      <c r="O59" s="229">
        <f>'6-A. Proc. Sub-Annex'!P176</f>
        <v>0</v>
      </c>
      <c r="P59" s="173"/>
      <c r="Q59" s="976" t="s">
        <v>5917</v>
      </c>
      <c r="R59" s="229">
        <f>'6-A. Proc. Sub-Annex'!S176</f>
        <v>0</v>
      </c>
    </row>
    <row r="60" spans="1:18" x14ac:dyDescent="0.2">
      <c r="A60" s="1286" t="s">
        <v>1723</v>
      </c>
      <c r="B60" s="510"/>
      <c r="C60" s="510" t="s">
        <v>1785</v>
      </c>
      <c r="D60" s="1277" t="s">
        <v>90</v>
      </c>
      <c r="E60" s="1129" t="s">
        <v>96</v>
      </c>
      <c r="F60" s="375"/>
      <c r="G60" s="375"/>
      <c r="H60" s="1039">
        <f>'6-A. Proc. Sub-Annex'!I181</f>
        <v>0</v>
      </c>
      <c r="I60" s="1039">
        <f>'6-A. Proc. Sub-Annex'!J181</f>
        <v>0</v>
      </c>
      <c r="J60" s="1039">
        <f>'6-A. Proc. Sub-Annex'!K181</f>
        <v>0</v>
      </c>
      <c r="K60" s="582"/>
      <c r="L60" s="310"/>
      <c r="M60" s="731"/>
      <c r="N60" s="310"/>
      <c r="O60" s="1039">
        <f>'6-A. Proc. Sub-Annex'!P181</f>
        <v>0</v>
      </c>
      <c r="P60" s="368"/>
      <c r="Q60" s="976" t="s">
        <v>5917</v>
      </c>
      <c r="R60" s="1039">
        <f>'6-A. Proc. Sub-Annex'!S181</f>
        <v>0</v>
      </c>
    </row>
    <row r="61" spans="1:18" x14ac:dyDescent="0.2">
      <c r="A61" s="1286" t="s">
        <v>1726</v>
      </c>
      <c r="B61" s="510"/>
      <c r="C61" s="510" t="s">
        <v>4996</v>
      </c>
      <c r="D61" s="1277" t="s">
        <v>90</v>
      </c>
      <c r="E61" s="1129" t="s">
        <v>205</v>
      </c>
      <c r="F61" s="375"/>
      <c r="G61" s="375"/>
      <c r="H61" s="1039">
        <f>'6-A. Proc. Sub-Annex'!I184</f>
        <v>0</v>
      </c>
      <c r="I61" s="1039">
        <f>'6-A. Proc. Sub-Annex'!J184</f>
        <v>0</v>
      </c>
      <c r="J61" s="1039">
        <f>'6-A. Proc. Sub-Annex'!K184</f>
        <v>0</v>
      </c>
      <c r="K61" s="582"/>
      <c r="L61" s="310"/>
      <c r="M61" s="731"/>
      <c r="N61" s="310"/>
      <c r="O61" s="1039">
        <f>'6-A. Proc. Sub-Annex'!P184</f>
        <v>0</v>
      </c>
      <c r="P61" s="368"/>
      <c r="Q61" s="976" t="s">
        <v>5917</v>
      </c>
      <c r="R61" s="1039">
        <f>'6-A. Proc. Sub-Annex'!S184</f>
        <v>0</v>
      </c>
    </row>
    <row r="62" spans="1:18" x14ac:dyDescent="0.2">
      <c r="A62" s="1286" t="s">
        <v>1729</v>
      </c>
      <c r="B62" s="510"/>
      <c r="C62" s="510" t="s">
        <v>1827</v>
      </c>
      <c r="D62" s="1277" t="s">
        <v>90</v>
      </c>
      <c r="E62" s="1129" t="s">
        <v>208</v>
      </c>
      <c r="F62" s="375"/>
      <c r="G62" s="375"/>
      <c r="H62" s="1039">
        <f>'6-A. Proc. Sub-Annex'!I187</f>
        <v>0</v>
      </c>
      <c r="I62" s="1039">
        <f>'6-A. Proc. Sub-Annex'!J187</f>
        <v>0</v>
      </c>
      <c r="J62" s="1039">
        <f>'6-A. Proc. Sub-Annex'!K187</f>
        <v>0</v>
      </c>
      <c r="K62" s="582"/>
      <c r="L62" s="310"/>
      <c r="M62" s="731"/>
      <c r="N62" s="310"/>
      <c r="O62" s="1039">
        <f>'6-A. Proc. Sub-Annex'!P187</f>
        <v>0</v>
      </c>
      <c r="P62" s="368"/>
      <c r="Q62" s="976" t="s">
        <v>5917</v>
      </c>
      <c r="R62" s="1039">
        <f>'6-A. Proc. Sub-Annex'!S187</f>
        <v>0</v>
      </c>
    </row>
    <row r="63" spans="1:18" s="1276" customFormat="1" x14ac:dyDescent="0.2">
      <c r="A63" s="1268" t="s">
        <v>1740</v>
      </c>
      <c r="B63" s="1269"/>
      <c r="C63" s="1270" t="s">
        <v>4976</v>
      </c>
      <c r="D63" s="1271"/>
      <c r="E63" s="1271"/>
      <c r="F63" s="583"/>
      <c r="G63" s="583"/>
      <c r="H63" s="1274">
        <f>SUM(H64:H70)</f>
        <v>0</v>
      </c>
      <c r="I63" s="1274">
        <f>SUM(I64:I70)</f>
        <v>0</v>
      </c>
      <c r="J63" s="1274">
        <f>SUM(J64:J70)</f>
        <v>0</v>
      </c>
      <c r="K63" s="588"/>
      <c r="L63" s="588"/>
      <c r="M63" s="1301"/>
      <c r="N63" s="588"/>
      <c r="O63" s="1274">
        <f>SUM(O64:O70)</f>
        <v>0</v>
      </c>
      <c r="P63" s="584"/>
      <c r="Q63" s="1275"/>
      <c r="R63" s="1274">
        <f>SUM(R64:R70)</f>
        <v>0</v>
      </c>
    </row>
    <row r="64" spans="1:18" x14ac:dyDescent="0.2">
      <c r="A64" s="1286" t="s">
        <v>1743</v>
      </c>
      <c r="B64" s="510"/>
      <c r="C64" s="510" t="s">
        <v>1791</v>
      </c>
      <c r="D64" s="886" t="s">
        <v>70</v>
      </c>
      <c r="E64" s="1129" t="s">
        <v>4995</v>
      </c>
      <c r="F64" s="322"/>
      <c r="G64" s="322"/>
      <c r="H64" s="229">
        <f>'6-A. Proc. Sub-Annex'!I191</f>
        <v>0</v>
      </c>
      <c r="I64" s="229">
        <f>'6-A. Proc. Sub-Annex'!J191</f>
        <v>0</v>
      </c>
      <c r="J64" s="229">
        <f>'6-A. Proc. Sub-Annex'!K191</f>
        <v>0</v>
      </c>
      <c r="K64" s="590"/>
      <c r="L64" s="323"/>
      <c r="M64" s="1300"/>
      <c r="N64" s="323"/>
      <c r="O64" s="229">
        <f>'6-A. Proc. Sub-Annex'!P191</f>
        <v>0</v>
      </c>
      <c r="P64" s="173"/>
      <c r="Q64" s="976" t="s">
        <v>5917</v>
      </c>
      <c r="R64" s="229">
        <f>'6-A. Proc. Sub-Annex'!S191</f>
        <v>0</v>
      </c>
    </row>
    <row r="65" spans="1:18" x14ac:dyDescent="0.2">
      <c r="A65" s="1286" t="s">
        <v>1745</v>
      </c>
      <c r="B65" s="510"/>
      <c r="C65" s="510" t="s">
        <v>2571</v>
      </c>
      <c r="D65" s="886" t="s">
        <v>70</v>
      </c>
      <c r="E65" s="1129" t="s">
        <v>3312</v>
      </c>
      <c r="F65" s="322"/>
      <c r="G65" s="322"/>
      <c r="H65" s="229">
        <f>'6-A. Proc. Sub-Annex'!I197</f>
        <v>0</v>
      </c>
      <c r="I65" s="229">
        <f>'6-A. Proc. Sub-Annex'!J197</f>
        <v>0</v>
      </c>
      <c r="J65" s="229">
        <f>'6-A. Proc. Sub-Annex'!K197</f>
        <v>0</v>
      </c>
      <c r="K65" s="590"/>
      <c r="L65" s="323"/>
      <c r="M65" s="1300"/>
      <c r="N65" s="323"/>
      <c r="O65" s="229">
        <f>'6-A. Proc. Sub-Annex'!P197</f>
        <v>0</v>
      </c>
      <c r="P65" s="173"/>
      <c r="Q65" s="976" t="s">
        <v>5917</v>
      </c>
      <c r="R65" s="229">
        <f>'6-A. Proc. Sub-Annex'!S197</f>
        <v>0</v>
      </c>
    </row>
    <row r="66" spans="1:18" x14ac:dyDescent="0.2">
      <c r="A66" s="1286" t="s">
        <v>1748</v>
      </c>
      <c r="B66" s="510"/>
      <c r="C66" s="510" t="s">
        <v>1808</v>
      </c>
      <c r="D66" s="886" t="s">
        <v>70</v>
      </c>
      <c r="E66" s="1129" t="s">
        <v>70</v>
      </c>
      <c r="F66" s="322"/>
      <c r="G66" s="322"/>
      <c r="H66" s="229">
        <f>'6-A. Proc. Sub-Annex'!I200</f>
        <v>0</v>
      </c>
      <c r="I66" s="229">
        <f>'6-A. Proc. Sub-Annex'!J200</f>
        <v>0</v>
      </c>
      <c r="J66" s="229">
        <f>'6-A. Proc. Sub-Annex'!K200</f>
        <v>0</v>
      </c>
      <c r="K66" s="590"/>
      <c r="L66" s="323"/>
      <c r="M66" s="1300"/>
      <c r="N66" s="323"/>
      <c r="O66" s="229">
        <f>'6-A. Proc. Sub-Annex'!P200</f>
        <v>0</v>
      </c>
      <c r="P66" s="173"/>
      <c r="Q66" s="976" t="s">
        <v>5917</v>
      </c>
      <c r="R66" s="229">
        <f>'6-A. Proc. Sub-Annex'!S200</f>
        <v>0</v>
      </c>
    </row>
    <row r="67" spans="1:18" x14ac:dyDescent="0.2">
      <c r="A67" s="1286" t="s">
        <v>1751</v>
      </c>
      <c r="B67" s="510" t="s">
        <v>1817</v>
      </c>
      <c r="C67" s="510" t="s">
        <v>1818</v>
      </c>
      <c r="D67" s="886" t="s">
        <v>70</v>
      </c>
      <c r="E67" s="1129" t="s">
        <v>70</v>
      </c>
      <c r="F67" s="322"/>
      <c r="G67" s="322"/>
      <c r="H67" s="229">
        <f>'6-A. Proc. Sub-Annex'!I202</f>
        <v>0</v>
      </c>
      <c r="I67" s="229">
        <f>'6-A. Proc. Sub-Annex'!J202</f>
        <v>0</v>
      </c>
      <c r="J67" s="229">
        <f>'6-A. Proc. Sub-Annex'!K202</f>
        <v>0</v>
      </c>
      <c r="K67" s="590"/>
      <c r="L67" s="323"/>
      <c r="M67" s="1300"/>
      <c r="N67" s="323"/>
      <c r="O67" s="229">
        <f>'6-A. Proc. Sub-Annex'!P202</f>
        <v>0</v>
      </c>
      <c r="P67" s="173"/>
      <c r="Q67" s="976" t="s">
        <v>5917</v>
      </c>
      <c r="R67" s="229">
        <f>'6-A. Proc. Sub-Annex'!S202</f>
        <v>0</v>
      </c>
    </row>
    <row r="68" spans="1:18" x14ac:dyDescent="0.2">
      <c r="A68" s="1286" t="s">
        <v>1754</v>
      </c>
      <c r="B68" s="510" t="s">
        <v>1928</v>
      </c>
      <c r="C68" s="510" t="s">
        <v>1929</v>
      </c>
      <c r="D68" s="886" t="s">
        <v>70</v>
      </c>
      <c r="E68" s="1129" t="s">
        <v>70</v>
      </c>
      <c r="F68" s="322"/>
      <c r="G68" s="322"/>
      <c r="H68" s="229">
        <f>'6-A. Proc. Sub-Annex'!I205</f>
        <v>0</v>
      </c>
      <c r="I68" s="229">
        <f>'6-A. Proc. Sub-Annex'!J205</f>
        <v>0</v>
      </c>
      <c r="J68" s="229">
        <f>'6-A. Proc. Sub-Annex'!K205</f>
        <v>0</v>
      </c>
      <c r="K68" s="590"/>
      <c r="L68" s="323"/>
      <c r="M68" s="1300"/>
      <c r="N68" s="323"/>
      <c r="O68" s="229">
        <f>'6-A. Proc. Sub-Annex'!P205</f>
        <v>0</v>
      </c>
      <c r="P68" s="173"/>
      <c r="Q68" s="976" t="s">
        <v>5917</v>
      </c>
      <c r="R68" s="229">
        <f>'6-A. Proc. Sub-Annex'!S205</f>
        <v>0</v>
      </c>
    </row>
    <row r="69" spans="1:18" ht="30" x14ac:dyDescent="0.2">
      <c r="A69" s="1286" t="s">
        <v>1756</v>
      </c>
      <c r="B69" s="510" t="s">
        <v>2041</v>
      </c>
      <c r="C69" s="510" t="s">
        <v>2572</v>
      </c>
      <c r="D69" s="886" t="s">
        <v>70</v>
      </c>
      <c r="E69" s="1129" t="s">
        <v>4365</v>
      </c>
      <c r="F69" s="322"/>
      <c r="G69" s="322"/>
      <c r="H69" s="229">
        <f>'6-A. Proc. Sub-Annex'!I208</f>
        <v>0</v>
      </c>
      <c r="I69" s="229">
        <f>'6-A. Proc. Sub-Annex'!J208</f>
        <v>0</v>
      </c>
      <c r="J69" s="229">
        <f>'6-A. Proc. Sub-Annex'!K208</f>
        <v>0</v>
      </c>
      <c r="K69" s="590"/>
      <c r="L69" s="323"/>
      <c r="M69" s="1300"/>
      <c r="N69" s="323"/>
      <c r="O69" s="229">
        <f>'6-A. Proc. Sub-Annex'!P208</f>
        <v>0</v>
      </c>
      <c r="P69" s="173"/>
      <c r="Q69" s="976" t="s">
        <v>5917</v>
      </c>
      <c r="R69" s="229">
        <f>'6-A. Proc. Sub-Annex'!S208</f>
        <v>0</v>
      </c>
    </row>
    <row r="70" spans="1:18" x14ac:dyDescent="0.2">
      <c r="A70" s="1286" t="s">
        <v>1758</v>
      </c>
      <c r="B70" s="510"/>
      <c r="C70" s="510" t="s">
        <v>4494</v>
      </c>
      <c r="D70" s="886" t="s">
        <v>70</v>
      </c>
      <c r="E70" s="1129" t="s">
        <v>70</v>
      </c>
      <c r="F70" s="322"/>
      <c r="G70" s="322"/>
      <c r="H70" s="229">
        <f>'6-A. Proc. Sub-Annex'!I211</f>
        <v>0</v>
      </c>
      <c r="I70" s="229">
        <f>'6-A. Proc. Sub-Annex'!J211</f>
        <v>0</v>
      </c>
      <c r="J70" s="229">
        <f>'6-A. Proc. Sub-Annex'!K211</f>
        <v>0</v>
      </c>
      <c r="K70" s="590"/>
      <c r="L70" s="323"/>
      <c r="M70" s="1300"/>
      <c r="N70" s="323"/>
      <c r="O70" s="229">
        <f>'6-A. Proc. Sub-Annex'!P211</f>
        <v>0</v>
      </c>
      <c r="P70" s="173"/>
      <c r="Q70" s="1137"/>
      <c r="R70" s="229">
        <f>'6-A. Proc. Sub-Annex'!S211</f>
        <v>0</v>
      </c>
    </row>
    <row r="71" spans="1:18" s="1276" customFormat="1" x14ac:dyDescent="0.2">
      <c r="A71" s="1268" t="s">
        <v>1769</v>
      </c>
      <c r="B71" s="1269"/>
      <c r="C71" s="1270" t="s">
        <v>4979</v>
      </c>
      <c r="D71" s="1271"/>
      <c r="E71" s="1271"/>
      <c r="F71" s="583"/>
      <c r="G71" s="583"/>
      <c r="H71" s="1274">
        <f>SUM(H72:H77)</f>
        <v>0</v>
      </c>
      <c r="I71" s="1274">
        <f>SUM(I72:I77)</f>
        <v>0</v>
      </c>
      <c r="J71" s="1274">
        <f>SUM(J72:J77)</f>
        <v>0</v>
      </c>
      <c r="K71" s="588"/>
      <c r="L71" s="588"/>
      <c r="M71" s="1301"/>
      <c r="N71" s="588"/>
      <c r="O71" s="1274">
        <f>SUM(O72:O77)</f>
        <v>3328.92848</v>
      </c>
      <c r="P71" s="584"/>
      <c r="Q71" s="1275"/>
      <c r="R71" s="1274">
        <f>SUM(R72:R77)</f>
        <v>0</v>
      </c>
    </row>
    <row r="72" spans="1:18" x14ac:dyDescent="0.2">
      <c r="A72" s="1286" t="s">
        <v>1772</v>
      </c>
      <c r="B72" s="510"/>
      <c r="C72" s="510" t="s">
        <v>1832</v>
      </c>
      <c r="D72" s="980" t="s">
        <v>4366</v>
      </c>
      <c r="E72" s="1250" t="s">
        <v>114</v>
      </c>
      <c r="F72" s="322"/>
      <c r="G72" s="322"/>
      <c r="H72" s="229">
        <f>'6-A. Proc. Sub-Annex'!I214</f>
        <v>0</v>
      </c>
      <c r="I72" s="229">
        <f>'6-A. Proc. Sub-Annex'!J214</f>
        <v>0</v>
      </c>
      <c r="J72" s="229">
        <f>'6-A. Proc. Sub-Annex'!K214</f>
        <v>0</v>
      </c>
      <c r="K72" s="590"/>
      <c r="L72" s="323"/>
      <c r="M72" s="1300"/>
      <c r="N72" s="323"/>
      <c r="O72" s="229">
        <f>'6-A. Proc. Sub-Annex'!P214</f>
        <v>0</v>
      </c>
      <c r="P72" s="173"/>
      <c r="Q72" s="976" t="s">
        <v>5917</v>
      </c>
      <c r="R72" s="229">
        <f>'6-A. Proc. Sub-Annex'!S214</f>
        <v>0</v>
      </c>
    </row>
    <row r="73" spans="1:18" x14ac:dyDescent="0.2">
      <c r="A73" s="1286" t="s">
        <v>1773</v>
      </c>
      <c r="B73" s="510"/>
      <c r="C73" s="510" t="s">
        <v>1881</v>
      </c>
      <c r="D73" s="980" t="s">
        <v>4366</v>
      </c>
      <c r="E73" s="1129" t="s">
        <v>146</v>
      </c>
      <c r="F73" s="322"/>
      <c r="G73" s="322"/>
      <c r="H73" s="229">
        <f>'6-A. Proc. Sub-Annex'!I232</f>
        <v>0</v>
      </c>
      <c r="I73" s="229">
        <f>'6-A. Proc. Sub-Annex'!J232</f>
        <v>0</v>
      </c>
      <c r="J73" s="229">
        <f>'6-A. Proc. Sub-Annex'!K232</f>
        <v>0</v>
      </c>
      <c r="K73" s="590"/>
      <c r="L73" s="323"/>
      <c r="M73" s="1300"/>
      <c r="N73" s="323"/>
      <c r="O73" s="229">
        <f>'6-A. Proc. Sub-Annex'!P232</f>
        <v>0</v>
      </c>
      <c r="P73" s="173"/>
      <c r="Q73" s="976" t="s">
        <v>5917</v>
      </c>
      <c r="R73" s="229">
        <f>'6-A. Proc. Sub-Annex'!S232</f>
        <v>0</v>
      </c>
    </row>
    <row r="74" spans="1:18" x14ac:dyDescent="0.2">
      <c r="A74" s="1286" t="s">
        <v>5009</v>
      </c>
      <c r="B74" s="510"/>
      <c r="C74" s="510" t="s">
        <v>4893</v>
      </c>
      <c r="D74" s="980" t="s">
        <v>4366</v>
      </c>
      <c r="E74" s="1129" t="s">
        <v>4683</v>
      </c>
      <c r="F74" s="322"/>
      <c r="G74" s="322"/>
      <c r="H74" s="229">
        <f>'6-A. Proc. Sub-Annex'!I235</f>
        <v>0</v>
      </c>
      <c r="I74" s="229">
        <f>'6-A. Proc. Sub-Annex'!J235</f>
        <v>0</v>
      </c>
      <c r="J74" s="229">
        <f>'6-A. Proc. Sub-Annex'!K235</f>
        <v>0</v>
      </c>
      <c r="K74" s="590"/>
      <c r="L74" s="323"/>
      <c r="M74" s="1300"/>
      <c r="N74" s="323"/>
      <c r="O74" s="229">
        <f>'6-A. Proc. Sub-Annex'!P235</f>
        <v>3301.2784799999999</v>
      </c>
      <c r="P74" s="173"/>
      <c r="Q74" s="976" t="s">
        <v>5917</v>
      </c>
      <c r="R74" s="229">
        <f>'6-A. Proc. Sub-Annex'!S235</f>
        <v>0</v>
      </c>
    </row>
    <row r="75" spans="1:18" x14ac:dyDescent="0.2">
      <c r="A75" s="1286" t="s">
        <v>5010</v>
      </c>
      <c r="B75" s="510"/>
      <c r="C75" s="510" t="s">
        <v>3330</v>
      </c>
      <c r="D75" s="980" t="s">
        <v>4366</v>
      </c>
      <c r="E75" s="1129" t="s">
        <v>3323</v>
      </c>
      <c r="F75" s="322"/>
      <c r="G75" s="322"/>
      <c r="H75" s="229">
        <f>'6-A. Proc. Sub-Annex'!I239</f>
        <v>0</v>
      </c>
      <c r="I75" s="229">
        <f>'6-A. Proc. Sub-Annex'!J239</f>
        <v>0</v>
      </c>
      <c r="J75" s="229">
        <f>'6-A. Proc. Sub-Annex'!K239</f>
        <v>0</v>
      </c>
      <c r="K75" s="590"/>
      <c r="L75" s="323"/>
      <c r="M75" s="1300"/>
      <c r="N75" s="323"/>
      <c r="O75" s="229">
        <f>'6-A. Proc. Sub-Annex'!P239</f>
        <v>0</v>
      </c>
      <c r="P75" s="173"/>
      <c r="Q75" s="976" t="s">
        <v>5917</v>
      </c>
      <c r="R75" s="229">
        <f>'6-A. Proc. Sub-Annex'!S239</f>
        <v>0</v>
      </c>
    </row>
    <row r="76" spans="1:18" x14ac:dyDescent="0.2">
      <c r="A76" s="1286" t="s">
        <v>5011</v>
      </c>
      <c r="B76" s="1287"/>
      <c r="C76" s="1287" t="s">
        <v>4955</v>
      </c>
      <c r="D76" s="980" t="s">
        <v>4366</v>
      </c>
      <c r="E76" s="1280" t="s">
        <v>3993</v>
      </c>
      <c r="F76" s="375"/>
      <c r="G76" s="375"/>
      <c r="H76" s="1039">
        <f>'6-A. Proc. Sub-Annex'!I244</f>
        <v>0</v>
      </c>
      <c r="I76" s="1039">
        <f>'6-A. Proc. Sub-Annex'!J244</f>
        <v>0</v>
      </c>
      <c r="J76" s="1039">
        <f>'6-A. Proc. Sub-Annex'!K244</f>
        <v>0</v>
      </c>
      <c r="K76" s="195"/>
      <c r="L76" s="310"/>
      <c r="M76" s="731"/>
      <c r="N76" s="310"/>
      <c r="O76" s="1039">
        <f>'6-A. Proc. Sub-Annex'!P244</f>
        <v>0</v>
      </c>
      <c r="P76" s="368"/>
      <c r="Q76" s="976" t="s">
        <v>5917</v>
      </c>
      <c r="R76" s="1039">
        <f>'6-A. Proc. Sub-Annex'!S244</f>
        <v>0</v>
      </c>
    </row>
    <row r="77" spans="1:18" x14ac:dyDescent="0.2">
      <c r="A77" s="1286" t="s">
        <v>5012</v>
      </c>
      <c r="B77" s="1287"/>
      <c r="C77" s="1287" t="s">
        <v>4956</v>
      </c>
      <c r="D77" s="980" t="s">
        <v>4366</v>
      </c>
      <c r="E77" s="1280" t="s">
        <v>4553</v>
      </c>
      <c r="F77" s="375"/>
      <c r="G77" s="375"/>
      <c r="H77" s="1039">
        <f>'6-A. Proc. Sub-Annex'!I246</f>
        <v>0</v>
      </c>
      <c r="I77" s="1039">
        <f>'6-A. Proc. Sub-Annex'!J246</f>
        <v>0</v>
      </c>
      <c r="J77" s="1039">
        <f>'6-A. Proc. Sub-Annex'!K246</f>
        <v>0</v>
      </c>
      <c r="K77" s="195"/>
      <c r="L77" s="310"/>
      <c r="M77" s="731"/>
      <c r="N77" s="310"/>
      <c r="O77" s="1039">
        <f>+'6-A. Proc. Sub-Annex'!P246</f>
        <v>27.65</v>
      </c>
      <c r="P77" s="3252"/>
      <c r="Q77" s="976" t="s">
        <v>5917</v>
      </c>
      <c r="R77" s="1039">
        <f>'6-A. Proc. Sub-Annex'!S246</f>
        <v>0</v>
      </c>
    </row>
    <row r="78" spans="1:18" s="1276" customFormat="1" x14ac:dyDescent="0.2">
      <c r="A78" s="1268" t="s">
        <v>1774</v>
      </c>
      <c r="B78" s="1269"/>
      <c r="C78" s="1270" t="s">
        <v>4980</v>
      </c>
      <c r="D78" s="1271"/>
      <c r="E78" s="1271"/>
      <c r="F78" s="583"/>
      <c r="G78" s="583"/>
      <c r="H78" s="1274">
        <f>SUM(H79:H85)</f>
        <v>0</v>
      </c>
      <c r="I78" s="1274">
        <f>SUM(I79:I85)</f>
        <v>0</v>
      </c>
      <c r="J78" s="1274">
        <f>SUM(J79:J85)</f>
        <v>0</v>
      </c>
      <c r="K78" s="588"/>
      <c r="L78" s="588"/>
      <c r="M78" s="1301"/>
      <c r="N78" s="588"/>
      <c r="O78" s="1274">
        <f>SUM(O79:O85)</f>
        <v>510</v>
      </c>
      <c r="P78" s="584"/>
      <c r="Q78" s="1275"/>
      <c r="R78" s="1274">
        <f>SUM(R79:R85)</f>
        <v>0</v>
      </c>
    </row>
    <row r="79" spans="1:18" x14ac:dyDescent="0.2">
      <c r="A79" s="1286" t="s">
        <v>1776</v>
      </c>
      <c r="B79" s="510" t="s">
        <v>1893</v>
      </c>
      <c r="C79" s="510" t="s">
        <v>1894</v>
      </c>
      <c r="D79" s="1288" t="s">
        <v>85</v>
      </c>
      <c r="E79" s="1129" t="s">
        <v>86</v>
      </c>
      <c r="F79" s="322"/>
      <c r="G79" s="322"/>
      <c r="H79" s="229">
        <f>'6-A. Proc. Sub-Annex'!I250</f>
        <v>0</v>
      </c>
      <c r="I79" s="229">
        <f>'6-A. Proc. Sub-Annex'!J250</f>
        <v>0</v>
      </c>
      <c r="J79" s="229">
        <f>'6-A. Proc. Sub-Annex'!K250</f>
        <v>0</v>
      </c>
      <c r="K79" s="590"/>
      <c r="L79" s="323"/>
      <c r="M79" s="1300"/>
      <c r="N79" s="323"/>
      <c r="O79" s="229">
        <f>'6-A. Proc. Sub-Annex'!P250</f>
        <v>0</v>
      </c>
      <c r="P79" s="173"/>
      <c r="Q79" s="976" t="s">
        <v>5917</v>
      </c>
      <c r="R79" s="229">
        <f>'6-A. Proc. Sub-Annex'!S250</f>
        <v>0</v>
      </c>
    </row>
    <row r="80" spans="1:18" x14ac:dyDescent="0.2">
      <c r="A80" s="1286" t="s">
        <v>1778</v>
      </c>
      <c r="B80" s="510" t="s">
        <v>1899</v>
      </c>
      <c r="C80" s="510" t="s">
        <v>1900</v>
      </c>
      <c r="D80" s="1288" t="s">
        <v>85</v>
      </c>
      <c r="E80" s="1129" t="s">
        <v>150</v>
      </c>
      <c r="F80" s="322"/>
      <c r="G80" s="322"/>
      <c r="H80" s="229">
        <f>'6-A. Proc. Sub-Annex'!I253</f>
        <v>0</v>
      </c>
      <c r="I80" s="229">
        <f>'6-A. Proc. Sub-Annex'!J253</f>
        <v>0</v>
      </c>
      <c r="J80" s="229">
        <f>'6-A. Proc. Sub-Annex'!K253</f>
        <v>0</v>
      </c>
      <c r="K80" s="590"/>
      <c r="L80" s="323"/>
      <c r="M80" s="1300"/>
      <c r="N80" s="323"/>
      <c r="O80" s="229">
        <f>'6-A. Proc. Sub-Annex'!P253</f>
        <v>0</v>
      </c>
      <c r="P80" s="173"/>
      <c r="Q80" s="976" t="s">
        <v>5917</v>
      </c>
      <c r="R80" s="229">
        <f>'6-A. Proc. Sub-Annex'!S253</f>
        <v>0</v>
      </c>
    </row>
    <row r="81" spans="1:18" x14ac:dyDescent="0.2">
      <c r="A81" s="1286" t="s">
        <v>1780</v>
      </c>
      <c r="B81" s="1286" t="s">
        <v>1904</v>
      </c>
      <c r="C81" s="1286" t="s">
        <v>1905</v>
      </c>
      <c r="D81" s="1288" t="s">
        <v>85</v>
      </c>
      <c r="E81" s="1289" t="s">
        <v>399</v>
      </c>
      <c r="F81" s="581"/>
      <c r="G81" s="581"/>
      <c r="H81" s="229">
        <f>'6-A. Proc. Sub-Annex'!I256</f>
        <v>0</v>
      </c>
      <c r="I81" s="229">
        <f>'6-A. Proc. Sub-Annex'!J256</f>
        <v>0</v>
      </c>
      <c r="J81" s="229">
        <f>'6-A. Proc. Sub-Annex'!K256</f>
        <v>0</v>
      </c>
      <c r="K81" s="590"/>
      <c r="L81" s="590"/>
      <c r="M81" s="1302"/>
      <c r="N81" s="590"/>
      <c r="O81" s="229">
        <f>'6-A. Proc. Sub-Annex'!P256</f>
        <v>0</v>
      </c>
      <c r="P81" s="581"/>
      <c r="Q81" s="976" t="s">
        <v>5917</v>
      </c>
      <c r="R81" s="229">
        <f>'6-A. Proc. Sub-Annex'!S256</f>
        <v>0</v>
      </c>
    </row>
    <row r="82" spans="1:18" x14ac:dyDescent="0.2">
      <c r="A82" s="1286" t="s">
        <v>1783</v>
      </c>
      <c r="B82" s="568"/>
      <c r="C82" s="1290" t="s">
        <v>1909</v>
      </c>
      <c r="D82" s="1288" t="s">
        <v>85</v>
      </c>
      <c r="E82" s="1129" t="s">
        <v>152</v>
      </c>
      <c r="F82" s="173"/>
      <c r="G82" s="173"/>
      <c r="H82" s="229">
        <f>'6-A. Proc. Sub-Annex'!I259</f>
        <v>0</v>
      </c>
      <c r="I82" s="229">
        <f>'6-A. Proc. Sub-Annex'!J259</f>
        <v>0</v>
      </c>
      <c r="J82" s="229">
        <f>'6-A. Proc. Sub-Annex'!K259</f>
        <v>0</v>
      </c>
      <c r="K82" s="323"/>
      <c r="L82" s="323"/>
      <c r="M82" s="1300"/>
      <c r="N82" s="323"/>
      <c r="O82" s="229">
        <f>'6-A. Proc. Sub-Annex'!P259</f>
        <v>0</v>
      </c>
      <c r="P82" s="173"/>
      <c r="Q82" s="976" t="s">
        <v>5917</v>
      </c>
      <c r="R82" s="229">
        <f>'6-A. Proc. Sub-Annex'!S259</f>
        <v>0</v>
      </c>
    </row>
    <row r="83" spans="1:18" x14ac:dyDescent="0.2">
      <c r="A83" s="1286" t="s">
        <v>5013</v>
      </c>
      <c r="B83" s="568" t="s">
        <v>1915</v>
      </c>
      <c r="C83" s="568" t="s">
        <v>1916</v>
      </c>
      <c r="D83" s="1288" t="s">
        <v>85</v>
      </c>
      <c r="E83" s="1129" t="s">
        <v>415</v>
      </c>
      <c r="F83" s="173"/>
      <c r="G83" s="173"/>
      <c r="H83" s="229">
        <f>'6-A. Proc. Sub-Annex'!I262</f>
        <v>0</v>
      </c>
      <c r="I83" s="229">
        <f>'6-A. Proc. Sub-Annex'!J262</f>
        <v>0</v>
      </c>
      <c r="J83" s="229">
        <f>'6-A. Proc. Sub-Annex'!K262</f>
        <v>0</v>
      </c>
      <c r="K83" s="323"/>
      <c r="L83" s="323"/>
      <c r="M83" s="1300"/>
      <c r="N83" s="323"/>
      <c r="O83" s="229">
        <f>'6-A. Proc. Sub-Annex'!P262</f>
        <v>0</v>
      </c>
      <c r="P83" s="173"/>
      <c r="Q83" s="976" t="s">
        <v>5917</v>
      </c>
      <c r="R83" s="229">
        <f>'6-A. Proc. Sub-Annex'!S262</f>
        <v>0</v>
      </c>
    </row>
    <row r="84" spans="1:18" ht="30" x14ac:dyDescent="0.2">
      <c r="A84" s="1286" t="s">
        <v>5014</v>
      </c>
      <c r="B84" s="568" t="s">
        <v>1338</v>
      </c>
      <c r="C84" s="568" t="s">
        <v>2391</v>
      </c>
      <c r="D84" s="1288" t="s">
        <v>85</v>
      </c>
      <c r="E84" s="1129" t="s">
        <v>4925</v>
      </c>
      <c r="F84" s="173"/>
      <c r="G84" s="173"/>
      <c r="H84" s="229">
        <f>'6-A. Proc. Sub-Annex'!I271</f>
        <v>0</v>
      </c>
      <c r="I84" s="229">
        <f>'6-A. Proc. Sub-Annex'!J271</f>
        <v>0</v>
      </c>
      <c r="J84" s="229">
        <f>'6-A. Proc. Sub-Annex'!K271</f>
        <v>0</v>
      </c>
      <c r="K84" s="323"/>
      <c r="L84" s="323"/>
      <c r="M84" s="1300"/>
      <c r="N84" s="323"/>
      <c r="O84" s="229">
        <f>'6-A. Proc. Sub-Annex'!P271</f>
        <v>510</v>
      </c>
      <c r="P84" s="173"/>
      <c r="Q84" s="976" t="s">
        <v>5917</v>
      </c>
      <c r="R84" s="229">
        <f>'6-A. Proc. Sub-Annex'!S271</f>
        <v>0</v>
      </c>
    </row>
    <row r="85" spans="1:18" x14ac:dyDescent="0.2">
      <c r="A85" s="1286" t="s">
        <v>5015</v>
      </c>
      <c r="B85" s="568"/>
      <c r="C85" s="568" t="s">
        <v>1822</v>
      </c>
      <c r="D85" s="1288" t="s">
        <v>85</v>
      </c>
      <c r="E85" s="1129" t="s">
        <v>312</v>
      </c>
      <c r="F85" s="173"/>
      <c r="G85" s="173"/>
      <c r="H85" s="229">
        <f>'6-A. Proc. Sub-Annex'!I274</f>
        <v>0</v>
      </c>
      <c r="I85" s="229">
        <f>'6-A. Proc. Sub-Annex'!J274</f>
        <v>0</v>
      </c>
      <c r="J85" s="229">
        <f>'6-A. Proc. Sub-Annex'!K274</f>
        <v>0</v>
      </c>
      <c r="K85" s="323"/>
      <c r="L85" s="323"/>
      <c r="M85" s="1300"/>
      <c r="N85" s="323"/>
      <c r="O85" s="229">
        <f>'6-A. Proc. Sub-Annex'!P274</f>
        <v>0</v>
      </c>
      <c r="P85" s="173"/>
      <c r="Q85" s="976" t="s">
        <v>5917</v>
      </c>
      <c r="R85" s="229">
        <f>'6-A. Proc. Sub-Annex'!S274</f>
        <v>0</v>
      </c>
    </row>
    <row r="86" spans="1:18" s="1257" customFormat="1" x14ac:dyDescent="0.2">
      <c r="A86" s="1266">
        <v>6.3</v>
      </c>
      <c r="B86" s="1267"/>
      <c r="C86" s="1266" t="s">
        <v>4939</v>
      </c>
      <c r="D86" s="908"/>
      <c r="E86" s="908"/>
      <c r="F86" s="109"/>
      <c r="G86" s="109"/>
      <c r="H86" s="738">
        <f>H87</f>
        <v>0</v>
      </c>
      <c r="I86" s="738">
        <f>I87</f>
        <v>0</v>
      </c>
      <c r="J86" s="738">
        <f>J87</f>
        <v>0</v>
      </c>
      <c r="K86" s="166"/>
      <c r="L86" s="166"/>
      <c r="M86" s="741"/>
      <c r="N86" s="166"/>
      <c r="O86" s="738">
        <f>O87</f>
        <v>0</v>
      </c>
      <c r="P86" s="109"/>
      <c r="Q86" s="99"/>
      <c r="R86" s="738">
        <f>R87</f>
        <v>0</v>
      </c>
    </row>
    <row r="87" spans="1:18" x14ac:dyDescent="0.2">
      <c r="A87" s="1291" t="s">
        <v>1935</v>
      </c>
      <c r="B87" s="1291"/>
      <c r="C87" s="1292" t="s">
        <v>43</v>
      </c>
      <c r="D87" s="980" t="s">
        <v>4366</v>
      </c>
      <c r="E87" s="1129" t="s">
        <v>4683</v>
      </c>
      <c r="F87" s="373"/>
      <c r="G87" s="373"/>
      <c r="H87" s="774">
        <f>'6-A. Proc. Sub-Annex'!I277</f>
        <v>0</v>
      </c>
      <c r="I87" s="774">
        <f>'6-A. Proc. Sub-Annex'!J277</f>
        <v>0</v>
      </c>
      <c r="J87" s="774">
        <f>'6-A. Proc. Sub-Annex'!K277</f>
        <v>0</v>
      </c>
      <c r="K87" s="1303"/>
      <c r="L87" s="1303"/>
      <c r="M87" s="1304"/>
      <c r="N87" s="1303"/>
      <c r="O87" s="774">
        <f>'6-A. Proc. Sub-Annex'!P277</f>
        <v>0</v>
      </c>
      <c r="P87" s="1305"/>
      <c r="Q87" s="976" t="s">
        <v>5917</v>
      </c>
      <c r="R87" s="774">
        <f>'6-A. Proc. Sub-Annex'!S277</f>
        <v>0</v>
      </c>
    </row>
    <row r="89" spans="1:18" x14ac:dyDescent="0.2">
      <c r="N89" s="956" t="s">
        <v>5740</v>
      </c>
    </row>
    <row r="90" spans="1:18" x14ac:dyDescent="0.2">
      <c r="N90" s="956" t="s">
        <v>5741</v>
      </c>
    </row>
  </sheetData>
  <autoFilter ref="A6:BA87"/>
  <mergeCells count="15">
    <mergeCell ref="K5:P5"/>
    <mergeCell ref="Q5:R5"/>
    <mergeCell ref="A5:A6"/>
    <mergeCell ref="B5:B6"/>
    <mergeCell ref="C5:C6"/>
    <mergeCell ref="D5:D6"/>
    <mergeCell ref="E5:E6"/>
    <mergeCell ref="F5:J5"/>
    <mergeCell ref="AP1:BA1"/>
    <mergeCell ref="A2:A4"/>
    <mergeCell ref="A1:C1"/>
    <mergeCell ref="E1:E2"/>
    <mergeCell ref="F1:N1"/>
    <mergeCell ref="O1:AH1"/>
    <mergeCell ref="AI1:AO1"/>
  </mergeCells>
  <phoneticPr fontId="57"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filterMode="1"/>
  <dimension ref="A1:BC284"/>
  <sheetViews>
    <sheetView zoomScale="80" zoomScaleNormal="80" workbookViewId="0">
      <pane xSplit="6" ySplit="4" topLeftCell="M67" activePane="bottomRight" state="frozen"/>
      <selection activeCell="A2" sqref="A2:A4"/>
      <selection pane="topRight" activeCell="A2" sqref="A2:A4"/>
      <selection pane="bottomLeft" activeCell="A2" sqref="A2:A4"/>
      <selection pane="bottomRight" activeCell="P246" activeCellId="1" sqref="P235 P246"/>
    </sheetView>
  </sheetViews>
  <sheetFormatPr defaultColWidth="66.85546875" defaultRowHeight="15" x14ac:dyDescent="0.2"/>
  <cols>
    <col min="1" max="1" width="11.5703125" style="1361" customWidth="1"/>
    <col min="2" max="2" width="11.85546875" style="1279" customWidth="1"/>
    <col min="3" max="3" width="14.5703125" style="1278" customWidth="1"/>
    <col min="4" max="4" width="34.5703125" style="1279" customWidth="1"/>
    <col min="5" max="5" width="8.85546875" style="1296" customWidth="1"/>
    <col min="6" max="6" width="20.140625" style="1297" customWidth="1"/>
    <col min="7" max="7" width="17.85546875" style="1276" customWidth="1"/>
    <col min="8" max="8" width="21.5703125" style="1276" customWidth="1"/>
    <col min="9" max="11" width="17.85546875" style="1276" customWidth="1"/>
    <col min="12" max="12" width="9.140625" style="1279" customWidth="1"/>
    <col min="13" max="13" width="12.140625" style="1279" customWidth="1"/>
    <col min="14" max="14" width="12.140625" style="1363" customWidth="1"/>
    <col min="15" max="15" width="15.5703125" style="1279" customWidth="1"/>
    <col min="16" max="16" width="11.85546875" style="1363" bestFit="1" customWidth="1"/>
    <col min="17" max="17" width="71" style="1299" customWidth="1"/>
    <col min="18" max="18" width="41.5703125" style="3319" customWidth="1"/>
    <col min="19" max="19" width="12.85546875" style="1363" customWidth="1"/>
    <col min="20" max="20" width="24.42578125" style="1279" customWidth="1"/>
    <col min="21" max="21" width="25.5703125" style="1279" customWidth="1"/>
    <col min="22" max="16384" width="66.85546875" style="1279"/>
  </cols>
  <sheetData>
    <row r="1" spans="1:55" s="1087" customFormat="1" ht="14.45" customHeight="1" x14ac:dyDescent="0.2">
      <c r="A1" s="3904" t="s">
        <v>5021</v>
      </c>
      <c r="B1" s="3905"/>
      <c r="C1" s="3905"/>
      <c r="D1" s="3906"/>
      <c r="E1" s="958"/>
      <c r="G1" s="1093"/>
      <c r="H1" s="1094"/>
      <c r="I1" s="1094"/>
      <c r="J1" s="1094"/>
      <c r="K1" s="1094"/>
      <c r="L1" s="1094"/>
      <c r="M1" s="1094"/>
      <c r="N1" s="1094"/>
      <c r="O1" s="1094"/>
      <c r="P1" s="1094"/>
      <c r="Q1" s="1094"/>
      <c r="R1" s="1094"/>
      <c r="S1" s="1094"/>
      <c r="T1" s="1094"/>
      <c r="U1" s="1094"/>
      <c r="V1" s="1094"/>
      <c r="W1" s="1094"/>
      <c r="X1" s="1094"/>
      <c r="Y1" s="1094"/>
      <c r="Z1" s="1094"/>
      <c r="AA1" s="1094"/>
      <c r="AB1" s="1094"/>
      <c r="AC1" s="1094"/>
      <c r="AD1" s="1094"/>
      <c r="AE1" s="1094"/>
      <c r="AF1" s="1094"/>
      <c r="AG1" s="1094"/>
      <c r="AH1" s="1094"/>
      <c r="AI1" s="1094"/>
      <c r="AJ1" s="1094"/>
      <c r="AK1" s="1094"/>
      <c r="AL1" s="1094"/>
      <c r="AM1" s="1094"/>
      <c r="AN1" s="1094"/>
      <c r="AO1" s="1094"/>
      <c r="AP1" s="1095"/>
      <c r="AQ1" s="1095"/>
      <c r="AR1" s="1095"/>
      <c r="AS1" s="1095"/>
      <c r="AT1" s="1095"/>
      <c r="AU1" s="1095"/>
      <c r="AV1" s="1095"/>
      <c r="AW1" s="1306"/>
      <c r="AX1" s="1306"/>
      <c r="AY1" s="1306"/>
      <c r="AZ1" s="1306"/>
      <c r="BA1" s="1306"/>
      <c r="BB1" s="1306"/>
      <c r="BC1" s="1306"/>
    </row>
    <row r="2" spans="1:55" s="828" customFormat="1" ht="14.45" customHeight="1" x14ac:dyDescent="0.25">
      <c r="A2" s="1307" t="str">
        <f>HYPERLINK("#Index!A4", "Index Pg")</f>
        <v>Index Pg</v>
      </c>
      <c r="B2" s="831" t="str">
        <f>HYPERLINK("#'Budget Summary I'!A1:AL1", "Budget Summary I")</f>
        <v>Budget Summary I</v>
      </c>
      <c r="C2" s="831" t="str">
        <f>HYPERLINK("#'Budget Summary II'!A3:B5", "Budget Summary II")</f>
        <v>Budget Summary II</v>
      </c>
      <c r="D2" s="1308" t="str">
        <f>HYPERLINK("#'Summary of Abstracts'!A2", "Summary of Abst.")</f>
        <v>Summary of Abst.</v>
      </c>
      <c r="E2" s="958"/>
      <c r="G2" s="1093"/>
      <c r="H2" s="1101"/>
      <c r="I2" s="1101"/>
      <c r="J2" s="1101"/>
      <c r="K2" s="1101"/>
      <c r="L2" s="1101"/>
      <c r="M2" s="1101"/>
      <c r="N2" s="1102"/>
      <c r="O2" s="1102"/>
      <c r="P2" s="1102"/>
      <c r="Q2" s="1103"/>
      <c r="R2" s="1103"/>
      <c r="S2" s="1103"/>
      <c r="T2" s="1103"/>
      <c r="U2" s="1103"/>
      <c r="V2" s="1103"/>
      <c r="W2" s="1103"/>
      <c r="X2" s="1103"/>
      <c r="Y2" s="1103"/>
      <c r="Z2" s="1103"/>
      <c r="AA2" s="1103"/>
      <c r="AB2" s="1103"/>
      <c r="AC2" s="1103"/>
      <c r="AD2" s="1103"/>
      <c r="AE2" s="1103"/>
      <c r="AF2" s="1103"/>
      <c r="AG2" s="1103"/>
      <c r="AH2" s="1103"/>
      <c r="AI2" s="1103"/>
      <c r="AJ2" s="1103"/>
      <c r="AK2" s="1103"/>
      <c r="AL2" s="1100"/>
      <c r="AM2" s="1100"/>
      <c r="AN2" s="1100"/>
      <c r="AO2" s="1100"/>
      <c r="AP2" s="1100"/>
      <c r="AQ2" s="1100"/>
      <c r="AR2" s="1100"/>
      <c r="AS2" s="1100"/>
      <c r="AT2" s="1100"/>
      <c r="AU2" s="1100"/>
      <c r="AV2" s="1100"/>
      <c r="AW2" s="1309"/>
      <c r="AX2" s="1309"/>
      <c r="AY2" s="1309"/>
      <c r="AZ2" s="1309"/>
      <c r="BA2" s="1309"/>
      <c r="BB2" s="1309"/>
      <c r="BC2" s="1309"/>
    </row>
    <row r="3" spans="1:55" s="1259" customFormat="1" x14ac:dyDescent="0.2">
      <c r="A3" s="3823" t="s">
        <v>4828</v>
      </c>
      <c r="B3" s="3897" t="s">
        <v>54</v>
      </c>
      <c r="C3" s="3898"/>
      <c r="D3" s="3823" t="s">
        <v>55</v>
      </c>
      <c r="E3" s="3823" t="s">
        <v>56</v>
      </c>
      <c r="F3" s="3823" t="s">
        <v>57</v>
      </c>
      <c r="G3" s="3876" t="s">
        <v>4629</v>
      </c>
      <c r="H3" s="3876"/>
      <c r="I3" s="3876"/>
      <c r="J3" s="3876"/>
      <c r="K3" s="3876"/>
      <c r="L3" s="3876" t="s">
        <v>4640</v>
      </c>
      <c r="M3" s="3876"/>
      <c r="N3" s="3876"/>
      <c r="O3" s="3876"/>
      <c r="P3" s="3876"/>
      <c r="Q3" s="3876"/>
      <c r="R3" s="3823" t="s">
        <v>4670</v>
      </c>
      <c r="S3" s="3823"/>
    </row>
    <row r="4" spans="1:55" s="1260" customFormat="1" ht="45" x14ac:dyDescent="0.2">
      <c r="A4" s="3823"/>
      <c r="B4" s="3907"/>
      <c r="C4" s="3908"/>
      <c r="D4" s="3823"/>
      <c r="E4" s="3823"/>
      <c r="F4" s="3823"/>
      <c r="G4" s="896" t="s">
        <v>4630</v>
      </c>
      <c r="H4" s="896" t="s">
        <v>4638</v>
      </c>
      <c r="I4" s="896" t="s">
        <v>4631</v>
      </c>
      <c r="J4" s="896" t="s">
        <v>4639</v>
      </c>
      <c r="K4" s="896" t="s">
        <v>2538</v>
      </c>
      <c r="L4" s="897" t="s">
        <v>58</v>
      </c>
      <c r="M4" s="897" t="s">
        <v>59</v>
      </c>
      <c r="N4" s="1197" t="s">
        <v>60</v>
      </c>
      <c r="O4" s="897" t="s">
        <v>61</v>
      </c>
      <c r="P4" s="1197" t="s">
        <v>62</v>
      </c>
      <c r="Q4" s="897" t="s">
        <v>5547</v>
      </c>
      <c r="R4" s="899" t="s">
        <v>2540</v>
      </c>
      <c r="S4" s="1198" t="s">
        <v>4671</v>
      </c>
      <c r="T4" s="3448" t="s">
        <v>4724</v>
      </c>
    </row>
    <row r="5" spans="1:55" s="1257" customFormat="1" hidden="1" x14ac:dyDescent="0.2">
      <c r="A5" s="1310" t="s">
        <v>4784</v>
      </c>
      <c r="B5" s="1266">
        <v>6.1</v>
      </c>
      <c r="C5" s="1267" t="s">
        <v>1585</v>
      </c>
      <c r="D5" s="1266" t="s">
        <v>1586</v>
      </c>
      <c r="E5" s="908"/>
      <c r="F5" s="908"/>
      <c r="G5" s="99"/>
      <c r="H5" s="99"/>
      <c r="I5" s="99"/>
      <c r="J5" s="99"/>
      <c r="K5" s="99"/>
      <c r="L5" s="99"/>
      <c r="M5" s="99"/>
      <c r="N5" s="1107"/>
      <c r="O5" s="1202"/>
      <c r="P5" s="1107"/>
      <c r="Q5" s="99"/>
      <c r="R5" s="1311"/>
      <c r="S5" s="1312"/>
    </row>
    <row r="6" spans="1:55" s="1258" customFormat="1" hidden="1" x14ac:dyDescent="0.2">
      <c r="A6" s="3903" t="s">
        <v>4932</v>
      </c>
      <c r="B6" s="3903"/>
      <c r="C6" s="3903"/>
      <c r="D6" s="3903"/>
      <c r="E6" s="1165"/>
      <c r="F6" s="1165"/>
      <c r="G6" s="1142"/>
      <c r="H6" s="1142"/>
      <c r="I6" s="1142"/>
      <c r="J6" s="1142"/>
      <c r="K6" s="1142"/>
      <c r="L6" s="1142"/>
      <c r="M6" s="1142"/>
      <c r="N6" s="1313"/>
      <c r="O6" s="1314"/>
      <c r="P6" s="1313"/>
      <c r="Q6" s="1166"/>
      <c r="R6" s="1315"/>
      <c r="S6" s="1126"/>
    </row>
    <row r="7" spans="1:55" ht="30" x14ac:dyDescent="0.2">
      <c r="A7" s="1316" t="s">
        <v>4358</v>
      </c>
      <c r="B7" s="1317" t="s">
        <v>1588</v>
      </c>
      <c r="C7" s="1318" t="s">
        <v>1589</v>
      </c>
      <c r="D7" s="1317" t="s">
        <v>4931</v>
      </c>
      <c r="E7" s="1319"/>
      <c r="F7" s="1319"/>
      <c r="G7" s="1228"/>
      <c r="H7" s="1228"/>
      <c r="I7" s="1320">
        <f>SUM(I8:I12)</f>
        <v>0</v>
      </c>
      <c r="J7" s="1320">
        <f t="shared" ref="J7" si="0">SUM(J8:J12)</f>
        <v>0</v>
      </c>
      <c r="K7" s="1320">
        <f>SUM(K8:K12)</f>
        <v>0</v>
      </c>
      <c r="L7" s="1228"/>
      <c r="M7" s="1228"/>
      <c r="N7" s="1320"/>
      <c r="O7" s="1228"/>
      <c r="P7" s="1320">
        <f>SUM(P8:P12)</f>
        <v>2024.9999</v>
      </c>
      <c r="Q7" s="1321"/>
      <c r="R7" s="1322"/>
      <c r="S7" s="1235">
        <f>SUM(S8:S12)</f>
        <v>0</v>
      </c>
      <c r="T7" s="1279">
        <f>SUM(T8:T280)</f>
        <v>0</v>
      </c>
    </row>
    <row r="8" spans="1:55" hidden="1" x14ac:dyDescent="0.2">
      <c r="A8" s="1294">
        <v>1</v>
      </c>
      <c r="B8" s="1292" t="s">
        <v>4209</v>
      </c>
      <c r="C8" s="502" t="s">
        <v>2100</v>
      </c>
      <c r="D8" s="502" t="s">
        <v>1590</v>
      </c>
      <c r="E8" s="977" t="s">
        <v>90</v>
      </c>
      <c r="F8" s="1250" t="s">
        <v>118</v>
      </c>
      <c r="G8" s="2575"/>
      <c r="H8" s="2576"/>
      <c r="I8" s="2576"/>
      <c r="J8" s="2576"/>
      <c r="K8" s="2576"/>
      <c r="L8" s="2577"/>
      <c r="M8" s="2575"/>
      <c r="N8" s="308"/>
      <c r="O8" s="2575"/>
      <c r="P8" s="1323">
        <f>O8*N8</f>
        <v>0</v>
      </c>
      <c r="Q8" s="3673"/>
      <c r="R8" s="975">
        <f>'Ab1. RMNCH+A'!Q36</f>
        <v>0</v>
      </c>
      <c r="S8" s="1324">
        <f>'Ab1. RMNCH+A'!R36</f>
        <v>0</v>
      </c>
    </row>
    <row r="9" spans="1:55" hidden="1" x14ac:dyDescent="0.2">
      <c r="A9" s="1294">
        <v>2</v>
      </c>
      <c r="B9" s="1292" t="s">
        <v>4210</v>
      </c>
      <c r="C9" s="1291"/>
      <c r="D9" s="502" t="s">
        <v>2457</v>
      </c>
      <c r="E9" s="977" t="s">
        <v>90</v>
      </c>
      <c r="F9" s="1250" t="s">
        <v>118</v>
      </c>
      <c r="G9" s="2575"/>
      <c r="H9" s="2576"/>
      <c r="I9" s="2576"/>
      <c r="J9" s="2576"/>
      <c r="K9" s="2576"/>
      <c r="L9" s="2576"/>
      <c r="M9" s="2575"/>
      <c r="N9" s="308"/>
      <c r="O9" s="2575"/>
      <c r="P9" s="1323">
        <f>O9*N9</f>
        <v>0</v>
      </c>
      <c r="Q9" s="2581"/>
      <c r="R9" s="3426">
        <f>'Ab1. RMNCH+A'!Q37</f>
        <v>0</v>
      </c>
      <c r="S9" s="3428">
        <f>'Ab1. RMNCH+A'!R37</f>
        <v>0</v>
      </c>
    </row>
    <row r="10" spans="1:55" ht="45" hidden="1" x14ac:dyDescent="0.2">
      <c r="A10" s="1294">
        <v>3</v>
      </c>
      <c r="B10" s="1292" t="s">
        <v>4211</v>
      </c>
      <c r="C10" s="510"/>
      <c r="D10" s="502" t="s">
        <v>2404</v>
      </c>
      <c r="E10" s="977" t="s">
        <v>90</v>
      </c>
      <c r="F10" s="1250" t="s">
        <v>118</v>
      </c>
      <c r="G10" s="2575"/>
      <c r="H10" s="2576"/>
      <c r="I10" s="2576"/>
      <c r="J10" s="2576"/>
      <c r="K10" s="2576"/>
      <c r="L10" s="2576"/>
      <c r="M10" s="2599"/>
      <c r="N10" s="308"/>
      <c r="O10" s="3041"/>
      <c r="P10" s="1323">
        <f>O10*N10</f>
        <v>0</v>
      </c>
      <c r="Q10" s="3674"/>
      <c r="R10" s="975">
        <f>'Ab1. RMNCH+A'!Q38</f>
        <v>0</v>
      </c>
      <c r="S10" s="1324">
        <f>'Ab1. RMNCH+A'!R38</f>
        <v>0</v>
      </c>
    </row>
    <row r="11" spans="1:55" ht="30" hidden="1" x14ac:dyDescent="0.2">
      <c r="A11" s="1294">
        <v>4</v>
      </c>
      <c r="B11" s="1292" t="s">
        <v>4230</v>
      </c>
      <c r="C11" s="502" t="s">
        <v>2850</v>
      </c>
      <c r="D11" s="502" t="s">
        <v>4094</v>
      </c>
      <c r="E11" s="977" t="s">
        <v>90</v>
      </c>
      <c r="F11" s="1250" t="s">
        <v>118</v>
      </c>
      <c r="G11" s="2575"/>
      <c r="H11" s="2240"/>
      <c r="I11" s="2240"/>
      <c r="J11" s="2240"/>
      <c r="K11" s="2240"/>
      <c r="L11" s="2576"/>
      <c r="M11" s="2575"/>
      <c r="N11" s="308"/>
      <c r="O11" s="3041"/>
      <c r="P11" s="1323">
        <f>O11*N11</f>
        <v>0</v>
      </c>
      <c r="Q11" s="2581"/>
      <c r="R11" s="975">
        <f>'Ab1. RMNCH+A'!Q39</f>
        <v>0</v>
      </c>
      <c r="S11" s="1324">
        <f>'Ab1. RMNCH+A'!R39</f>
        <v>0</v>
      </c>
    </row>
    <row r="12" spans="1:55" ht="384.75" x14ac:dyDescent="0.2">
      <c r="A12" s="1294">
        <v>5</v>
      </c>
      <c r="B12" s="1292" t="s">
        <v>4212</v>
      </c>
      <c r="C12" s="502" t="s">
        <v>1591</v>
      </c>
      <c r="D12" s="502" t="s">
        <v>1592</v>
      </c>
      <c r="E12" s="977" t="s">
        <v>90</v>
      </c>
      <c r="F12" s="1250" t="s">
        <v>118</v>
      </c>
      <c r="G12" s="363"/>
      <c r="H12" s="364"/>
      <c r="I12" s="365"/>
      <c r="J12" s="365"/>
      <c r="K12" s="366"/>
      <c r="L12" s="190" t="s">
        <v>5736</v>
      </c>
      <c r="M12" s="3685">
        <f>18409090*0.5</f>
        <v>9204545</v>
      </c>
      <c r="N12" s="3686">
        <f>M12/100000</f>
        <v>92.045450000000002</v>
      </c>
      <c r="O12" s="3685">
        <v>22</v>
      </c>
      <c r="P12" s="1323">
        <f>O12*N12</f>
        <v>2024.9999</v>
      </c>
      <c r="Q12" s="3684" t="s">
        <v>5950</v>
      </c>
      <c r="R12" s="3426">
        <f>'Ab1. RMNCH+A'!Q40</f>
        <v>0</v>
      </c>
      <c r="S12" s="3428">
        <f>'Ab1. RMNCH+A'!R40</f>
        <v>0</v>
      </c>
    </row>
    <row r="13" spans="1:55" ht="30" x14ac:dyDescent="0.2">
      <c r="A13" s="1316" t="s">
        <v>4359</v>
      </c>
      <c r="B13" s="1317" t="s">
        <v>1593</v>
      </c>
      <c r="C13" s="1318" t="s">
        <v>1594</v>
      </c>
      <c r="D13" s="1317" t="s">
        <v>4948</v>
      </c>
      <c r="E13" s="1319"/>
      <c r="F13" s="1319"/>
      <c r="G13" s="361"/>
      <c r="H13" s="361"/>
      <c r="I13" s="1320"/>
      <c r="J13" s="1320"/>
      <c r="K13" s="1320"/>
      <c r="L13" s="361"/>
      <c r="M13" s="361"/>
      <c r="N13" s="1320"/>
      <c r="O13" s="361"/>
      <c r="P13" s="1320">
        <f>SUM(P14:P18)</f>
        <v>12</v>
      </c>
      <c r="Q13" s="1320"/>
      <c r="R13" s="1322"/>
      <c r="S13" s="1235">
        <f>SUM(S14:S18)</f>
        <v>0</v>
      </c>
    </row>
    <row r="14" spans="1:55" ht="42.75" x14ac:dyDescent="0.2">
      <c r="A14" s="1294">
        <v>1</v>
      </c>
      <c r="B14" s="1292" t="s">
        <v>4213</v>
      </c>
      <c r="C14" s="502" t="s">
        <v>1595</v>
      </c>
      <c r="D14" s="495" t="s">
        <v>3328</v>
      </c>
      <c r="E14" s="977" t="s">
        <v>90</v>
      </c>
      <c r="F14" s="1250" t="s">
        <v>131</v>
      </c>
      <c r="G14" s="2575"/>
      <c r="H14" s="2576"/>
      <c r="I14" s="2576"/>
      <c r="J14" s="2576"/>
      <c r="K14" s="2576"/>
      <c r="L14" s="2576" t="s">
        <v>5736</v>
      </c>
      <c r="M14" s="2582">
        <v>1200000</v>
      </c>
      <c r="N14" s="308">
        <v>12</v>
      </c>
      <c r="O14" s="3041">
        <v>1</v>
      </c>
      <c r="P14" s="1323">
        <v>12</v>
      </c>
      <c r="Q14" s="3720" t="s">
        <v>6022</v>
      </c>
      <c r="R14" s="975">
        <f>'Ab1. RMNCH+A'!Q127</f>
        <v>0</v>
      </c>
      <c r="S14" s="1324">
        <f>'Ab1. RMNCH+A'!R127</f>
        <v>0</v>
      </c>
    </row>
    <row r="15" spans="1:55" s="1278" customFormat="1" ht="60" hidden="1" x14ac:dyDescent="0.2">
      <c r="A15" s="1325">
        <v>2</v>
      </c>
      <c r="B15" s="1291" t="s">
        <v>4214</v>
      </c>
      <c r="C15" s="510" t="s">
        <v>1596</v>
      </c>
      <c r="D15" s="1326" t="s">
        <v>4537</v>
      </c>
      <c r="E15" s="977" t="s">
        <v>90</v>
      </c>
      <c r="F15" s="1280" t="s">
        <v>131</v>
      </c>
      <c r="G15" s="367"/>
      <c r="H15" s="367"/>
      <c r="I15" s="367"/>
      <c r="J15" s="367"/>
      <c r="K15" s="367"/>
      <c r="L15" s="367"/>
      <c r="M15" s="304"/>
      <c r="N15" s="308"/>
      <c r="O15" s="304"/>
      <c r="P15" s="1327">
        <f>O15*N15</f>
        <v>0</v>
      </c>
      <c r="Q15" s="3677"/>
      <c r="R15" s="975">
        <f>'Ab1. RMNCH+A'!Q128</f>
        <v>0</v>
      </c>
      <c r="S15" s="1324">
        <f>'Ab1. RMNCH+A'!R128</f>
        <v>0</v>
      </c>
    </row>
    <row r="16" spans="1:55" s="1278" customFormat="1" ht="30" hidden="1" x14ac:dyDescent="0.2">
      <c r="A16" s="1294">
        <v>3</v>
      </c>
      <c r="B16" s="1291" t="s">
        <v>4538</v>
      </c>
      <c r="C16" s="510"/>
      <c r="D16" s="1326" t="s">
        <v>4539</v>
      </c>
      <c r="E16" s="977" t="s">
        <v>90</v>
      </c>
      <c r="F16" s="1280" t="s">
        <v>131</v>
      </c>
      <c r="G16" s="2582"/>
      <c r="H16" s="2583"/>
      <c r="I16" s="2583"/>
      <c r="J16" s="2583"/>
      <c r="K16" s="2583"/>
      <c r="L16" s="2583"/>
      <c r="M16" s="2582"/>
      <c r="N16" s="308"/>
      <c r="O16" s="3041"/>
      <c r="P16" s="1327">
        <f>O16*N16</f>
        <v>0</v>
      </c>
      <c r="Q16" s="3009"/>
      <c r="R16" s="3426">
        <f>'Ab1. RMNCH+A'!Q129</f>
        <v>0</v>
      </c>
      <c r="S16" s="3428">
        <f>'Ab1. RMNCH+A'!R129</f>
        <v>0</v>
      </c>
    </row>
    <row r="17" spans="1:19" ht="30" hidden="1" x14ac:dyDescent="0.2">
      <c r="A17" s="1325">
        <v>4</v>
      </c>
      <c r="B17" s="1292" t="s">
        <v>4275</v>
      </c>
      <c r="C17" s="510"/>
      <c r="D17" s="1328" t="s">
        <v>2845</v>
      </c>
      <c r="E17" s="977" t="s">
        <v>90</v>
      </c>
      <c r="F17" s="923" t="s">
        <v>131</v>
      </c>
      <c r="G17" s="377"/>
      <c r="H17" s="377"/>
      <c r="I17" s="377"/>
      <c r="J17" s="377"/>
      <c r="K17" s="377"/>
      <c r="L17" s="377"/>
      <c r="M17" s="304"/>
      <c r="N17" s="308"/>
      <c r="O17" s="3041"/>
      <c r="P17" s="1323">
        <f>O17*N17</f>
        <v>0</v>
      </c>
      <c r="Q17" s="3675"/>
      <c r="R17" s="975">
        <f>'Ab1. RMNCH+A'!Q130</f>
        <v>0</v>
      </c>
      <c r="S17" s="1324">
        <f>'Ab1. RMNCH+A'!R130</f>
        <v>0</v>
      </c>
    </row>
    <row r="18" spans="1:19" s="1278" customFormat="1" ht="45" hidden="1" x14ac:dyDescent="0.2">
      <c r="A18" s="1294">
        <v>5</v>
      </c>
      <c r="B18" s="1291" t="s">
        <v>4540</v>
      </c>
      <c r="C18" s="510" t="s">
        <v>1596</v>
      </c>
      <c r="D18" s="1329" t="s">
        <v>4926</v>
      </c>
      <c r="E18" s="977" t="s">
        <v>90</v>
      </c>
      <c r="F18" s="1280" t="s">
        <v>131</v>
      </c>
      <c r="G18" s="2582"/>
      <c r="H18" s="2583"/>
      <c r="I18" s="2583"/>
      <c r="J18" s="2583"/>
      <c r="K18" s="2583"/>
      <c r="L18" s="2583"/>
      <c r="M18" s="2582"/>
      <c r="N18" s="308"/>
      <c r="O18" s="3041"/>
      <c r="P18" s="1327">
        <f>O18*N18</f>
        <v>0</v>
      </c>
      <c r="Q18" s="3674"/>
      <c r="R18" s="3426">
        <f>'Ab1. RMNCH+A'!Q131</f>
        <v>0</v>
      </c>
      <c r="S18" s="3428">
        <f>'Ab1. RMNCH+A'!R131</f>
        <v>0</v>
      </c>
    </row>
    <row r="19" spans="1:19" ht="30" hidden="1" x14ac:dyDescent="0.2">
      <c r="A19" s="1316" t="s">
        <v>4362</v>
      </c>
      <c r="B19" s="1317" t="s">
        <v>1597</v>
      </c>
      <c r="C19" s="1318" t="s">
        <v>1598</v>
      </c>
      <c r="D19" s="1317" t="s">
        <v>4949</v>
      </c>
      <c r="E19" s="1319"/>
      <c r="F19" s="1319"/>
      <c r="G19" s="361"/>
      <c r="H19" s="361"/>
      <c r="I19" s="1320"/>
      <c r="J19" s="1320"/>
      <c r="K19" s="1320"/>
      <c r="L19" s="361"/>
      <c r="M19" s="361"/>
      <c r="N19" s="1320"/>
      <c r="O19" s="361"/>
      <c r="P19" s="1320">
        <f>SUM(P20:P25)</f>
        <v>0</v>
      </c>
      <c r="Q19" s="1320"/>
      <c r="R19" s="1322"/>
      <c r="S19" s="1235">
        <f>SUM(S20:S25)</f>
        <v>0</v>
      </c>
    </row>
    <row r="20" spans="1:19" hidden="1" x14ac:dyDescent="0.2">
      <c r="A20" s="1294">
        <v>1</v>
      </c>
      <c r="B20" s="1292" t="s">
        <v>4215</v>
      </c>
      <c r="C20" s="502" t="s">
        <v>1599</v>
      </c>
      <c r="D20" s="502" t="s">
        <v>1600</v>
      </c>
      <c r="E20" s="977" t="s">
        <v>90</v>
      </c>
      <c r="F20" s="1250" t="s">
        <v>91</v>
      </c>
      <c r="G20" s="2575"/>
      <c r="H20" s="2584"/>
      <c r="I20" s="2579"/>
      <c r="J20" s="2579"/>
      <c r="K20" s="2576"/>
      <c r="L20" s="2576"/>
      <c r="M20" s="2575"/>
      <c r="N20" s="308"/>
      <c r="O20" s="2575"/>
      <c r="P20" s="1323">
        <f t="shared" ref="P20:P25" si="1">O20*N20</f>
        <v>0</v>
      </c>
      <c r="Q20" s="2262"/>
      <c r="R20" s="975">
        <f>'Ab1. RMNCH+A'!Q225</f>
        <v>0</v>
      </c>
      <c r="S20" s="1324">
        <f>'Ab1. RMNCH+A'!R225</f>
        <v>0</v>
      </c>
    </row>
    <row r="21" spans="1:19" hidden="1" x14ac:dyDescent="0.2">
      <c r="A21" s="1294">
        <v>2</v>
      </c>
      <c r="B21" s="1292" t="s">
        <v>4216</v>
      </c>
      <c r="C21" s="502" t="s">
        <v>1601</v>
      </c>
      <c r="D21" s="502" t="s">
        <v>1602</v>
      </c>
      <c r="E21" s="977" t="s">
        <v>90</v>
      </c>
      <c r="F21" s="1250" t="s">
        <v>91</v>
      </c>
      <c r="G21" s="2575"/>
      <c r="H21" s="2584"/>
      <c r="I21" s="2579"/>
      <c r="J21" s="2579"/>
      <c r="K21" s="2576"/>
      <c r="L21" s="2576"/>
      <c r="M21" s="2575"/>
      <c r="N21" s="308"/>
      <c r="O21" s="2575"/>
      <c r="P21" s="1323">
        <f t="shared" si="1"/>
        <v>0</v>
      </c>
      <c r="Q21" s="2262"/>
      <c r="R21" s="975">
        <f>'Ab1. RMNCH+A'!Q226</f>
        <v>0</v>
      </c>
      <c r="S21" s="1324">
        <f>'Ab1. RMNCH+A'!R226</f>
        <v>0</v>
      </c>
    </row>
    <row r="22" spans="1:19" hidden="1" x14ac:dyDescent="0.2">
      <c r="A22" s="1294">
        <v>3</v>
      </c>
      <c r="B22" s="1292" t="s">
        <v>4217</v>
      </c>
      <c r="C22" s="502" t="s">
        <v>1603</v>
      </c>
      <c r="D22" s="502" t="s">
        <v>1604</v>
      </c>
      <c r="E22" s="977" t="s">
        <v>90</v>
      </c>
      <c r="F22" s="1250" t="s">
        <v>91</v>
      </c>
      <c r="G22" s="2575"/>
      <c r="H22" s="2578"/>
      <c r="I22" s="2579"/>
      <c r="J22" s="2579"/>
      <c r="K22" s="2576"/>
      <c r="L22" s="2576"/>
      <c r="M22" s="2575"/>
      <c r="N22" s="308"/>
      <c r="O22" s="2575"/>
      <c r="P22" s="1323">
        <f t="shared" si="1"/>
        <v>0</v>
      </c>
      <c r="Q22" s="2262"/>
      <c r="R22" s="975">
        <f>'Ab1. RMNCH+A'!Q227</f>
        <v>0</v>
      </c>
      <c r="S22" s="1324">
        <f>'Ab1. RMNCH+A'!R227</f>
        <v>0</v>
      </c>
    </row>
    <row r="23" spans="1:19" hidden="1" x14ac:dyDescent="0.2">
      <c r="A23" s="1294">
        <v>4</v>
      </c>
      <c r="B23" s="1292" t="s">
        <v>4218</v>
      </c>
      <c r="C23" s="502" t="s">
        <v>1605</v>
      </c>
      <c r="D23" s="2860" t="s">
        <v>1606</v>
      </c>
      <c r="E23" s="977" t="s">
        <v>90</v>
      </c>
      <c r="F23" s="1250" t="s">
        <v>91</v>
      </c>
      <c r="G23" s="2575"/>
      <c r="H23" s="2584"/>
      <c r="I23" s="2579"/>
      <c r="J23" s="2579"/>
      <c r="K23" s="2585"/>
      <c r="L23" s="2576"/>
      <c r="M23" s="2575"/>
      <c r="N23" s="308"/>
      <c r="O23" s="2575"/>
      <c r="P23" s="1323">
        <f t="shared" si="1"/>
        <v>0</v>
      </c>
      <c r="Q23" s="3678"/>
      <c r="R23" s="975">
        <f>'Ab1. RMNCH+A'!Q228</f>
        <v>0</v>
      </c>
      <c r="S23" s="1324">
        <f>'Ab1. RMNCH+A'!R228</f>
        <v>0</v>
      </c>
    </row>
    <row r="24" spans="1:19" hidden="1" x14ac:dyDescent="0.2">
      <c r="A24" s="1294">
        <v>5</v>
      </c>
      <c r="B24" s="1292" t="s">
        <v>4219</v>
      </c>
      <c r="C24" s="502" t="s">
        <v>1607</v>
      </c>
      <c r="D24" s="502" t="s">
        <v>1608</v>
      </c>
      <c r="E24" s="977" t="s">
        <v>90</v>
      </c>
      <c r="F24" s="1250" t="s">
        <v>91</v>
      </c>
      <c r="G24" s="2575"/>
      <c r="H24" s="2584"/>
      <c r="I24" s="2579"/>
      <c r="J24" s="2579"/>
      <c r="K24" s="2576"/>
      <c r="L24" s="2576"/>
      <c r="M24" s="2575"/>
      <c r="N24" s="308"/>
      <c r="O24" s="2575"/>
      <c r="P24" s="1323">
        <f t="shared" si="1"/>
        <v>0</v>
      </c>
      <c r="Q24" s="3009"/>
      <c r="R24" s="975">
        <f>'Ab1. RMNCH+A'!Q229</f>
        <v>0</v>
      </c>
      <c r="S24" s="1324">
        <f>'Ab1. RMNCH+A'!R229</f>
        <v>0</v>
      </c>
    </row>
    <row r="25" spans="1:19" ht="30" hidden="1" x14ac:dyDescent="0.2">
      <c r="A25" s="1294">
        <v>6</v>
      </c>
      <c r="B25" s="1292" t="s">
        <v>4220</v>
      </c>
      <c r="C25" s="502" t="s">
        <v>1610</v>
      </c>
      <c r="D25" s="502" t="s">
        <v>1592</v>
      </c>
      <c r="E25" s="977" t="s">
        <v>90</v>
      </c>
      <c r="F25" s="1250" t="s">
        <v>91</v>
      </c>
      <c r="G25" s="2584"/>
      <c r="H25" s="2584"/>
      <c r="I25" s="2579"/>
      <c r="J25" s="2579"/>
      <c r="K25" s="2576"/>
      <c r="L25" s="2576"/>
      <c r="M25" s="2578"/>
      <c r="N25" s="308"/>
      <c r="O25" s="2584"/>
      <c r="P25" s="1323">
        <f t="shared" si="1"/>
        <v>0</v>
      </c>
      <c r="Q25" s="2581"/>
      <c r="R25" s="975">
        <f>'Ab1. RMNCH+A'!Q230</f>
        <v>0</v>
      </c>
      <c r="S25" s="1324">
        <f>'Ab1. RMNCH+A'!R230</f>
        <v>0</v>
      </c>
    </row>
    <row r="26" spans="1:19" ht="30" hidden="1" x14ac:dyDescent="0.2">
      <c r="A26" s="1316" t="s">
        <v>4363</v>
      </c>
      <c r="B26" s="1317" t="s">
        <v>1611</v>
      </c>
      <c r="C26" s="1318" t="s">
        <v>1612</v>
      </c>
      <c r="D26" s="1317" t="s">
        <v>4950</v>
      </c>
      <c r="E26" s="1319"/>
      <c r="F26" s="1330"/>
      <c r="G26" s="361"/>
      <c r="H26" s="361"/>
      <c r="I26" s="1320"/>
      <c r="J26" s="1320"/>
      <c r="K26" s="1320"/>
      <c r="L26" s="361"/>
      <c r="M26" s="361"/>
      <c r="N26" s="1320"/>
      <c r="O26" s="361"/>
      <c r="P26" s="1320">
        <f>SUM(P27:P28)</f>
        <v>0</v>
      </c>
      <c r="Q26" s="1320"/>
      <c r="R26" s="1322"/>
      <c r="S26" s="1235">
        <f>SUM(S27:S28)</f>
        <v>0</v>
      </c>
    </row>
    <row r="27" spans="1:19" hidden="1" x14ac:dyDescent="0.2">
      <c r="A27" s="1294">
        <v>1</v>
      </c>
      <c r="B27" s="1292" t="s">
        <v>4221</v>
      </c>
      <c r="C27" s="502" t="s">
        <v>1613</v>
      </c>
      <c r="D27" s="502" t="s">
        <v>4092</v>
      </c>
      <c r="E27" s="977" t="s">
        <v>90</v>
      </c>
      <c r="F27" s="1250" t="s">
        <v>193</v>
      </c>
      <c r="G27" s="362"/>
      <c r="H27" s="362"/>
      <c r="I27" s="362"/>
      <c r="J27" s="362"/>
      <c r="K27" s="362"/>
      <c r="L27" s="363"/>
      <c r="M27" s="304"/>
      <c r="N27" s="308"/>
      <c r="O27" s="304"/>
      <c r="P27" s="1323">
        <f>O27*N27</f>
        <v>0</v>
      </c>
      <c r="Q27" s="726"/>
      <c r="R27" s="975">
        <f>'Ab1. RMNCH+A'!Q305</f>
        <v>0</v>
      </c>
      <c r="S27" s="1324">
        <f>'Ab1. RMNCH+A'!R305</f>
        <v>0</v>
      </c>
    </row>
    <row r="28" spans="1:19" ht="30" hidden="1" x14ac:dyDescent="0.2">
      <c r="A28" s="1294">
        <v>2</v>
      </c>
      <c r="B28" s="1292" t="s">
        <v>4222</v>
      </c>
      <c r="C28" s="502" t="s">
        <v>1614</v>
      </c>
      <c r="D28" s="502" t="s">
        <v>1592</v>
      </c>
      <c r="E28" s="977" t="s">
        <v>90</v>
      </c>
      <c r="F28" s="1250" t="s">
        <v>193</v>
      </c>
      <c r="G28" s="362"/>
      <c r="H28" s="362"/>
      <c r="I28" s="362"/>
      <c r="J28" s="362"/>
      <c r="K28" s="362"/>
      <c r="L28" s="362"/>
      <c r="M28" s="304"/>
      <c r="N28" s="308"/>
      <c r="O28" s="304"/>
      <c r="P28" s="1323">
        <f>O28*N28</f>
        <v>0</v>
      </c>
      <c r="Q28" s="3679"/>
      <c r="R28" s="975">
        <f>'Ab1. RMNCH+A'!Q306</f>
        <v>0</v>
      </c>
      <c r="S28" s="1324">
        <f>'Ab1. RMNCH+A'!R306</f>
        <v>0</v>
      </c>
    </row>
    <row r="29" spans="1:19" ht="30" hidden="1" x14ac:dyDescent="0.2">
      <c r="A29" s="1316" t="s">
        <v>4364</v>
      </c>
      <c r="B29" s="1317" t="s">
        <v>1615</v>
      </c>
      <c r="C29" s="1318" t="s">
        <v>1616</v>
      </c>
      <c r="D29" s="1317" t="s">
        <v>4951</v>
      </c>
      <c r="E29" s="1319"/>
      <c r="F29" s="1319"/>
      <c r="G29" s="361"/>
      <c r="H29" s="361"/>
      <c r="I29" s="1320"/>
      <c r="J29" s="1320"/>
      <c r="K29" s="1320"/>
      <c r="L29" s="361"/>
      <c r="M29" s="361"/>
      <c r="N29" s="1320"/>
      <c r="O29" s="361"/>
      <c r="P29" s="1320">
        <f>SUM(P30:P34)</f>
        <v>0</v>
      </c>
      <c r="Q29" s="1320"/>
      <c r="R29" s="1322"/>
      <c r="S29" s="1235">
        <f>SUM(S30:S34)</f>
        <v>0</v>
      </c>
    </row>
    <row r="30" spans="1:19" hidden="1" x14ac:dyDescent="0.2">
      <c r="A30" s="1294">
        <v>1</v>
      </c>
      <c r="B30" s="1292" t="s">
        <v>4223</v>
      </c>
      <c r="C30" s="502" t="s">
        <v>1617</v>
      </c>
      <c r="D30" s="1331" t="s">
        <v>1618</v>
      </c>
      <c r="E30" s="977" t="s">
        <v>90</v>
      </c>
      <c r="F30" s="1250" t="s">
        <v>96</v>
      </c>
      <c r="G30" s="2575"/>
      <c r="H30" s="2584"/>
      <c r="I30" s="2579"/>
      <c r="J30" s="2579"/>
      <c r="K30" s="2576"/>
      <c r="L30" s="2576"/>
      <c r="M30" s="2575"/>
      <c r="N30" s="308"/>
      <c r="O30" s="304"/>
      <c r="P30" s="1323">
        <f>O30*N30</f>
        <v>0</v>
      </c>
      <c r="Q30" s="2581"/>
      <c r="R30" s="975">
        <f>'Ab1. RMNCH+A'!Q355</f>
        <v>0</v>
      </c>
      <c r="S30" s="1324">
        <f>'Ab1. RMNCH+A'!R355</f>
        <v>0</v>
      </c>
    </row>
    <row r="31" spans="1:19" hidden="1" x14ac:dyDescent="0.2">
      <c r="A31" s="1294">
        <v>2</v>
      </c>
      <c r="B31" s="1292" t="s">
        <v>4224</v>
      </c>
      <c r="C31" s="502" t="s">
        <v>1619</v>
      </c>
      <c r="D31" s="1331" t="s">
        <v>1620</v>
      </c>
      <c r="E31" s="977" t="s">
        <v>90</v>
      </c>
      <c r="F31" s="1250" t="s">
        <v>96</v>
      </c>
      <c r="G31" s="2575"/>
      <c r="H31" s="2584"/>
      <c r="I31" s="2579"/>
      <c r="J31" s="2579"/>
      <c r="K31" s="2585"/>
      <c r="L31" s="2576"/>
      <c r="M31" s="2575"/>
      <c r="N31" s="308"/>
      <c r="O31" s="304"/>
      <c r="P31" s="1323">
        <f>O31*N31</f>
        <v>0</v>
      </c>
      <c r="Q31" s="3674"/>
      <c r="R31" s="975">
        <f>'Ab1. RMNCH+A'!Q356</f>
        <v>0</v>
      </c>
      <c r="S31" s="1324">
        <f>'Ab1. RMNCH+A'!R356</f>
        <v>0</v>
      </c>
    </row>
    <row r="32" spans="1:19" hidden="1" x14ac:dyDescent="0.2">
      <c r="A32" s="1294">
        <v>3</v>
      </c>
      <c r="B32" s="1292" t="s">
        <v>4276</v>
      </c>
      <c r="C32" s="502" t="s">
        <v>1621</v>
      </c>
      <c r="D32" s="1331" t="s">
        <v>1622</v>
      </c>
      <c r="E32" s="977" t="s">
        <v>90</v>
      </c>
      <c r="F32" s="1250" t="s">
        <v>96</v>
      </c>
      <c r="G32" s="82"/>
      <c r="H32" s="82"/>
      <c r="I32" s="82"/>
      <c r="J32" s="82"/>
      <c r="K32" s="82"/>
      <c r="L32" s="363"/>
      <c r="M32" s="304"/>
      <c r="N32" s="308"/>
      <c r="O32" s="304"/>
      <c r="P32" s="1323">
        <f>O32*N32</f>
        <v>0</v>
      </c>
      <c r="Q32" s="726"/>
      <c r="R32" s="975">
        <f>'Ab1. RMNCH+A'!Q357</f>
        <v>0</v>
      </c>
      <c r="S32" s="1324">
        <f>'Ab1. RMNCH+A'!R357</f>
        <v>0</v>
      </c>
    </row>
    <row r="33" spans="1:19" hidden="1" x14ac:dyDescent="0.2">
      <c r="A33" s="1294">
        <v>4</v>
      </c>
      <c r="B33" s="1292" t="s">
        <v>4277</v>
      </c>
      <c r="C33" s="502" t="s">
        <v>1623</v>
      </c>
      <c r="D33" s="1331" t="s">
        <v>1624</v>
      </c>
      <c r="E33" s="977" t="s">
        <v>90</v>
      </c>
      <c r="F33" s="1250" t="s">
        <v>96</v>
      </c>
      <c r="G33" s="82"/>
      <c r="H33" s="82"/>
      <c r="I33" s="82"/>
      <c r="J33" s="82"/>
      <c r="K33" s="82"/>
      <c r="L33" s="363"/>
      <c r="M33" s="304"/>
      <c r="N33" s="308"/>
      <c r="O33" s="304"/>
      <c r="P33" s="1323">
        <f>O33*N33</f>
        <v>0</v>
      </c>
      <c r="Q33" s="726"/>
      <c r="R33" s="975">
        <f>'Ab1. RMNCH+A'!Q358</f>
        <v>0</v>
      </c>
      <c r="S33" s="1324">
        <f>'Ab1. RMNCH+A'!R358</f>
        <v>0</v>
      </c>
    </row>
    <row r="34" spans="1:19" ht="30" hidden="1" x14ac:dyDescent="0.2">
      <c r="A34" s="1294">
        <v>5</v>
      </c>
      <c r="B34" s="1293" t="s">
        <v>4225</v>
      </c>
      <c r="C34" s="510"/>
      <c r="D34" s="502" t="s">
        <v>1592</v>
      </c>
      <c r="E34" s="977" t="s">
        <v>90</v>
      </c>
      <c r="F34" s="1250" t="s">
        <v>96</v>
      </c>
      <c r="G34" s="362"/>
      <c r="H34" s="362"/>
      <c r="I34" s="362"/>
      <c r="J34" s="362"/>
      <c r="K34" s="362"/>
      <c r="L34" s="2576"/>
      <c r="M34" s="304"/>
      <c r="N34" s="308"/>
      <c r="O34" s="304"/>
      <c r="P34" s="1323">
        <f>O34*N34</f>
        <v>0</v>
      </c>
      <c r="Q34" s="3677"/>
      <c r="R34" s="975">
        <f>'Ab1. RMNCH+A'!Q359</f>
        <v>0</v>
      </c>
      <c r="S34" s="1324">
        <f>'Ab1. RMNCH+A'!R359</f>
        <v>0</v>
      </c>
    </row>
    <row r="35" spans="1:19" ht="30" hidden="1" x14ac:dyDescent="0.2">
      <c r="A35" s="1316" t="s">
        <v>4673</v>
      </c>
      <c r="B35" s="1317"/>
      <c r="C35" s="1317"/>
      <c r="D35" s="1317" t="s">
        <v>4905</v>
      </c>
      <c r="E35" s="1332"/>
      <c r="F35" s="1332"/>
      <c r="G35" s="361"/>
      <c r="H35" s="361"/>
      <c r="I35" s="1320"/>
      <c r="J35" s="1320"/>
      <c r="K35" s="1320"/>
      <c r="L35" s="361"/>
      <c r="M35" s="361"/>
      <c r="N35" s="1320"/>
      <c r="O35" s="361"/>
      <c r="P35" s="1320">
        <f>P36+P37</f>
        <v>0</v>
      </c>
      <c r="Q35" s="1320"/>
      <c r="R35" s="1322"/>
      <c r="S35" s="1235">
        <f>S36+S37</f>
        <v>0</v>
      </c>
    </row>
    <row r="36" spans="1:19" hidden="1" x14ac:dyDescent="0.2">
      <c r="A36" s="1294">
        <v>1</v>
      </c>
      <c r="B36" s="1292" t="s">
        <v>4237</v>
      </c>
      <c r="C36" s="502" t="s">
        <v>1636</v>
      </c>
      <c r="D36" s="502" t="s">
        <v>1637</v>
      </c>
      <c r="E36" s="1277" t="s">
        <v>90</v>
      </c>
      <c r="F36" s="1250" t="s">
        <v>205</v>
      </c>
      <c r="G36" s="82"/>
      <c r="H36" s="82"/>
      <c r="I36" s="365"/>
      <c r="J36" s="2579"/>
      <c r="K36" s="371"/>
      <c r="L36" s="197"/>
      <c r="M36" s="304"/>
      <c r="N36" s="308"/>
      <c r="O36" s="304"/>
      <c r="P36" s="1323">
        <f>O36*N36</f>
        <v>0</v>
      </c>
      <c r="Q36" s="3680"/>
      <c r="R36" s="975">
        <f>'Ab1. RMNCH+A'!Q410</f>
        <v>0</v>
      </c>
      <c r="S36" s="1324">
        <f>'Ab1. RMNCH+A'!R410</f>
        <v>0</v>
      </c>
    </row>
    <row r="37" spans="1:19" ht="30" hidden="1" x14ac:dyDescent="0.2">
      <c r="A37" s="1294">
        <v>2</v>
      </c>
      <c r="B37" s="1292" t="s">
        <v>4225</v>
      </c>
      <c r="C37" s="510"/>
      <c r="D37" s="502" t="s">
        <v>1592</v>
      </c>
      <c r="E37" s="1277" t="s">
        <v>90</v>
      </c>
      <c r="F37" s="1250" t="s">
        <v>205</v>
      </c>
      <c r="G37" s="362"/>
      <c r="H37" s="362"/>
      <c r="I37" s="362"/>
      <c r="J37" s="362"/>
      <c r="K37" s="362"/>
      <c r="L37" s="363"/>
      <c r="M37" s="304"/>
      <c r="N37" s="308"/>
      <c r="O37" s="304"/>
      <c r="P37" s="1323">
        <f>O37*N37</f>
        <v>0</v>
      </c>
      <c r="Q37" s="726"/>
      <c r="R37" s="975">
        <f>'Ab1. RMNCH+A'!Q411</f>
        <v>0</v>
      </c>
      <c r="S37" s="1324">
        <f>'Ab1. RMNCH+A'!R411</f>
        <v>0</v>
      </c>
    </row>
    <row r="38" spans="1:19" ht="30" hidden="1" x14ac:dyDescent="0.2">
      <c r="A38" s="1316" t="s">
        <v>4674</v>
      </c>
      <c r="B38" s="1317" t="s">
        <v>1625</v>
      </c>
      <c r="C38" s="1317"/>
      <c r="D38" s="1317" t="s">
        <v>4906</v>
      </c>
      <c r="E38" s="1332"/>
      <c r="F38" s="1332"/>
      <c r="G38" s="361"/>
      <c r="H38" s="361"/>
      <c r="I38" s="1320"/>
      <c r="J38" s="1320"/>
      <c r="K38" s="1320"/>
      <c r="L38" s="361"/>
      <c r="M38" s="361"/>
      <c r="N38" s="1320"/>
      <c r="O38" s="361"/>
      <c r="P38" s="1320">
        <f>P39+P40</f>
        <v>0</v>
      </c>
      <c r="Q38" s="1320"/>
      <c r="R38" s="1322"/>
      <c r="S38" s="1235">
        <f>S39+S40</f>
        <v>0</v>
      </c>
    </row>
    <row r="39" spans="1:19" hidden="1" x14ac:dyDescent="0.2">
      <c r="A39" s="1294">
        <v>1</v>
      </c>
      <c r="B39" s="1292" t="s">
        <v>4226</v>
      </c>
      <c r="C39" s="510"/>
      <c r="D39" s="502" t="s">
        <v>2394</v>
      </c>
      <c r="E39" s="1277" t="s">
        <v>90</v>
      </c>
      <c r="F39" s="1250" t="s">
        <v>208</v>
      </c>
      <c r="G39" s="82"/>
      <c r="H39" s="82"/>
      <c r="I39" s="82"/>
      <c r="J39" s="2240"/>
      <c r="K39" s="82"/>
      <c r="L39" s="363"/>
      <c r="M39" s="304"/>
      <c r="N39" s="308"/>
      <c r="O39" s="304"/>
      <c r="P39" s="1323">
        <f>O39*N39</f>
        <v>0</v>
      </c>
      <c r="Q39" s="727"/>
      <c r="R39" s="975">
        <f>'Ab2. NIDDCP'!Q11</f>
        <v>0</v>
      </c>
      <c r="S39" s="1324">
        <f>'Ab2. NIDDCP'!R11</f>
        <v>0</v>
      </c>
    </row>
    <row r="40" spans="1:19" ht="30" hidden="1" x14ac:dyDescent="0.2">
      <c r="A40" s="1294">
        <v>2</v>
      </c>
      <c r="B40" s="1292" t="s">
        <v>4227</v>
      </c>
      <c r="C40" s="510"/>
      <c r="D40" s="502" t="s">
        <v>1592</v>
      </c>
      <c r="E40" s="1277" t="s">
        <v>90</v>
      </c>
      <c r="F40" s="1250" t="s">
        <v>208</v>
      </c>
      <c r="G40" s="82"/>
      <c r="H40" s="82"/>
      <c r="I40" s="82"/>
      <c r="J40" s="82"/>
      <c r="K40" s="82"/>
      <c r="L40" s="363"/>
      <c r="M40" s="304"/>
      <c r="N40" s="308"/>
      <c r="O40" s="304"/>
      <c r="P40" s="1323">
        <f>O40*N40</f>
        <v>0</v>
      </c>
      <c r="Q40" s="727"/>
      <c r="R40" s="975">
        <f>'Ab2. NIDDCP'!Q12</f>
        <v>0</v>
      </c>
      <c r="S40" s="1324">
        <f>'Ab2. NIDDCP'!R12</f>
        <v>0</v>
      </c>
    </row>
    <row r="41" spans="1:19" hidden="1" x14ac:dyDescent="0.2">
      <c r="A41" s="3903" t="s">
        <v>4933</v>
      </c>
      <c r="B41" s="3903"/>
      <c r="C41" s="3903"/>
      <c r="D41" s="3903"/>
      <c r="E41" s="1165"/>
      <c r="F41" s="1165"/>
      <c r="G41" s="340"/>
      <c r="H41" s="340"/>
      <c r="I41" s="340"/>
      <c r="J41" s="340"/>
      <c r="K41" s="340"/>
      <c r="L41" s="340"/>
      <c r="M41" s="340"/>
      <c r="N41" s="1313"/>
      <c r="O41" s="580"/>
      <c r="P41" s="1313"/>
      <c r="Q41" s="1313"/>
      <c r="R41" s="1144"/>
      <c r="S41" s="1126"/>
    </row>
    <row r="42" spans="1:19" ht="30" hidden="1" x14ac:dyDescent="0.2">
      <c r="A42" s="1316" t="s">
        <v>4358</v>
      </c>
      <c r="B42" s="1317" t="s">
        <v>1629</v>
      </c>
      <c r="C42" s="1318" t="s">
        <v>1626</v>
      </c>
      <c r="D42" s="1317" t="s">
        <v>4907</v>
      </c>
      <c r="E42" s="1319"/>
      <c r="F42" s="1319"/>
      <c r="G42" s="361"/>
      <c r="H42" s="361"/>
      <c r="I42" s="1320"/>
      <c r="J42" s="1320"/>
      <c r="K42" s="1320"/>
      <c r="L42" s="361"/>
      <c r="M42" s="361"/>
      <c r="N42" s="1320"/>
      <c r="O42" s="361"/>
      <c r="P42" s="1320">
        <f>SUM(P43:P46)</f>
        <v>0</v>
      </c>
      <c r="Q42" s="1320"/>
      <c r="R42" s="1322"/>
      <c r="S42" s="1235">
        <f>SUM(S43:S46)</f>
        <v>0</v>
      </c>
    </row>
    <row r="43" spans="1:19" ht="30" hidden="1" x14ac:dyDescent="0.2">
      <c r="A43" s="1294">
        <v>1</v>
      </c>
      <c r="B43" s="1292" t="s">
        <v>4228</v>
      </c>
      <c r="C43" s="502" t="s">
        <v>1627</v>
      </c>
      <c r="D43" s="502" t="s">
        <v>1628</v>
      </c>
      <c r="E43" s="886" t="s">
        <v>70</v>
      </c>
      <c r="F43" s="1250" t="s">
        <v>4904</v>
      </c>
      <c r="G43" s="371"/>
      <c r="H43" s="371"/>
      <c r="I43" s="371"/>
      <c r="J43" s="371"/>
      <c r="K43" s="371"/>
      <c r="L43" s="363"/>
      <c r="M43" s="304"/>
      <c r="N43" s="308"/>
      <c r="O43" s="304"/>
      <c r="P43" s="1323">
        <f>O43*N43</f>
        <v>0</v>
      </c>
      <c r="Q43" s="727"/>
      <c r="R43" s="987"/>
      <c r="S43" s="1365"/>
    </row>
    <row r="44" spans="1:19" hidden="1" x14ac:dyDescent="0.2">
      <c r="A44" s="1294">
        <v>2</v>
      </c>
      <c r="B44" s="1292" t="s">
        <v>4229</v>
      </c>
      <c r="C44" s="502" t="s">
        <v>1626</v>
      </c>
      <c r="D44" s="502" t="s">
        <v>4093</v>
      </c>
      <c r="E44" s="886" t="s">
        <v>70</v>
      </c>
      <c r="F44" s="1250" t="s">
        <v>742</v>
      </c>
      <c r="G44" s="2575"/>
      <c r="H44" s="2586"/>
      <c r="I44" s="2586"/>
      <c r="J44" s="2586"/>
      <c r="K44" s="2586"/>
      <c r="L44" s="2471"/>
      <c r="M44" s="2471"/>
      <c r="N44" s="308"/>
      <c r="O44" s="304"/>
      <c r="P44" s="1323">
        <f>O44*N44</f>
        <v>0</v>
      </c>
      <c r="Q44" s="3681"/>
      <c r="R44" s="3284"/>
      <c r="S44" s="1365">
        <v>0</v>
      </c>
    </row>
    <row r="45" spans="1:19" ht="30" hidden="1" x14ac:dyDescent="0.2">
      <c r="A45" s="1294">
        <v>3</v>
      </c>
      <c r="B45" s="1292" t="s">
        <v>4231</v>
      </c>
      <c r="C45" s="502" t="s">
        <v>2851</v>
      </c>
      <c r="D45" s="502" t="s">
        <v>2462</v>
      </c>
      <c r="E45" s="886" t="s">
        <v>70</v>
      </c>
      <c r="F45" s="1250" t="s">
        <v>4903</v>
      </c>
      <c r="G45" s="2575"/>
      <c r="H45" s="2240"/>
      <c r="I45" s="2240"/>
      <c r="J45" s="2240"/>
      <c r="K45" s="2240"/>
      <c r="L45" s="2436"/>
      <c r="M45" s="2242"/>
      <c r="N45" s="308"/>
      <c r="O45" s="304"/>
      <c r="P45" s="1323">
        <f>O45*N45</f>
        <v>0</v>
      </c>
      <c r="Q45" s="2248"/>
      <c r="R45" s="3398"/>
      <c r="S45" s="3429"/>
    </row>
    <row r="46" spans="1:19" ht="30" hidden="1" x14ac:dyDescent="0.2">
      <c r="A46" s="1294">
        <v>4</v>
      </c>
      <c r="B46" s="1292" t="s">
        <v>4232</v>
      </c>
      <c r="C46" s="510"/>
      <c r="D46" s="502" t="s">
        <v>1592</v>
      </c>
      <c r="E46" s="886" t="s">
        <v>70</v>
      </c>
      <c r="F46" s="1250" t="s">
        <v>742</v>
      </c>
      <c r="G46" s="2575"/>
      <c r="H46" s="2240"/>
      <c r="I46" s="2240"/>
      <c r="J46" s="2240"/>
      <c r="K46" s="2240"/>
      <c r="L46" s="2436"/>
      <c r="M46" s="2575"/>
      <c r="N46" s="308"/>
      <c r="O46" s="304"/>
      <c r="P46" s="1323">
        <f>O46*N46</f>
        <v>0</v>
      </c>
      <c r="Q46" s="2581"/>
      <c r="R46" s="987"/>
      <c r="S46" s="1365"/>
    </row>
    <row r="47" spans="1:19" ht="30" hidden="1" x14ac:dyDescent="0.2">
      <c r="A47" s="1316" t="s">
        <v>4359</v>
      </c>
      <c r="B47" s="1317" t="s">
        <v>1631</v>
      </c>
      <c r="C47" s="1318" t="s">
        <v>1630</v>
      </c>
      <c r="D47" s="1317" t="s">
        <v>4947</v>
      </c>
      <c r="E47" s="1319"/>
      <c r="F47" s="1319"/>
      <c r="G47" s="361"/>
      <c r="H47" s="361"/>
      <c r="I47" s="1320"/>
      <c r="J47" s="1320"/>
      <c r="K47" s="1320"/>
      <c r="L47" s="361"/>
      <c r="M47" s="361"/>
      <c r="N47" s="1320"/>
      <c r="O47" s="361"/>
      <c r="P47" s="1320">
        <f>SUM(P48:P49)</f>
        <v>0</v>
      </c>
      <c r="Q47" s="1320"/>
      <c r="R47" s="1322"/>
      <c r="S47" s="1235">
        <f>SUM(S48:S49)</f>
        <v>0</v>
      </c>
    </row>
    <row r="48" spans="1:19" ht="30" hidden="1" x14ac:dyDescent="0.2">
      <c r="A48" s="1294">
        <v>1</v>
      </c>
      <c r="B48" s="1292" t="s">
        <v>4233</v>
      </c>
      <c r="C48" s="510"/>
      <c r="D48" s="1293" t="s">
        <v>4947</v>
      </c>
      <c r="E48" s="886" t="s">
        <v>70</v>
      </c>
      <c r="F48" s="1250" t="s">
        <v>2857</v>
      </c>
      <c r="G48" s="82"/>
      <c r="H48" s="82"/>
      <c r="I48" s="82"/>
      <c r="J48" s="82"/>
      <c r="K48" s="82"/>
      <c r="L48" s="363"/>
      <c r="M48" s="304"/>
      <c r="N48" s="308"/>
      <c r="O48" s="304"/>
      <c r="P48" s="1323">
        <f>O48*N48</f>
        <v>0</v>
      </c>
      <c r="Q48" s="727"/>
      <c r="R48" s="975">
        <f>'Abs7. AYUSH'!Q7</f>
        <v>0</v>
      </c>
      <c r="S48" s="1333">
        <f>'Abs7. AYUSH'!R7</f>
        <v>0</v>
      </c>
    </row>
    <row r="49" spans="1:19" hidden="1" x14ac:dyDescent="0.2">
      <c r="A49" s="1294">
        <v>2</v>
      </c>
      <c r="B49" s="1292" t="s">
        <v>4234</v>
      </c>
      <c r="C49" s="510"/>
      <c r="D49" s="1334" t="s">
        <v>4523</v>
      </c>
      <c r="E49" s="886" t="s">
        <v>70</v>
      </c>
      <c r="F49" s="1250" t="s">
        <v>2857</v>
      </c>
      <c r="G49" s="82"/>
      <c r="H49" s="82"/>
      <c r="I49" s="82"/>
      <c r="J49" s="82"/>
      <c r="K49" s="82"/>
      <c r="L49" s="363"/>
      <c r="M49" s="304"/>
      <c r="N49" s="308"/>
      <c r="O49" s="304"/>
      <c r="P49" s="1323">
        <f>O49*N49</f>
        <v>0</v>
      </c>
      <c r="Q49" s="3677"/>
      <c r="R49" s="975">
        <f>'Abs7. AYUSH'!Q8</f>
        <v>0</v>
      </c>
      <c r="S49" s="1333">
        <f>'Abs7. AYUSH'!R8</f>
        <v>0</v>
      </c>
    </row>
    <row r="50" spans="1:19" ht="30" hidden="1" x14ac:dyDescent="0.2">
      <c r="A50" s="1316" t="s">
        <v>4362</v>
      </c>
      <c r="B50" s="1317" t="s">
        <v>1633</v>
      </c>
      <c r="C50" s="1318" t="s">
        <v>1632</v>
      </c>
      <c r="D50" s="1317" t="s">
        <v>4908</v>
      </c>
      <c r="E50" s="1319"/>
      <c r="F50" s="1319"/>
      <c r="G50" s="361"/>
      <c r="H50" s="361"/>
      <c r="I50" s="1320"/>
      <c r="J50" s="1320"/>
      <c r="K50" s="1320"/>
      <c r="L50" s="361"/>
      <c r="M50" s="361"/>
      <c r="N50" s="1320"/>
      <c r="O50" s="361"/>
      <c r="P50" s="1320">
        <f>SUM(P51:P52)</f>
        <v>0</v>
      </c>
      <c r="Q50" s="1320"/>
      <c r="R50" s="1322"/>
      <c r="S50" s="1235">
        <f>SUM(S51:S52)</f>
        <v>0</v>
      </c>
    </row>
    <row r="51" spans="1:19" ht="30" hidden="1" x14ac:dyDescent="0.2">
      <c r="A51" s="1294">
        <v>1</v>
      </c>
      <c r="B51" s="1292" t="s">
        <v>4235</v>
      </c>
      <c r="C51" s="510"/>
      <c r="D51" s="1293" t="s">
        <v>4095</v>
      </c>
      <c r="E51" s="886" t="s">
        <v>70</v>
      </c>
      <c r="F51" s="1250" t="s">
        <v>3312</v>
      </c>
      <c r="G51" s="2575"/>
      <c r="H51" s="2249"/>
      <c r="I51" s="2579"/>
      <c r="J51" s="365"/>
      <c r="K51" s="82"/>
      <c r="L51" s="362"/>
      <c r="M51" s="304"/>
      <c r="N51" s="308"/>
      <c r="O51" s="304"/>
      <c r="P51" s="1323">
        <f>O51*N51</f>
        <v>0</v>
      </c>
      <c r="Q51" s="726"/>
      <c r="R51" s="975">
        <f>'Abs5. Blood services &amp; Disorder'!Q15</f>
        <v>0</v>
      </c>
      <c r="S51" s="1333">
        <f>'Abs5. Blood services &amp; Disorder'!R15</f>
        <v>0</v>
      </c>
    </row>
    <row r="52" spans="1:19" hidden="1" x14ac:dyDescent="0.2">
      <c r="A52" s="1294">
        <v>2</v>
      </c>
      <c r="B52" s="1292" t="s">
        <v>4236</v>
      </c>
      <c r="C52" s="510"/>
      <c r="D52" s="1293" t="s">
        <v>4096</v>
      </c>
      <c r="E52" s="886" t="s">
        <v>70</v>
      </c>
      <c r="F52" s="1250" t="s">
        <v>3312</v>
      </c>
      <c r="G52" s="82"/>
      <c r="H52" s="171"/>
      <c r="I52" s="365"/>
      <c r="J52" s="365"/>
      <c r="K52" s="82"/>
      <c r="L52" s="362"/>
      <c r="M52" s="304"/>
      <c r="N52" s="308"/>
      <c r="O52" s="304"/>
      <c r="P52" s="1323">
        <f>O52*N52</f>
        <v>0</v>
      </c>
      <c r="Q52" s="726"/>
      <c r="R52" s="975">
        <f>'Abs5. Blood services &amp; Disorder'!Q16</f>
        <v>0</v>
      </c>
      <c r="S52" s="1333">
        <f>'Abs5. Blood services &amp; Disorder'!R16</f>
        <v>0</v>
      </c>
    </row>
    <row r="53" spans="1:19" hidden="1" x14ac:dyDescent="0.2">
      <c r="A53" s="1316" t="s">
        <v>4363</v>
      </c>
      <c r="B53" s="1317" t="s">
        <v>1638</v>
      </c>
      <c r="C53" s="1318" t="s">
        <v>1634</v>
      </c>
      <c r="D53" s="1317" t="s">
        <v>1635</v>
      </c>
      <c r="E53" s="1319"/>
      <c r="F53" s="1319"/>
      <c r="G53" s="361"/>
      <c r="H53" s="361"/>
      <c r="I53" s="1320"/>
      <c r="J53" s="1320"/>
      <c r="K53" s="1320"/>
      <c r="L53" s="361"/>
      <c r="M53" s="361"/>
      <c r="N53" s="1320"/>
      <c r="O53" s="361"/>
      <c r="P53" s="1320">
        <f>SUM(P54:P54)</f>
        <v>0</v>
      </c>
      <c r="Q53" s="1320"/>
      <c r="R53" s="1322"/>
      <c r="S53" s="1235">
        <f>SUM(S54:S54)</f>
        <v>0</v>
      </c>
    </row>
    <row r="54" spans="1:19" ht="30" hidden="1" x14ac:dyDescent="0.2">
      <c r="A54" s="1294">
        <v>1</v>
      </c>
      <c r="B54" s="1292" t="s">
        <v>4238</v>
      </c>
      <c r="C54" s="502" t="s">
        <v>1614</v>
      </c>
      <c r="D54" s="2851" t="s">
        <v>5743</v>
      </c>
      <c r="E54" s="886" t="s">
        <v>70</v>
      </c>
      <c r="F54" s="1250" t="s">
        <v>70</v>
      </c>
      <c r="G54" s="82"/>
      <c r="H54" s="82"/>
      <c r="I54" s="82"/>
      <c r="J54" s="82"/>
      <c r="K54" s="82"/>
      <c r="L54" s="363"/>
      <c r="M54" s="304"/>
      <c r="N54" s="308"/>
      <c r="O54" s="304"/>
      <c r="P54" s="1323">
        <f>O54*N54</f>
        <v>0</v>
      </c>
      <c r="Q54" s="726"/>
      <c r="R54" s="987"/>
      <c r="S54" s="1365"/>
    </row>
    <row r="55" spans="1:19" ht="30" x14ac:dyDescent="0.2">
      <c r="A55" s="1316" t="s">
        <v>4364</v>
      </c>
      <c r="B55" s="1317" t="s">
        <v>2844</v>
      </c>
      <c r="C55" s="1318"/>
      <c r="D55" s="1317" t="s">
        <v>1696</v>
      </c>
      <c r="E55" s="1319"/>
      <c r="F55" s="1319"/>
      <c r="G55" s="361"/>
      <c r="H55" s="361"/>
      <c r="I55" s="1320"/>
      <c r="J55" s="1320"/>
      <c r="K55" s="1320"/>
      <c r="L55" s="361"/>
      <c r="M55" s="361"/>
      <c r="N55" s="1320"/>
      <c r="O55" s="361"/>
      <c r="P55" s="1320">
        <f>SUM(P56:P58)</f>
        <v>128.08000000000001</v>
      </c>
      <c r="Q55" s="1320"/>
      <c r="R55" s="1322"/>
      <c r="S55" s="1235">
        <f>SUM(S56:S58)</f>
        <v>0</v>
      </c>
    </row>
    <row r="56" spans="1:19" s="1278" customFormat="1" ht="71.25" x14ac:dyDescent="0.2">
      <c r="A56" s="1294">
        <v>1</v>
      </c>
      <c r="B56" s="1292" t="s">
        <v>4273</v>
      </c>
      <c r="C56" s="510"/>
      <c r="D56" s="502" t="s">
        <v>4390</v>
      </c>
      <c r="E56" s="886" t="s">
        <v>70</v>
      </c>
      <c r="F56" s="1250" t="s">
        <v>3813</v>
      </c>
      <c r="G56" s="2575"/>
      <c r="H56" s="2240"/>
      <c r="I56" s="2240"/>
      <c r="J56" s="2240"/>
      <c r="K56" s="2240"/>
      <c r="L56" s="2576" t="s">
        <v>5736</v>
      </c>
      <c r="M56" s="2575">
        <v>3202000</v>
      </c>
      <c r="N56" s="308">
        <f>+M56/100000</f>
        <v>32.020000000000003</v>
      </c>
      <c r="O56" s="304">
        <v>4</v>
      </c>
      <c r="P56" s="1323">
        <f>O56*N56</f>
        <v>128.08000000000001</v>
      </c>
      <c r="Q56" s="3687" t="s">
        <v>6013</v>
      </c>
      <c r="R56" s="3398"/>
      <c r="S56" s="3429"/>
    </row>
    <row r="57" spans="1:19" s="1278" customFormat="1" ht="45" hidden="1" x14ac:dyDescent="0.2">
      <c r="A57" s="1325">
        <v>2</v>
      </c>
      <c r="B57" s="1291" t="s">
        <v>4274</v>
      </c>
      <c r="C57" s="510"/>
      <c r="D57" s="510" t="s">
        <v>4977</v>
      </c>
      <c r="E57" s="886" t="s">
        <v>70</v>
      </c>
      <c r="F57" s="1280" t="s">
        <v>3813</v>
      </c>
      <c r="G57" s="2582"/>
      <c r="H57" s="2259"/>
      <c r="I57" s="2259"/>
      <c r="J57" s="2259"/>
      <c r="K57" s="2259"/>
      <c r="L57" s="2583"/>
      <c r="M57" s="2582"/>
      <c r="N57" s="308"/>
      <c r="O57" s="304"/>
      <c r="P57" s="1327">
        <f>O57*N57</f>
        <v>0</v>
      </c>
      <c r="Q57" s="2581"/>
      <c r="R57" s="975"/>
      <c r="S57" s="1335"/>
    </row>
    <row r="58" spans="1:19" hidden="1" x14ac:dyDescent="0.2">
      <c r="A58" s="1325">
        <v>3</v>
      </c>
      <c r="B58" s="1291" t="s">
        <v>4548</v>
      </c>
      <c r="C58" s="510"/>
      <c r="D58" s="510" t="s">
        <v>1310</v>
      </c>
      <c r="E58" s="886" t="s">
        <v>70</v>
      </c>
      <c r="F58" s="1280"/>
      <c r="G58" s="2582"/>
      <c r="H58" s="2259"/>
      <c r="I58" s="2259"/>
      <c r="J58" s="2259"/>
      <c r="K58" s="2259"/>
      <c r="L58" s="2583"/>
      <c r="M58" s="2582"/>
      <c r="N58" s="308"/>
      <c r="O58" s="304"/>
      <c r="P58" s="1327">
        <f>O58*N58</f>
        <v>0</v>
      </c>
      <c r="Q58" s="3676"/>
      <c r="R58" s="975"/>
      <c r="S58" s="1335"/>
    </row>
    <row r="59" spans="1:19" hidden="1" x14ac:dyDescent="0.2">
      <c r="A59" s="1316" t="s">
        <v>4673</v>
      </c>
      <c r="B59" s="1317" t="s">
        <v>1695</v>
      </c>
      <c r="C59" s="1318"/>
      <c r="D59" s="1317" t="s">
        <v>5019</v>
      </c>
      <c r="E59" s="1319"/>
      <c r="F59" s="1319"/>
      <c r="G59" s="361"/>
      <c r="H59" s="361"/>
      <c r="I59" s="1320"/>
      <c r="J59" s="1320"/>
      <c r="K59" s="1320"/>
      <c r="L59" s="361"/>
      <c r="M59" s="361"/>
      <c r="N59" s="1320"/>
      <c r="O59" s="361"/>
      <c r="P59" s="1320">
        <f>P60</f>
        <v>0</v>
      </c>
      <c r="Q59" s="1320"/>
      <c r="R59" s="1322"/>
      <c r="S59" s="1235">
        <f>S60</f>
        <v>0</v>
      </c>
    </row>
    <row r="60" spans="1:19" s="3271" customFormat="1" ht="30" hidden="1" x14ac:dyDescent="0.2">
      <c r="A60" s="3256">
        <v>1</v>
      </c>
      <c r="B60" s="3257" t="s">
        <v>4287</v>
      </c>
      <c r="C60" s="3258"/>
      <c r="D60" s="3259" t="s">
        <v>5016</v>
      </c>
      <c r="E60" s="3260" t="s">
        <v>70</v>
      </c>
      <c r="F60" s="3261" t="s">
        <v>4365</v>
      </c>
      <c r="G60" s="3262"/>
      <c r="H60" s="3263"/>
      <c r="I60" s="3264"/>
      <c r="J60" s="3263"/>
      <c r="K60" s="3265"/>
      <c r="L60" s="3266"/>
      <c r="M60" s="3267"/>
      <c r="N60" s="3268"/>
      <c r="O60" s="3269"/>
      <c r="P60" s="3270">
        <f>O60*N60</f>
        <v>0</v>
      </c>
      <c r="Q60" s="3682"/>
      <c r="R60" s="975">
        <f>'Abs6. CPHC'!Q14</f>
        <v>0</v>
      </c>
      <c r="S60" s="1324">
        <f>'Abs6. CPHC'!R14</f>
        <v>0</v>
      </c>
    </row>
    <row r="61" spans="1:19" hidden="1" x14ac:dyDescent="0.2">
      <c r="A61" s="1316" t="s">
        <v>4674</v>
      </c>
      <c r="B61" s="1317" t="s">
        <v>1695</v>
      </c>
      <c r="C61" s="1318"/>
      <c r="D61" s="1317" t="s">
        <v>2415</v>
      </c>
      <c r="E61" s="1319"/>
      <c r="F61" s="1319"/>
      <c r="G61" s="361"/>
      <c r="H61" s="361"/>
      <c r="I61" s="1320"/>
      <c r="J61" s="1320"/>
      <c r="K61" s="1320"/>
      <c r="L61" s="361"/>
      <c r="M61" s="361"/>
      <c r="N61" s="1320"/>
      <c r="O61" s="361"/>
      <c r="P61" s="1320">
        <f>SUM(P62:P63)</f>
        <v>0</v>
      </c>
      <c r="Q61" s="1320"/>
      <c r="R61" s="1322"/>
      <c r="S61" s="1235">
        <f>SUM(S62:S63)</f>
        <v>0</v>
      </c>
    </row>
    <row r="62" spans="1:19" ht="30" hidden="1" x14ac:dyDescent="0.2">
      <c r="A62" s="1294">
        <v>2</v>
      </c>
      <c r="B62" s="1292" t="s">
        <v>4288</v>
      </c>
      <c r="C62" s="1291"/>
      <c r="D62" s="1293" t="s">
        <v>2416</v>
      </c>
      <c r="E62" s="886" t="s">
        <v>70</v>
      </c>
      <c r="F62" s="1250" t="s">
        <v>4924</v>
      </c>
      <c r="G62" s="82"/>
      <c r="H62" s="82"/>
      <c r="I62" s="82"/>
      <c r="J62" s="82"/>
      <c r="K62" s="82"/>
      <c r="L62" s="362"/>
      <c r="M62" s="304"/>
      <c r="N62" s="308"/>
      <c r="O62" s="304"/>
      <c r="P62" s="1323">
        <f>O62*N62</f>
        <v>0</v>
      </c>
      <c r="Q62" s="726"/>
      <c r="R62" s="975">
        <f>'Ab4. HMIS-MCTS'!Q7</f>
        <v>0</v>
      </c>
      <c r="S62" s="1324">
        <f>'Ab4. HMIS-MCTS'!R7</f>
        <v>0</v>
      </c>
    </row>
    <row r="63" spans="1:19" hidden="1" x14ac:dyDescent="0.2">
      <c r="A63" s="1294">
        <v>3</v>
      </c>
      <c r="B63" s="1292" t="s">
        <v>4290</v>
      </c>
      <c r="C63" s="1291"/>
      <c r="D63" s="1292" t="s">
        <v>1310</v>
      </c>
      <c r="E63" s="886" t="s">
        <v>70</v>
      </c>
      <c r="F63" s="1250" t="s">
        <v>70</v>
      </c>
      <c r="G63" s="82"/>
      <c r="H63" s="82"/>
      <c r="I63" s="82"/>
      <c r="J63" s="82"/>
      <c r="K63" s="82"/>
      <c r="L63" s="362"/>
      <c r="M63" s="2852"/>
      <c r="N63" s="308"/>
      <c r="O63" s="304"/>
      <c r="P63" s="1323">
        <f>O63*N63</f>
        <v>0</v>
      </c>
      <c r="Q63" s="3677"/>
      <c r="R63" s="987"/>
      <c r="S63" s="1365"/>
    </row>
    <row r="64" spans="1:19" hidden="1" x14ac:dyDescent="0.2">
      <c r="A64" s="3903" t="s">
        <v>3013</v>
      </c>
      <c r="B64" s="3903"/>
      <c r="C64" s="3903"/>
      <c r="D64" s="3903"/>
      <c r="E64" s="1165"/>
      <c r="F64" s="1165"/>
      <c r="G64" s="340"/>
      <c r="H64" s="340"/>
      <c r="I64" s="340"/>
      <c r="J64" s="340"/>
      <c r="K64" s="340"/>
      <c r="L64" s="340"/>
      <c r="M64" s="340"/>
      <c r="N64" s="1313"/>
      <c r="O64" s="580"/>
      <c r="P64" s="1313"/>
      <c r="Q64" s="1313"/>
      <c r="R64" s="1144"/>
      <c r="S64" s="1126"/>
    </row>
    <row r="65" spans="1:19" x14ac:dyDescent="0.2">
      <c r="A65" s="1316" t="s">
        <v>4358</v>
      </c>
      <c r="B65" s="1266">
        <v>6.4</v>
      </c>
      <c r="C65" s="1267" t="s">
        <v>1937</v>
      </c>
      <c r="D65" s="1266" t="s">
        <v>1938</v>
      </c>
      <c r="E65" s="908"/>
      <c r="F65" s="908"/>
      <c r="G65" s="109"/>
      <c r="H65" s="109"/>
      <c r="I65" s="1107"/>
      <c r="J65" s="1107"/>
      <c r="K65" s="1107"/>
      <c r="L65" s="109"/>
      <c r="M65" s="109"/>
      <c r="N65" s="1107"/>
      <c r="O65" s="359"/>
      <c r="P65" s="1107">
        <f>SUM(P66:P68)</f>
        <v>135</v>
      </c>
      <c r="Q65" s="1107"/>
      <c r="R65" s="971"/>
      <c r="S65" s="1220">
        <f>SUM(S66:S68)</f>
        <v>0</v>
      </c>
    </row>
    <row r="66" spans="1:19" hidden="1" x14ac:dyDescent="0.2">
      <c r="A66" s="1294">
        <v>1</v>
      </c>
      <c r="B66" s="1292" t="s">
        <v>1939</v>
      </c>
      <c r="C66" s="502" t="s">
        <v>1940</v>
      </c>
      <c r="D66" s="502" t="s">
        <v>1941</v>
      </c>
      <c r="E66" s="886" t="s">
        <v>70</v>
      </c>
      <c r="F66" s="1250" t="s">
        <v>3814</v>
      </c>
      <c r="G66" s="2575"/>
      <c r="H66" s="2240"/>
      <c r="I66" s="2592"/>
      <c r="J66" s="2240"/>
      <c r="K66" s="2240"/>
      <c r="L66" s="2583"/>
      <c r="M66" s="2575"/>
      <c r="N66" s="308"/>
      <c r="O66" s="304"/>
      <c r="P66" s="1323">
        <f>O66*N66</f>
        <v>0</v>
      </c>
      <c r="Q66" s="3009"/>
      <c r="R66" s="987"/>
      <c r="S66" s="3366"/>
    </row>
    <row r="67" spans="1:19" ht="57" x14ac:dyDescent="0.2">
      <c r="A67" s="1294">
        <v>2</v>
      </c>
      <c r="B67" s="1292" t="s">
        <v>1942</v>
      </c>
      <c r="C67" s="502" t="s">
        <v>1943</v>
      </c>
      <c r="D67" s="502" t="s">
        <v>1944</v>
      </c>
      <c r="E67" s="886" t="s">
        <v>70</v>
      </c>
      <c r="F67" s="1250" t="s">
        <v>3814</v>
      </c>
      <c r="G67" s="2575"/>
      <c r="H67" s="2240"/>
      <c r="I67" s="2592"/>
      <c r="J67" s="2240"/>
      <c r="K67" s="2240"/>
      <c r="L67" s="2581" t="s">
        <v>6004</v>
      </c>
      <c r="M67" s="2575">
        <v>4500000</v>
      </c>
      <c r="N67" s="308">
        <f>+M67/100000</f>
        <v>45</v>
      </c>
      <c r="O67" s="304">
        <v>3</v>
      </c>
      <c r="P67" s="1323">
        <f>O67*N67</f>
        <v>135</v>
      </c>
      <c r="Q67" s="3687" t="s">
        <v>6020</v>
      </c>
      <c r="R67" s="987"/>
      <c r="S67" s="3366"/>
    </row>
    <row r="68" spans="1:19" hidden="1" x14ac:dyDescent="0.2">
      <c r="A68" s="1325">
        <v>3</v>
      </c>
      <c r="B68" s="1292" t="s">
        <v>2573</v>
      </c>
      <c r="C68" s="510"/>
      <c r="D68" s="502" t="s">
        <v>1310</v>
      </c>
      <c r="E68" s="886" t="s">
        <v>70</v>
      </c>
      <c r="F68" s="1250"/>
      <c r="G68" s="2575"/>
      <c r="H68" s="2240"/>
      <c r="I68" s="2592"/>
      <c r="J68" s="2240"/>
      <c r="K68" s="2597"/>
      <c r="L68" s="2583"/>
      <c r="M68" s="2575"/>
      <c r="N68" s="308"/>
      <c r="O68" s="304"/>
      <c r="P68" s="1323">
        <f>O68*N68</f>
        <v>0</v>
      </c>
      <c r="Q68" s="2581"/>
      <c r="R68" s="987"/>
      <c r="S68" s="3366"/>
    </row>
    <row r="69" spans="1:19" ht="30" hidden="1" x14ac:dyDescent="0.2">
      <c r="A69" s="2932" t="s">
        <v>4359</v>
      </c>
      <c r="B69" s="1266"/>
      <c r="C69" s="1267"/>
      <c r="D69" s="1266" t="s">
        <v>4958</v>
      </c>
      <c r="E69" s="908"/>
      <c r="F69" s="908"/>
      <c r="G69" s="109"/>
      <c r="H69" s="109"/>
      <c r="I69" s="1107"/>
      <c r="J69" s="1107"/>
      <c r="K69" s="1107"/>
      <c r="L69" s="109"/>
      <c r="M69" s="109"/>
      <c r="N69" s="1107"/>
      <c r="O69" s="359"/>
      <c r="P69" s="1107">
        <f>SUM(P70:P71)</f>
        <v>0</v>
      </c>
      <c r="Q69" s="1107"/>
      <c r="R69" s="971"/>
      <c r="S69" s="1220">
        <f>SUM(S70:S71)</f>
        <v>0</v>
      </c>
    </row>
    <row r="70" spans="1:19" ht="30" hidden="1" x14ac:dyDescent="0.2">
      <c r="A70" s="1325">
        <v>1</v>
      </c>
      <c r="B70" s="1292" t="s">
        <v>1945</v>
      </c>
      <c r="C70" s="502" t="s">
        <v>1946</v>
      </c>
      <c r="D70" s="502" t="s">
        <v>1947</v>
      </c>
      <c r="E70" s="1277" t="s">
        <v>90</v>
      </c>
      <c r="F70" s="1250" t="s">
        <v>118</v>
      </c>
      <c r="G70" s="2575"/>
      <c r="H70" s="2240"/>
      <c r="I70" s="2589"/>
      <c r="J70" s="2240"/>
      <c r="K70" s="2249"/>
      <c r="L70" s="2583"/>
      <c r="M70" s="2575"/>
      <c r="N70" s="308"/>
      <c r="O70" s="2575"/>
      <c r="P70" s="1323">
        <f>O70*N70</f>
        <v>0</v>
      </c>
      <c r="Q70" s="3009"/>
      <c r="R70" s="975">
        <f>'Ab1. RMNCH+A'!Q41</f>
        <v>0</v>
      </c>
      <c r="S70" s="1324">
        <f>'Ab1. RMNCH+A'!R41</f>
        <v>0</v>
      </c>
    </row>
    <row r="71" spans="1:19" ht="30" hidden="1" x14ac:dyDescent="0.2">
      <c r="A71" s="1325">
        <v>2</v>
      </c>
      <c r="B71" s="1292" t="s">
        <v>2543</v>
      </c>
      <c r="C71" s="502" t="s">
        <v>1948</v>
      </c>
      <c r="D71" s="502" t="s">
        <v>1949</v>
      </c>
      <c r="E71" s="1277" t="s">
        <v>90</v>
      </c>
      <c r="F71" s="1250" t="s">
        <v>131</v>
      </c>
      <c r="G71" s="82"/>
      <c r="H71" s="381"/>
      <c r="I71" s="82"/>
      <c r="J71" s="82"/>
      <c r="K71" s="82"/>
      <c r="L71" s="2583"/>
      <c r="M71" s="2575"/>
      <c r="N71" s="308"/>
      <c r="O71" s="304"/>
      <c r="P71" s="1323">
        <f>O71*N71</f>
        <v>0</v>
      </c>
      <c r="Q71" s="3682"/>
      <c r="R71" s="975">
        <f>'Ab1. RMNCH+A'!Q132</f>
        <v>0</v>
      </c>
      <c r="S71" s="1324">
        <f>'Ab1. RMNCH+A'!R132</f>
        <v>0</v>
      </c>
    </row>
    <row r="72" spans="1:19" hidden="1" x14ac:dyDescent="0.2">
      <c r="A72" s="3903" t="s">
        <v>4934</v>
      </c>
      <c r="B72" s="3903"/>
      <c r="C72" s="3903"/>
      <c r="D72" s="3903"/>
      <c r="E72" s="1165"/>
      <c r="F72" s="1165"/>
      <c r="G72" s="340"/>
      <c r="H72" s="340"/>
      <c r="I72" s="340"/>
      <c r="J72" s="340"/>
      <c r="K72" s="340"/>
      <c r="L72" s="340"/>
      <c r="M72" s="340"/>
      <c r="N72" s="1313"/>
      <c r="O72" s="580"/>
      <c r="P72" s="1313"/>
      <c r="Q72" s="1313"/>
      <c r="R72" s="1144"/>
      <c r="S72" s="1126"/>
    </row>
    <row r="73" spans="1:19" ht="30" hidden="1" x14ac:dyDescent="0.2">
      <c r="A73" s="1316" t="s">
        <v>4358</v>
      </c>
      <c r="B73" s="1317" t="s">
        <v>1649</v>
      </c>
      <c r="C73" s="1318"/>
      <c r="D73" s="1317" t="s">
        <v>4909</v>
      </c>
      <c r="E73" s="1319"/>
      <c r="F73" s="1319"/>
      <c r="G73" s="361"/>
      <c r="H73" s="361"/>
      <c r="I73" s="1320"/>
      <c r="J73" s="1320"/>
      <c r="K73" s="1320"/>
      <c r="L73" s="361"/>
      <c r="M73" s="361"/>
      <c r="N73" s="1320"/>
      <c r="O73" s="361"/>
      <c r="P73" s="1320">
        <f>SUM(P74:P75)</f>
        <v>0</v>
      </c>
      <c r="Q73" s="1320"/>
      <c r="R73" s="1322"/>
      <c r="S73" s="1235">
        <f>SUM(S74:S75)</f>
        <v>0</v>
      </c>
    </row>
    <row r="74" spans="1:19" ht="45" hidden="1" x14ac:dyDescent="0.2">
      <c r="A74" s="1294">
        <v>1</v>
      </c>
      <c r="B74" s="1292" t="s">
        <v>4247</v>
      </c>
      <c r="C74" s="1337" t="s">
        <v>1647</v>
      </c>
      <c r="D74" s="1337" t="s">
        <v>1648</v>
      </c>
      <c r="E74" s="980" t="s">
        <v>4366</v>
      </c>
      <c r="F74" s="1250" t="s">
        <v>293</v>
      </c>
      <c r="G74" s="82"/>
      <c r="H74" s="82"/>
      <c r="I74" s="82"/>
      <c r="J74" s="82"/>
      <c r="K74" s="82"/>
      <c r="L74" s="362" t="s">
        <v>5951</v>
      </c>
      <c r="M74" s="304">
        <v>370000</v>
      </c>
      <c r="N74" s="308"/>
      <c r="O74" s="304"/>
      <c r="P74" s="1323"/>
      <c r="Q74" s="3723"/>
      <c r="R74" s="975">
        <f>'Abs8. IDSP'!Q9</f>
        <v>0</v>
      </c>
      <c r="S74" s="1333">
        <f>'Abs8. IDSP'!R9</f>
        <v>0</v>
      </c>
    </row>
    <row r="75" spans="1:19" ht="30" hidden="1" x14ac:dyDescent="0.2">
      <c r="A75" s="1294">
        <v>2</v>
      </c>
      <c r="B75" s="1292" t="s">
        <v>4248</v>
      </c>
      <c r="C75" s="510"/>
      <c r="D75" s="502" t="s">
        <v>1592</v>
      </c>
      <c r="E75" s="980" t="s">
        <v>4366</v>
      </c>
      <c r="F75" s="1250" t="s">
        <v>293</v>
      </c>
      <c r="G75" s="82"/>
      <c r="H75" s="82"/>
      <c r="I75" s="82"/>
      <c r="J75" s="82"/>
      <c r="K75" s="82"/>
      <c r="L75" s="363"/>
      <c r="M75" s="304"/>
      <c r="N75" s="308"/>
      <c r="O75" s="304"/>
      <c r="P75" s="1323">
        <f>O75*N75</f>
        <v>0</v>
      </c>
      <c r="Q75" s="727"/>
      <c r="R75" s="975">
        <f>'Abs8. IDSP'!Q10</f>
        <v>0</v>
      </c>
      <c r="S75" s="1333">
        <f>'Abs8. IDSP'!R10</f>
        <v>0</v>
      </c>
    </row>
    <row r="76" spans="1:19" ht="30" hidden="1" x14ac:dyDescent="0.2">
      <c r="A76" s="1316" t="s">
        <v>4359</v>
      </c>
      <c r="B76" s="1317" t="s">
        <v>1651</v>
      </c>
      <c r="C76" s="1318"/>
      <c r="D76" s="1317" t="s">
        <v>4910</v>
      </c>
      <c r="E76" s="1319"/>
      <c r="F76" s="1319"/>
      <c r="G76" s="361"/>
      <c r="H76" s="361"/>
      <c r="I76" s="1320"/>
      <c r="J76" s="1320"/>
      <c r="K76" s="1320"/>
      <c r="L76" s="361"/>
      <c r="M76" s="361"/>
      <c r="N76" s="1320"/>
      <c r="O76" s="361"/>
      <c r="P76" s="1320">
        <f>SUM(P77:P82)</f>
        <v>0</v>
      </c>
      <c r="Q76" s="1320"/>
      <c r="R76" s="1322"/>
      <c r="S76" s="1235">
        <f>SUM(S77:S82)</f>
        <v>0</v>
      </c>
    </row>
    <row r="77" spans="1:19" ht="30" hidden="1" x14ac:dyDescent="0.2">
      <c r="A77" s="1294">
        <v>1</v>
      </c>
      <c r="B77" s="1292" t="s">
        <v>4249</v>
      </c>
      <c r="C77" s="1337" t="s">
        <v>1650</v>
      </c>
      <c r="D77" s="1337" t="s">
        <v>4097</v>
      </c>
      <c r="E77" s="980" t="s">
        <v>4366</v>
      </c>
      <c r="F77" s="1250" t="s">
        <v>1549</v>
      </c>
      <c r="G77" s="82"/>
      <c r="H77" s="82"/>
      <c r="I77" s="82"/>
      <c r="J77" s="82"/>
      <c r="K77" s="82"/>
      <c r="L77" s="363"/>
      <c r="M77" s="304"/>
      <c r="N77" s="308"/>
      <c r="O77" s="304"/>
      <c r="P77" s="1323">
        <f t="shared" ref="P77:P82" si="2">O77*N77</f>
        <v>0</v>
      </c>
      <c r="Q77" s="726"/>
      <c r="R77" s="975">
        <f>'Abs9. NVBDCP'!Q37</f>
        <v>0</v>
      </c>
      <c r="S77" s="1333">
        <f>'Abs9. NVBDCP'!R37</f>
        <v>0</v>
      </c>
    </row>
    <row r="78" spans="1:19" hidden="1" x14ac:dyDescent="0.2">
      <c r="A78" s="1325">
        <v>2</v>
      </c>
      <c r="B78" s="1292" t="s">
        <v>4278</v>
      </c>
      <c r="C78" s="1337" t="s">
        <v>1680</v>
      </c>
      <c r="D78" s="1337" t="s">
        <v>1681</v>
      </c>
      <c r="E78" s="980" t="s">
        <v>4366</v>
      </c>
      <c r="F78" s="1250" t="s">
        <v>1682</v>
      </c>
      <c r="G78" s="2575"/>
      <c r="H78" s="2240"/>
      <c r="I78" s="2240"/>
      <c r="J78" s="2240"/>
      <c r="K78" s="2240"/>
      <c r="L78" s="2583"/>
      <c r="M78" s="2582"/>
      <c r="N78" s="308"/>
      <c r="O78" s="304"/>
      <c r="P78" s="1323">
        <f t="shared" si="2"/>
        <v>0</v>
      </c>
      <c r="Q78" s="3676"/>
      <c r="R78" s="975">
        <f>'Abs9. NVBDCP'!Q38</f>
        <v>0</v>
      </c>
      <c r="S78" s="1333">
        <f>'Abs9. NVBDCP'!R38</f>
        <v>0</v>
      </c>
    </row>
    <row r="79" spans="1:19" hidden="1" x14ac:dyDescent="0.2">
      <c r="A79" s="1294">
        <v>3</v>
      </c>
      <c r="B79" s="1292" t="s">
        <v>4279</v>
      </c>
      <c r="C79" s="1337" t="s">
        <v>1683</v>
      </c>
      <c r="D79" s="1337" t="s">
        <v>1684</v>
      </c>
      <c r="E79" s="980" t="s">
        <v>4366</v>
      </c>
      <c r="F79" s="1250" t="s">
        <v>1685</v>
      </c>
      <c r="G79" s="82"/>
      <c r="H79" s="82"/>
      <c r="I79" s="82"/>
      <c r="J79" s="82"/>
      <c r="K79" s="82"/>
      <c r="L79" s="363"/>
      <c r="M79" s="304"/>
      <c r="N79" s="308"/>
      <c r="O79" s="304"/>
      <c r="P79" s="1323">
        <f t="shared" si="2"/>
        <v>0</v>
      </c>
      <c r="Q79" s="727"/>
      <c r="R79" s="975">
        <f>'Abs9. NVBDCP'!Q39</f>
        <v>0</v>
      </c>
      <c r="S79" s="1333">
        <f>'Abs9. NVBDCP'!R39</f>
        <v>0</v>
      </c>
    </row>
    <row r="80" spans="1:19" ht="30" hidden="1" x14ac:dyDescent="0.2">
      <c r="A80" s="1294">
        <v>4</v>
      </c>
      <c r="B80" s="1292" t="s">
        <v>4280</v>
      </c>
      <c r="C80" s="1337" t="s">
        <v>1686</v>
      </c>
      <c r="D80" s="1337" t="s">
        <v>1687</v>
      </c>
      <c r="E80" s="980" t="s">
        <v>4366</v>
      </c>
      <c r="F80" s="1250" t="s">
        <v>1549</v>
      </c>
      <c r="G80" s="82"/>
      <c r="H80" s="82"/>
      <c r="I80" s="82"/>
      <c r="J80" s="82"/>
      <c r="K80" s="82"/>
      <c r="L80" s="363"/>
      <c r="M80" s="304"/>
      <c r="N80" s="308"/>
      <c r="O80" s="304"/>
      <c r="P80" s="1323">
        <f t="shared" si="2"/>
        <v>0</v>
      </c>
      <c r="Q80" s="727"/>
      <c r="R80" s="975">
        <f>'Abs9. NVBDCP'!Q40</f>
        <v>0</v>
      </c>
      <c r="S80" s="1333">
        <f>'Abs9. NVBDCP'!R40</f>
        <v>0</v>
      </c>
    </row>
    <row r="81" spans="1:19" ht="45" hidden="1" x14ac:dyDescent="0.2">
      <c r="A81" s="1325">
        <v>5</v>
      </c>
      <c r="B81" s="1292" t="s">
        <v>4281</v>
      </c>
      <c r="C81" s="1338"/>
      <c r="D81" s="1337" t="s">
        <v>3824</v>
      </c>
      <c r="E81" s="980" t="s">
        <v>4366</v>
      </c>
      <c r="F81" s="1250" t="s">
        <v>1315</v>
      </c>
      <c r="G81" s="82"/>
      <c r="H81" s="82"/>
      <c r="I81" s="82"/>
      <c r="J81" s="82"/>
      <c r="K81" s="82"/>
      <c r="L81" s="2583"/>
      <c r="M81" s="2575"/>
      <c r="N81" s="308"/>
      <c r="O81" s="304"/>
      <c r="P81" s="1323">
        <f t="shared" si="2"/>
        <v>0</v>
      </c>
      <c r="Q81" s="3682"/>
      <c r="R81" s="975">
        <f>'Abs9. NVBDCP'!Q41</f>
        <v>0</v>
      </c>
      <c r="S81" s="1333">
        <f>'Abs9. NVBDCP'!R41</f>
        <v>0</v>
      </c>
    </row>
    <row r="82" spans="1:19" ht="30" hidden="1" x14ac:dyDescent="0.2">
      <c r="A82" s="1294">
        <v>6</v>
      </c>
      <c r="B82" s="1292" t="s">
        <v>4923</v>
      </c>
      <c r="C82" s="510"/>
      <c r="D82" s="502" t="s">
        <v>1592</v>
      </c>
      <c r="E82" s="980" t="s">
        <v>4366</v>
      </c>
      <c r="F82" s="1250" t="s">
        <v>114</v>
      </c>
      <c r="G82" s="82"/>
      <c r="H82" s="82"/>
      <c r="I82" s="82"/>
      <c r="J82" s="82"/>
      <c r="K82" s="82"/>
      <c r="L82" s="2583"/>
      <c r="M82" s="2575"/>
      <c r="N82" s="308"/>
      <c r="O82" s="304"/>
      <c r="P82" s="1323">
        <f t="shared" si="2"/>
        <v>0</v>
      </c>
      <c r="Q82" s="3009"/>
      <c r="R82" s="975">
        <f>'Abs9. NVBDCP'!Q42</f>
        <v>0</v>
      </c>
      <c r="S82" s="1333">
        <f>'Abs9. NVBDCP'!R42</f>
        <v>0</v>
      </c>
    </row>
    <row r="83" spans="1:19" ht="30" hidden="1" x14ac:dyDescent="0.2">
      <c r="A83" s="1316" t="s">
        <v>4362</v>
      </c>
      <c r="B83" s="1317" t="s">
        <v>1652</v>
      </c>
      <c r="C83" s="1318"/>
      <c r="D83" s="1317" t="s">
        <v>4911</v>
      </c>
      <c r="E83" s="1319"/>
      <c r="F83" s="1319"/>
      <c r="G83" s="361"/>
      <c r="H83" s="361"/>
      <c r="I83" s="1320"/>
      <c r="J83" s="1320"/>
      <c r="K83" s="1320"/>
      <c r="L83" s="361"/>
      <c r="M83" s="361"/>
      <c r="N83" s="1320"/>
      <c r="O83" s="361"/>
      <c r="P83" s="1320">
        <f>SUM(P84:P87)</f>
        <v>0</v>
      </c>
      <c r="Q83" s="1320"/>
      <c r="R83" s="1322"/>
      <c r="S83" s="1235">
        <f>SUM(S84:S87)</f>
        <v>0</v>
      </c>
    </row>
    <row r="84" spans="1:19" hidden="1" x14ac:dyDescent="0.2">
      <c r="A84" s="1294">
        <v>1</v>
      </c>
      <c r="B84" s="1292" t="s">
        <v>4250</v>
      </c>
      <c r="C84" s="1295" t="s">
        <v>1553</v>
      </c>
      <c r="D84" s="1337" t="s">
        <v>1643</v>
      </c>
      <c r="E84" s="980" t="s">
        <v>4366</v>
      </c>
      <c r="F84" s="1250" t="s">
        <v>146</v>
      </c>
      <c r="G84" s="82"/>
      <c r="H84" s="82"/>
      <c r="I84" s="82"/>
      <c r="J84" s="82"/>
      <c r="K84" s="82"/>
      <c r="L84" s="2587"/>
      <c r="M84" s="2575"/>
      <c r="N84" s="308"/>
      <c r="O84" s="304"/>
      <c r="P84" s="1323">
        <f>O84*N84</f>
        <v>0</v>
      </c>
      <c r="Q84" s="3683"/>
      <c r="R84" s="975">
        <f>'Abs10. NLEP'!Q18</f>
        <v>0</v>
      </c>
      <c r="S84" s="1333">
        <f>'Abs10. NLEP'!R18</f>
        <v>0</v>
      </c>
    </row>
    <row r="85" spans="1:19" hidden="1" x14ac:dyDescent="0.2">
      <c r="A85" s="1294">
        <v>2</v>
      </c>
      <c r="B85" s="1292" t="s">
        <v>4282</v>
      </c>
      <c r="C85" s="1295" t="s">
        <v>1689</v>
      </c>
      <c r="D85" s="1337" t="s">
        <v>1690</v>
      </c>
      <c r="E85" s="980" t="s">
        <v>4366</v>
      </c>
      <c r="F85" s="1294" t="s">
        <v>146</v>
      </c>
      <c r="G85" s="2576"/>
      <c r="H85" s="2240"/>
      <c r="I85" s="2240"/>
      <c r="J85" s="2240"/>
      <c r="K85" s="2240"/>
      <c r="L85" s="2583"/>
      <c r="M85" s="2582"/>
      <c r="N85" s="308"/>
      <c r="O85" s="2576"/>
      <c r="P85" s="1339">
        <f>O85*N85</f>
        <v>0</v>
      </c>
      <c r="Q85" s="2581"/>
      <c r="R85" s="975">
        <f>'Abs10. NLEP'!Q19</f>
        <v>0</v>
      </c>
      <c r="S85" s="1333">
        <f>'Abs10. NLEP'!R19</f>
        <v>0</v>
      </c>
    </row>
    <row r="86" spans="1:19" hidden="1" x14ac:dyDescent="0.2">
      <c r="A86" s="1294">
        <v>3</v>
      </c>
      <c r="B86" s="1292" t="s">
        <v>4283</v>
      </c>
      <c r="C86" s="1295" t="s">
        <v>1691</v>
      </c>
      <c r="D86" s="1337" t="s">
        <v>1692</v>
      </c>
      <c r="E86" s="980" t="s">
        <v>4366</v>
      </c>
      <c r="F86" s="1250" t="s">
        <v>146</v>
      </c>
      <c r="G86" s="2576"/>
      <c r="H86" s="2240"/>
      <c r="I86" s="2240"/>
      <c r="J86" s="2240"/>
      <c r="K86" s="2240"/>
      <c r="L86" s="2583"/>
      <c r="M86" s="2582"/>
      <c r="N86" s="308"/>
      <c r="O86" s="2576"/>
      <c r="P86" s="1339">
        <f>O86*N86</f>
        <v>0</v>
      </c>
      <c r="Q86" s="2581"/>
      <c r="R86" s="975">
        <f>'Abs10. NLEP'!Q20</f>
        <v>0</v>
      </c>
      <c r="S86" s="1333">
        <f>'Abs10. NLEP'!R20</f>
        <v>0</v>
      </c>
    </row>
    <row r="87" spans="1:19" ht="30" hidden="1" x14ac:dyDescent="0.2">
      <c r="A87" s="1294">
        <v>4</v>
      </c>
      <c r="B87" s="1292" t="s">
        <v>4284</v>
      </c>
      <c r="C87" s="510"/>
      <c r="D87" s="502" t="s">
        <v>1592</v>
      </c>
      <c r="E87" s="980" t="s">
        <v>4366</v>
      </c>
      <c r="F87" s="1250" t="s">
        <v>146</v>
      </c>
      <c r="G87" s="2575"/>
      <c r="H87" s="2240"/>
      <c r="I87" s="2240"/>
      <c r="J87" s="2240"/>
      <c r="K87" s="2240"/>
      <c r="L87" s="2583"/>
      <c r="M87" s="2582"/>
      <c r="N87" s="308"/>
      <c r="O87" s="304"/>
      <c r="P87" s="1323">
        <f>O87*N87</f>
        <v>0</v>
      </c>
      <c r="Q87" s="2581"/>
      <c r="R87" s="975">
        <f>'Abs10. NLEP'!Q21</f>
        <v>0</v>
      </c>
      <c r="S87" s="1333">
        <f>'Abs10. NLEP'!R21</f>
        <v>0</v>
      </c>
    </row>
    <row r="88" spans="1:19" ht="30" hidden="1" x14ac:dyDescent="0.2">
      <c r="A88" s="1316" t="s">
        <v>4363</v>
      </c>
      <c r="B88" s="1317" t="s">
        <v>1654</v>
      </c>
      <c r="C88" s="1318"/>
      <c r="D88" s="1317" t="s">
        <v>4912</v>
      </c>
      <c r="E88" s="1319"/>
      <c r="F88" s="1319"/>
      <c r="G88" s="361"/>
      <c r="H88" s="361"/>
      <c r="I88" s="1320"/>
      <c r="J88" s="1320"/>
      <c r="K88" s="1320"/>
      <c r="L88" s="361"/>
      <c r="M88" s="361"/>
      <c r="N88" s="1320"/>
      <c r="O88" s="361"/>
      <c r="P88" s="1320">
        <f>P89</f>
        <v>0</v>
      </c>
      <c r="Q88" s="1320"/>
      <c r="R88" s="1322"/>
      <c r="S88" s="1235">
        <f>S89</f>
        <v>0</v>
      </c>
    </row>
    <row r="89" spans="1:19" hidden="1" x14ac:dyDescent="0.2">
      <c r="A89" s="1294">
        <v>1</v>
      </c>
      <c r="B89" s="1292" t="s">
        <v>4251</v>
      </c>
      <c r="C89" s="502" t="s">
        <v>1653</v>
      </c>
      <c r="D89" s="502" t="s">
        <v>1586</v>
      </c>
      <c r="E89" s="980" t="s">
        <v>4366</v>
      </c>
      <c r="F89" s="1250" t="s">
        <v>4683</v>
      </c>
      <c r="G89" s="2588"/>
      <c r="H89" s="2240"/>
      <c r="I89" s="2589"/>
      <c r="J89" s="2240"/>
      <c r="K89" s="2240"/>
      <c r="L89" s="2576"/>
      <c r="M89" s="2575"/>
      <c r="N89" s="308"/>
      <c r="O89" s="304"/>
      <c r="P89" s="1340">
        <f>O89*N89</f>
        <v>0</v>
      </c>
      <c r="Q89" s="3009"/>
      <c r="R89" s="975">
        <f>'Abs11. NTEP'!Q21</f>
        <v>0</v>
      </c>
      <c r="S89" s="1333">
        <f>'Abs11. NTEP'!R21</f>
        <v>0</v>
      </c>
    </row>
    <row r="90" spans="1:19" s="1278" customFormat="1" ht="30" hidden="1" x14ac:dyDescent="0.2">
      <c r="A90" s="1316" t="s">
        <v>4364</v>
      </c>
      <c r="B90" s="1317" t="s">
        <v>1654</v>
      </c>
      <c r="C90" s="1318"/>
      <c r="D90" s="1317" t="s">
        <v>4952</v>
      </c>
      <c r="E90" s="1319"/>
      <c r="F90" s="1319"/>
      <c r="G90" s="361"/>
      <c r="H90" s="361"/>
      <c r="I90" s="1320"/>
      <c r="J90" s="1320"/>
      <c r="K90" s="1320"/>
      <c r="L90" s="361"/>
      <c r="M90" s="361"/>
      <c r="N90" s="1320"/>
      <c r="O90" s="361"/>
      <c r="P90" s="1320">
        <f>P91</f>
        <v>0</v>
      </c>
      <c r="Q90" s="1320"/>
      <c r="R90" s="1322"/>
      <c r="S90" s="1235">
        <f>S91</f>
        <v>0</v>
      </c>
    </row>
    <row r="91" spans="1:19" ht="60" hidden="1" x14ac:dyDescent="0.2">
      <c r="A91" s="1325">
        <v>1</v>
      </c>
      <c r="B91" s="1291" t="s">
        <v>4290</v>
      </c>
      <c r="C91" s="510"/>
      <c r="D91" s="510" t="s">
        <v>4506</v>
      </c>
      <c r="E91" s="980" t="s">
        <v>4366</v>
      </c>
      <c r="F91" s="1325" t="s">
        <v>3993</v>
      </c>
      <c r="G91" s="375"/>
      <c r="H91" s="375"/>
      <c r="I91" s="375"/>
      <c r="J91" s="375"/>
      <c r="K91" s="375"/>
      <c r="L91" s="378"/>
      <c r="M91" s="304"/>
      <c r="N91" s="308"/>
      <c r="O91" s="304"/>
      <c r="P91" s="1327">
        <f>O91*N91</f>
        <v>0</v>
      </c>
      <c r="Q91" s="728"/>
      <c r="R91" s="975">
        <f>'Abs13. NRCP'!Q7</f>
        <v>0</v>
      </c>
      <c r="S91" s="1324">
        <f>'Abs13. NRCP'!R7</f>
        <v>0</v>
      </c>
    </row>
    <row r="92" spans="1:19" hidden="1" x14ac:dyDescent="0.2">
      <c r="A92" s="3903" t="s">
        <v>4935</v>
      </c>
      <c r="B92" s="3903"/>
      <c r="C92" s="3903"/>
      <c r="D92" s="3903"/>
      <c r="E92" s="1165"/>
      <c r="F92" s="1165"/>
      <c r="G92" s="340"/>
      <c r="H92" s="340"/>
      <c r="I92" s="340"/>
      <c r="J92" s="340"/>
      <c r="K92" s="340"/>
      <c r="L92" s="340"/>
      <c r="M92" s="340"/>
      <c r="N92" s="1313"/>
      <c r="O92" s="580"/>
      <c r="P92" s="1313"/>
      <c r="Q92" s="1313"/>
      <c r="R92" s="1144"/>
      <c r="S92" s="1126"/>
    </row>
    <row r="93" spans="1:19" ht="30" hidden="1" x14ac:dyDescent="0.2">
      <c r="A93" s="1316" t="s">
        <v>4358</v>
      </c>
      <c r="B93" s="1317" t="s">
        <v>1656</v>
      </c>
      <c r="C93" s="1318"/>
      <c r="D93" s="1317" t="s">
        <v>4913</v>
      </c>
      <c r="E93" s="1319"/>
      <c r="F93" s="1319"/>
      <c r="G93" s="361"/>
      <c r="H93" s="361"/>
      <c r="I93" s="1320"/>
      <c r="J93" s="1320"/>
      <c r="K93" s="1320"/>
      <c r="L93" s="361"/>
      <c r="M93" s="361"/>
      <c r="N93" s="1320"/>
      <c r="O93" s="361"/>
      <c r="P93" s="1320">
        <f>SUM(P94:P98)</f>
        <v>0</v>
      </c>
      <c r="Q93" s="1320"/>
      <c r="R93" s="1322"/>
      <c r="S93" s="1235">
        <f>SUM(S94:S98)</f>
        <v>0</v>
      </c>
    </row>
    <row r="94" spans="1:19" hidden="1" x14ac:dyDescent="0.2">
      <c r="A94" s="1294">
        <v>1</v>
      </c>
      <c r="B94" s="1292" t="s">
        <v>4252</v>
      </c>
      <c r="C94" s="409" t="s">
        <v>319</v>
      </c>
      <c r="D94" s="409" t="s">
        <v>320</v>
      </c>
      <c r="E94" s="889" t="s">
        <v>85</v>
      </c>
      <c r="F94" s="923" t="s">
        <v>86</v>
      </c>
      <c r="G94" s="2575"/>
      <c r="H94" s="2240"/>
      <c r="I94" s="2240"/>
      <c r="J94" s="2240"/>
      <c r="K94" s="2240"/>
      <c r="L94" s="2576"/>
      <c r="M94" s="2575"/>
      <c r="N94" s="308"/>
      <c r="O94" s="2575"/>
      <c r="P94" s="1323">
        <f>O94*N94</f>
        <v>0</v>
      </c>
      <c r="Q94" s="3009"/>
      <c r="R94" s="975">
        <f>'Abs15. NPCB'!Q14</f>
        <v>0</v>
      </c>
      <c r="S94" s="1333">
        <f>'Abs15. NPCB'!R14</f>
        <v>0</v>
      </c>
    </row>
    <row r="95" spans="1:19" ht="30" hidden="1" x14ac:dyDescent="0.2">
      <c r="A95" s="1294">
        <v>2</v>
      </c>
      <c r="B95" s="1292" t="s">
        <v>4253</v>
      </c>
      <c r="C95" s="409" t="s">
        <v>321</v>
      </c>
      <c r="D95" s="409" t="s">
        <v>322</v>
      </c>
      <c r="E95" s="889" t="s">
        <v>85</v>
      </c>
      <c r="F95" s="923" t="s">
        <v>86</v>
      </c>
      <c r="G95" s="2575"/>
      <c r="H95" s="2240"/>
      <c r="I95" s="2240"/>
      <c r="J95" s="2240"/>
      <c r="K95" s="2240"/>
      <c r="L95" s="2576"/>
      <c r="M95" s="2575"/>
      <c r="N95" s="308"/>
      <c r="O95" s="2575"/>
      <c r="P95" s="1323">
        <f>O95*N95</f>
        <v>0</v>
      </c>
      <c r="Q95" s="2581"/>
      <c r="R95" s="975">
        <f>'Abs15. NPCB'!Q15</f>
        <v>0</v>
      </c>
      <c r="S95" s="1333">
        <f>'Abs15. NPCB'!R15</f>
        <v>0</v>
      </c>
    </row>
    <row r="96" spans="1:19" ht="30" hidden="1" x14ac:dyDescent="0.2">
      <c r="A96" s="1294">
        <v>3</v>
      </c>
      <c r="B96" s="1292" t="s">
        <v>4254</v>
      </c>
      <c r="C96" s="409" t="s">
        <v>323</v>
      </c>
      <c r="D96" s="409" t="s">
        <v>4475</v>
      </c>
      <c r="E96" s="889" t="s">
        <v>85</v>
      </c>
      <c r="F96" s="923" t="s">
        <v>86</v>
      </c>
      <c r="G96" s="2575"/>
      <c r="H96" s="2240"/>
      <c r="I96" s="2240"/>
      <c r="J96" s="2240"/>
      <c r="K96" s="2590"/>
      <c r="L96" s="2576"/>
      <c r="M96" s="2575"/>
      <c r="N96" s="308"/>
      <c r="O96" s="2575"/>
      <c r="P96" s="1323">
        <f>O96*N96</f>
        <v>0</v>
      </c>
      <c r="Q96" s="2581"/>
      <c r="R96" s="975">
        <f>'Abs15. NPCB'!Q16</f>
        <v>0</v>
      </c>
      <c r="S96" s="1333">
        <f>'Abs15. NPCB'!R16</f>
        <v>0</v>
      </c>
    </row>
    <row r="97" spans="1:19" hidden="1" x14ac:dyDescent="0.2">
      <c r="A97" s="1294">
        <v>4</v>
      </c>
      <c r="B97" s="1292" t="s">
        <v>4255</v>
      </c>
      <c r="C97" s="409" t="s">
        <v>324</v>
      </c>
      <c r="D97" s="409" t="s">
        <v>4476</v>
      </c>
      <c r="E97" s="889" t="s">
        <v>85</v>
      </c>
      <c r="F97" s="923" t="s">
        <v>86</v>
      </c>
      <c r="G97" s="2575"/>
      <c r="H97" s="2240"/>
      <c r="I97" s="2240"/>
      <c r="J97" s="2240"/>
      <c r="K97" s="2590"/>
      <c r="L97" s="2576"/>
      <c r="M97" s="2575"/>
      <c r="N97" s="308"/>
      <c r="O97" s="2575"/>
      <c r="P97" s="1323">
        <f>O97*N97</f>
        <v>0</v>
      </c>
      <c r="Q97" s="2581"/>
      <c r="R97" s="975">
        <f>'Abs15. NPCB'!Q17</f>
        <v>0</v>
      </c>
      <c r="S97" s="1333">
        <f>'Abs15. NPCB'!R17</f>
        <v>0</v>
      </c>
    </row>
    <row r="98" spans="1:19" ht="30" hidden="1" x14ac:dyDescent="0.2">
      <c r="A98" s="1294">
        <v>5</v>
      </c>
      <c r="B98" s="1292" t="s">
        <v>4256</v>
      </c>
      <c r="C98" s="409" t="s">
        <v>325</v>
      </c>
      <c r="D98" s="409" t="s">
        <v>4477</v>
      </c>
      <c r="E98" s="889" t="s">
        <v>85</v>
      </c>
      <c r="F98" s="923" t="s">
        <v>86</v>
      </c>
      <c r="G98" s="2575"/>
      <c r="H98" s="2240"/>
      <c r="I98" s="2240"/>
      <c r="J98" s="2240"/>
      <c r="K98" s="2240"/>
      <c r="L98" s="2576"/>
      <c r="M98" s="2575"/>
      <c r="N98" s="308"/>
      <c r="O98" s="2575"/>
      <c r="P98" s="1323">
        <f>O98*N98</f>
        <v>0</v>
      </c>
      <c r="Q98" s="2581"/>
      <c r="R98" s="975">
        <f>'Abs15. NPCB'!Q18</f>
        <v>0</v>
      </c>
      <c r="S98" s="1333">
        <f>'Abs15. NPCB'!R18</f>
        <v>0</v>
      </c>
    </row>
    <row r="99" spans="1:19" ht="30" hidden="1" x14ac:dyDescent="0.2">
      <c r="A99" s="1316" t="s">
        <v>4359</v>
      </c>
      <c r="B99" s="1317" t="s">
        <v>1663</v>
      </c>
      <c r="C99" s="1318"/>
      <c r="D99" s="1317" t="s">
        <v>4918</v>
      </c>
      <c r="E99" s="1319"/>
      <c r="F99" s="1319"/>
      <c r="G99" s="361"/>
      <c r="H99" s="361"/>
      <c r="I99" s="1320"/>
      <c r="J99" s="1320"/>
      <c r="K99" s="1320"/>
      <c r="L99" s="361"/>
      <c r="M99" s="361"/>
      <c r="N99" s="1320"/>
      <c r="O99" s="361"/>
      <c r="P99" s="1320">
        <f>P100</f>
        <v>0</v>
      </c>
      <c r="Q99" s="1320"/>
      <c r="R99" s="1322"/>
      <c r="S99" s="1235">
        <f>S100</f>
        <v>0</v>
      </c>
    </row>
    <row r="100" spans="1:19" hidden="1" x14ac:dyDescent="0.2">
      <c r="A100" s="1294">
        <v>1</v>
      </c>
      <c r="B100" s="1292" t="s">
        <v>4257</v>
      </c>
      <c r="C100" s="1295" t="s">
        <v>1655</v>
      </c>
      <c r="D100" s="1337" t="s">
        <v>1643</v>
      </c>
      <c r="E100" s="889" t="s">
        <v>85</v>
      </c>
      <c r="F100" s="1250" t="s">
        <v>150</v>
      </c>
      <c r="G100" s="82"/>
      <c r="H100" s="82"/>
      <c r="I100" s="365"/>
      <c r="J100" s="365"/>
      <c r="K100" s="372"/>
      <c r="L100" s="363"/>
      <c r="M100" s="304"/>
      <c r="N100" s="308"/>
      <c r="O100" s="304"/>
      <c r="P100" s="1323">
        <f>O100*N100</f>
        <v>0</v>
      </c>
      <c r="Q100" s="1323"/>
      <c r="R100" s="975">
        <f>'Abs16. NMHP'!Q13</f>
        <v>0</v>
      </c>
      <c r="S100" s="1333">
        <f>'Abs16. NMHP'!R13</f>
        <v>0</v>
      </c>
    </row>
    <row r="101" spans="1:19" ht="30" hidden="1" x14ac:dyDescent="0.2">
      <c r="A101" s="1316" t="s">
        <v>4362</v>
      </c>
      <c r="B101" s="1317" t="s">
        <v>1668</v>
      </c>
      <c r="C101" s="1318" t="s">
        <v>1657</v>
      </c>
      <c r="D101" s="1317" t="s">
        <v>4919</v>
      </c>
      <c r="E101" s="1319"/>
      <c r="F101" s="1319"/>
      <c r="G101" s="361"/>
      <c r="H101" s="361"/>
      <c r="I101" s="1320"/>
      <c r="J101" s="1320"/>
      <c r="K101" s="1320"/>
      <c r="L101" s="361"/>
      <c r="M101" s="361"/>
      <c r="N101" s="1320"/>
      <c r="O101" s="361"/>
      <c r="P101" s="1320">
        <f>SUM(P102:P108)</f>
        <v>0</v>
      </c>
      <c r="Q101" s="1320"/>
      <c r="R101" s="1322"/>
      <c r="S101" s="1235">
        <f>SUM(S102:S108)</f>
        <v>0</v>
      </c>
    </row>
    <row r="102" spans="1:19" ht="45" hidden="1" x14ac:dyDescent="0.2">
      <c r="A102" s="1294">
        <v>1</v>
      </c>
      <c r="B102" s="1292" t="s">
        <v>4258</v>
      </c>
      <c r="C102" s="1337" t="s">
        <v>1658</v>
      </c>
      <c r="D102" s="1337" t="s">
        <v>4422</v>
      </c>
      <c r="E102" s="889" t="s">
        <v>85</v>
      </c>
      <c r="F102" s="1250" t="s">
        <v>399</v>
      </c>
      <c r="G102" s="82"/>
      <c r="H102" s="82"/>
      <c r="I102" s="82"/>
      <c r="J102" s="82"/>
      <c r="K102" s="82"/>
      <c r="L102" s="363"/>
      <c r="M102" s="304"/>
      <c r="N102" s="308"/>
      <c r="O102" s="304"/>
      <c r="P102" s="1323">
        <f t="shared" ref="P102:P108" si="3">O102*N102</f>
        <v>0</v>
      </c>
      <c r="Q102" s="1323"/>
      <c r="R102" s="975">
        <f>'Abs17. NPHCE'!Q11</f>
        <v>0</v>
      </c>
      <c r="S102" s="1333">
        <f>'Abs17. NPHCE'!R11</f>
        <v>0</v>
      </c>
    </row>
    <row r="103" spans="1:19" ht="30" hidden="1" x14ac:dyDescent="0.2">
      <c r="A103" s="1294">
        <v>2</v>
      </c>
      <c r="B103" s="1292" t="s">
        <v>4259</v>
      </c>
      <c r="C103" s="1295" t="s">
        <v>1659</v>
      </c>
      <c r="D103" s="1337" t="s">
        <v>4423</v>
      </c>
      <c r="E103" s="889" t="s">
        <v>85</v>
      </c>
      <c r="F103" s="1250" t="s">
        <v>399</v>
      </c>
      <c r="G103" s="82"/>
      <c r="H103" s="82"/>
      <c r="I103" s="82"/>
      <c r="J103" s="82"/>
      <c r="K103" s="82"/>
      <c r="L103" s="363"/>
      <c r="M103" s="304"/>
      <c r="N103" s="308"/>
      <c r="O103" s="304"/>
      <c r="P103" s="1323">
        <f t="shared" si="3"/>
        <v>0</v>
      </c>
      <c r="Q103" s="1323"/>
      <c r="R103" s="975">
        <f>'Abs17. NPHCE'!Q12</f>
        <v>0</v>
      </c>
      <c r="S103" s="1333">
        <f>'Abs17. NPHCE'!R12</f>
        <v>0</v>
      </c>
    </row>
    <row r="104" spans="1:19" ht="30" hidden="1" x14ac:dyDescent="0.2">
      <c r="A104" s="1294">
        <v>3</v>
      </c>
      <c r="B104" s="1292" t="s">
        <v>4260</v>
      </c>
      <c r="C104" s="1295" t="s">
        <v>1660</v>
      </c>
      <c r="D104" s="1337" t="s">
        <v>2846</v>
      </c>
      <c r="E104" s="889" t="s">
        <v>85</v>
      </c>
      <c r="F104" s="1250" t="s">
        <v>399</v>
      </c>
      <c r="G104" s="82"/>
      <c r="H104" s="82"/>
      <c r="I104" s="82"/>
      <c r="J104" s="82"/>
      <c r="K104" s="82"/>
      <c r="L104" s="363"/>
      <c r="M104" s="304"/>
      <c r="N104" s="308"/>
      <c r="O104" s="304"/>
      <c r="P104" s="1323">
        <f t="shared" si="3"/>
        <v>0</v>
      </c>
      <c r="Q104" s="1323"/>
      <c r="R104" s="975">
        <f>'Abs17. NPHCE'!Q13</f>
        <v>0</v>
      </c>
      <c r="S104" s="1333">
        <f>'Abs17. NPHCE'!R13</f>
        <v>0</v>
      </c>
    </row>
    <row r="105" spans="1:19" ht="30" hidden="1" x14ac:dyDescent="0.2">
      <c r="A105" s="1294">
        <v>4</v>
      </c>
      <c r="B105" s="1292" t="s">
        <v>4261</v>
      </c>
      <c r="C105" s="1292" t="s">
        <v>1661</v>
      </c>
      <c r="D105" s="1337" t="s">
        <v>2847</v>
      </c>
      <c r="E105" s="889" t="s">
        <v>85</v>
      </c>
      <c r="F105" s="1250" t="s">
        <v>399</v>
      </c>
      <c r="G105" s="82"/>
      <c r="H105" s="82"/>
      <c r="I105" s="82"/>
      <c r="J105" s="82"/>
      <c r="K105" s="82"/>
      <c r="L105" s="363"/>
      <c r="M105" s="304"/>
      <c r="N105" s="308"/>
      <c r="O105" s="304"/>
      <c r="P105" s="1323">
        <f t="shared" si="3"/>
        <v>0</v>
      </c>
      <c r="Q105" s="1323"/>
      <c r="R105" s="975">
        <f>'Abs17. NPHCE'!Q14</f>
        <v>0</v>
      </c>
      <c r="S105" s="1333">
        <f>'Abs17. NPHCE'!R14</f>
        <v>0</v>
      </c>
    </row>
    <row r="106" spans="1:19" ht="30" hidden="1" x14ac:dyDescent="0.2">
      <c r="A106" s="1294">
        <v>5</v>
      </c>
      <c r="B106" s="1292" t="s">
        <v>4262</v>
      </c>
      <c r="C106" s="1292" t="s">
        <v>1662</v>
      </c>
      <c r="D106" s="1337" t="s">
        <v>2848</v>
      </c>
      <c r="E106" s="889" t="s">
        <v>85</v>
      </c>
      <c r="F106" s="1250" t="s">
        <v>399</v>
      </c>
      <c r="G106" s="82"/>
      <c r="H106" s="82"/>
      <c r="I106" s="82"/>
      <c r="J106" s="82"/>
      <c r="K106" s="82"/>
      <c r="L106" s="363"/>
      <c r="M106" s="304"/>
      <c r="N106" s="308"/>
      <c r="O106" s="304"/>
      <c r="P106" s="1323">
        <f t="shared" si="3"/>
        <v>0</v>
      </c>
      <c r="Q106" s="1323"/>
      <c r="R106" s="975">
        <f>'Abs17. NPHCE'!Q15</f>
        <v>0</v>
      </c>
      <c r="S106" s="1333">
        <f>'Abs17. NPHCE'!R15</f>
        <v>0</v>
      </c>
    </row>
    <row r="107" spans="1:19" ht="45" hidden="1" x14ac:dyDescent="0.2">
      <c r="A107" s="1294">
        <v>6</v>
      </c>
      <c r="B107" s="1292" t="s">
        <v>4285</v>
      </c>
      <c r="C107" s="1295" t="s">
        <v>398</v>
      </c>
      <c r="D107" s="1293" t="s">
        <v>1694</v>
      </c>
      <c r="E107" s="889" t="s">
        <v>85</v>
      </c>
      <c r="F107" s="1250" t="s">
        <v>399</v>
      </c>
      <c r="G107" s="363"/>
      <c r="H107" s="363"/>
      <c r="I107" s="363"/>
      <c r="J107" s="363"/>
      <c r="K107" s="363"/>
      <c r="L107" s="363"/>
      <c r="M107" s="304"/>
      <c r="N107" s="308"/>
      <c r="O107" s="304"/>
      <c r="P107" s="1323">
        <f t="shared" si="3"/>
        <v>0</v>
      </c>
      <c r="Q107" s="1323"/>
      <c r="R107" s="975">
        <f>'Abs17. NPHCE'!Q16</f>
        <v>0</v>
      </c>
      <c r="S107" s="1333">
        <f>'Abs17. NPHCE'!R16</f>
        <v>0</v>
      </c>
    </row>
    <row r="108" spans="1:19" ht="30" hidden="1" x14ac:dyDescent="0.2">
      <c r="A108" s="1294">
        <v>7</v>
      </c>
      <c r="B108" s="568" t="s">
        <v>4286</v>
      </c>
      <c r="C108" s="568"/>
      <c r="D108" s="568" t="s">
        <v>1592</v>
      </c>
      <c r="E108" s="889" t="s">
        <v>85</v>
      </c>
      <c r="F108" s="1341" t="s">
        <v>399</v>
      </c>
      <c r="G108" s="375"/>
      <c r="H108" s="375"/>
      <c r="I108" s="375"/>
      <c r="J108" s="375"/>
      <c r="K108" s="375"/>
      <c r="L108" s="376"/>
      <c r="M108" s="304"/>
      <c r="N108" s="308"/>
      <c r="O108" s="304"/>
      <c r="P108" s="1323">
        <f t="shared" si="3"/>
        <v>0</v>
      </c>
      <c r="Q108" s="1323"/>
      <c r="R108" s="975">
        <f>'Abs17. NPHCE'!Q17</f>
        <v>0</v>
      </c>
      <c r="S108" s="1333">
        <f>'Abs17. NPHCE'!R17</f>
        <v>0</v>
      </c>
    </row>
    <row r="109" spans="1:19" ht="30" hidden="1" x14ac:dyDescent="0.2">
      <c r="A109" s="1316" t="s">
        <v>4363</v>
      </c>
      <c r="B109" s="1317" t="s">
        <v>1676</v>
      </c>
      <c r="C109" s="1318"/>
      <c r="D109" s="1317" t="s">
        <v>4920</v>
      </c>
      <c r="E109" s="1319"/>
      <c r="F109" s="1319"/>
      <c r="G109" s="361"/>
      <c r="H109" s="361"/>
      <c r="I109" s="1320"/>
      <c r="J109" s="1320"/>
      <c r="K109" s="1320"/>
      <c r="L109" s="361"/>
      <c r="M109" s="361"/>
      <c r="N109" s="1320"/>
      <c r="O109" s="361"/>
      <c r="P109" s="1320">
        <f>SUM(P110:P112)</f>
        <v>0</v>
      </c>
      <c r="Q109" s="1320"/>
      <c r="R109" s="1322"/>
      <c r="S109" s="1235">
        <f>SUM(S110:S112)</f>
        <v>0</v>
      </c>
    </row>
    <row r="110" spans="1:19" hidden="1" x14ac:dyDescent="0.2">
      <c r="A110" s="1294">
        <v>1</v>
      </c>
      <c r="B110" s="1292" t="s">
        <v>4263</v>
      </c>
      <c r="C110" s="1292" t="s">
        <v>1664</v>
      </c>
      <c r="D110" s="1292" t="s">
        <v>1665</v>
      </c>
      <c r="E110" s="889" t="s">
        <v>85</v>
      </c>
      <c r="F110" s="1250" t="s">
        <v>152</v>
      </c>
      <c r="G110" s="82"/>
      <c r="H110" s="82"/>
      <c r="I110" s="82"/>
      <c r="J110" s="82"/>
      <c r="K110" s="82"/>
      <c r="L110" s="2576"/>
      <c r="M110" s="2575"/>
      <c r="N110" s="308"/>
      <c r="O110" s="304"/>
      <c r="P110" s="1323">
        <f>O110*N110</f>
        <v>0</v>
      </c>
      <c r="Q110" s="1323"/>
      <c r="R110" s="975">
        <f>'Abs18. NTCP'!Q12</f>
        <v>0</v>
      </c>
      <c r="S110" s="1333">
        <f>'Abs18. NTCP'!R12</f>
        <v>0</v>
      </c>
    </row>
    <row r="111" spans="1:19" hidden="1" x14ac:dyDescent="0.2">
      <c r="A111" s="1294">
        <v>2</v>
      </c>
      <c r="B111" s="1292" t="s">
        <v>4264</v>
      </c>
      <c r="C111" s="1295" t="s">
        <v>1666</v>
      </c>
      <c r="D111" s="1292" t="s">
        <v>1667</v>
      </c>
      <c r="E111" s="889" t="s">
        <v>85</v>
      </c>
      <c r="F111" s="1250" t="s">
        <v>152</v>
      </c>
      <c r="G111" s="82"/>
      <c r="H111" s="82"/>
      <c r="I111" s="82"/>
      <c r="J111" s="82"/>
      <c r="K111" s="82"/>
      <c r="L111" s="2576"/>
      <c r="M111" s="2575"/>
      <c r="N111" s="308"/>
      <c r="O111" s="304"/>
      <c r="P111" s="1323">
        <f>O111*N111</f>
        <v>0</v>
      </c>
      <c r="Q111" s="1323"/>
      <c r="R111" s="975">
        <f>'Abs18. NTCP'!Q13</f>
        <v>0</v>
      </c>
      <c r="S111" s="1333">
        <f>'Abs18. NTCP'!R13</f>
        <v>0</v>
      </c>
    </row>
    <row r="112" spans="1:19" ht="30" hidden="1" x14ac:dyDescent="0.2">
      <c r="A112" s="1294">
        <v>3</v>
      </c>
      <c r="B112" s="1292" t="s">
        <v>4265</v>
      </c>
      <c r="C112" s="510"/>
      <c r="D112" s="502" t="s">
        <v>1592</v>
      </c>
      <c r="E112" s="889" t="s">
        <v>85</v>
      </c>
      <c r="F112" s="1250" t="s">
        <v>152</v>
      </c>
      <c r="G112" s="82"/>
      <c r="H112" s="82"/>
      <c r="I112" s="82"/>
      <c r="J112" s="82"/>
      <c r="K112" s="82"/>
      <c r="L112" s="363"/>
      <c r="M112" s="304"/>
      <c r="N112" s="308"/>
      <c r="O112" s="304"/>
      <c r="P112" s="1323">
        <f>O112*N112</f>
        <v>0</v>
      </c>
      <c r="Q112" s="1323"/>
      <c r="R112" s="975">
        <f>'Abs18. NTCP'!Q14</f>
        <v>0</v>
      </c>
      <c r="S112" s="1333">
        <f>'Abs18. NTCP'!R14</f>
        <v>0</v>
      </c>
    </row>
    <row r="113" spans="1:22" ht="30" hidden="1" x14ac:dyDescent="0.2">
      <c r="A113" s="1316" t="s">
        <v>4364</v>
      </c>
      <c r="B113" s="1317" t="s">
        <v>2387</v>
      </c>
      <c r="C113" s="1318"/>
      <c r="D113" s="1317" t="s">
        <v>4921</v>
      </c>
      <c r="E113" s="1319"/>
      <c r="F113" s="1319"/>
      <c r="G113" s="361"/>
      <c r="H113" s="361"/>
      <c r="I113" s="1320"/>
      <c r="J113" s="1320"/>
      <c r="K113" s="1320"/>
      <c r="L113" s="361"/>
      <c r="M113" s="361"/>
      <c r="N113" s="1320"/>
      <c r="O113" s="361"/>
      <c r="P113" s="1320">
        <f>SUM(P114:P119)</f>
        <v>0</v>
      </c>
      <c r="Q113" s="1320"/>
      <c r="R113" s="1322"/>
      <c r="S113" s="1235">
        <f>SUM(S114:S119)</f>
        <v>0</v>
      </c>
    </row>
    <row r="114" spans="1:22" ht="30" hidden="1" x14ac:dyDescent="0.2">
      <c r="A114" s="1294">
        <v>1</v>
      </c>
      <c r="B114" s="1292" t="s">
        <v>4266</v>
      </c>
      <c r="C114" s="1295" t="s">
        <v>1669</v>
      </c>
      <c r="D114" s="1337" t="s">
        <v>1670</v>
      </c>
      <c r="E114" s="889" t="s">
        <v>85</v>
      </c>
      <c r="F114" s="1250" t="s">
        <v>415</v>
      </c>
      <c r="G114" s="82"/>
      <c r="H114" s="82"/>
      <c r="I114" s="82"/>
      <c r="J114" s="82"/>
      <c r="K114" s="82"/>
      <c r="L114" s="358"/>
      <c r="M114" s="304"/>
      <c r="N114" s="308"/>
      <c r="O114" s="304"/>
      <c r="P114" s="1323">
        <f t="shared" ref="P114:P119" si="4">O114*N114</f>
        <v>0</v>
      </c>
      <c r="Q114" s="1323"/>
      <c r="R114" s="975">
        <f>'Abs19. NPCDCS'!Q18</f>
        <v>0</v>
      </c>
      <c r="S114" s="1333">
        <f>'Abs19. NPCDCS'!R18</f>
        <v>0</v>
      </c>
    </row>
    <row r="115" spans="1:22" ht="30" hidden="1" x14ac:dyDescent="0.2">
      <c r="A115" s="1294">
        <v>2</v>
      </c>
      <c r="B115" s="1292" t="s">
        <v>4267</v>
      </c>
      <c r="C115" s="1295" t="s">
        <v>1671</v>
      </c>
      <c r="D115" s="1337" t="s">
        <v>2849</v>
      </c>
      <c r="E115" s="889" t="s">
        <v>85</v>
      </c>
      <c r="F115" s="1250" t="s">
        <v>415</v>
      </c>
      <c r="G115" s="82"/>
      <c r="H115" s="82"/>
      <c r="I115" s="82"/>
      <c r="J115" s="82"/>
      <c r="K115" s="82"/>
      <c r="L115" s="369"/>
      <c r="M115" s="304"/>
      <c r="N115" s="308"/>
      <c r="O115" s="304"/>
      <c r="P115" s="1323">
        <f t="shared" si="4"/>
        <v>0</v>
      </c>
      <c r="Q115" s="1323"/>
      <c r="R115" s="975">
        <f>'Abs19. NPCDCS'!Q19</f>
        <v>0</v>
      </c>
      <c r="S115" s="1333">
        <f>'Abs19. NPCDCS'!R19</f>
        <v>0</v>
      </c>
    </row>
    <row r="116" spans="1:22" ht="30" hidden="1" x14ac:dyDescent="0.2">
      <c r="A116" s="1294">
        <v>3</v>
      </c>
      <c r="B116" s="1292" t="s">
        <v>4268</v>
      </c>
      <c r="C116" s="1295" t="s">
        <v>1672</v>
      </c>
      <c r="D116" s="1337" t="s">
        <v>1673</v>
      </c>
      <c r="E116" s="889" t="s">
        <v>85</v>
      </c>
      <c r="F116" s="1250" t="s">
        <v>415</v>
      </c>
      <c r="G116" s="2575"/>
      <c r="H116" s="2240"/>
      <c r="I116" s="2240"/>
      <c r="J116" s="2240"/>
      <c r="K116" s="2240"/>
      <c r="L116" s="2587"/>
      <c r="M116" s="2587"/>
      <c r="N116" s="308"/>
      <c r="O116" s="304"/>
      <c r="P116" s="1323">
        <f t="shared" si="4"/>
        <v>0</v>
      </c>
      <c r="Q116" s="1323"/>
      <c r="R116" s="975">
        <f>'Abs19. NPCDCS'!Q20</f>
        <v>0</v>
      </c>
      <c r="S116" s="1333">
        <f>'Abs19. NPCDCS'!R20</f>
        <v>0</v>
      </c>
    </row>
    <row r="117" spans="1:22" ht="30" hidden="1" x14ac:dyDescent="0.2">
      <c r="A117" s="1294">
        <v>4</v>
      </c>
      <c r="B117" s="1292" t="s">
        <v>4269</v>
      </c>
      <c r="C117" s="1295" t="s">
        <v>1674</v>
      </c>
      <c r="D117" s="1337" t="s">
        <v>1675</v>
      </c>
      <c r="E117" s="889" t="s">
        <v>85</v>
      </c>
      <c r="F117" s="1250" t="s">
        <v>415</v>
      </c>
      <c r="G117" s="82"/>
      <c r="H117" s="82"/>
      <c r="I117" s="82"/>
      <c r="J117" s="82"/>
      <c r="K117" s="82"/>
      <c r="L117" s="2587"/>
      <c r="M117" s="304"/>
      <c r="N117" s="308"/>
      <c r="O117" s="304"/>
      <c r="P117" s="1323">
        <f t="shared" si="4"/>
        <v>0</v>
      </c>
      <c r="Q117" s="1323"/>
      <c r="R117" s="975">
        <f>'Abs19. NPCDCS'!Q21</f>
        <v>0</v>
      </c>
      <c r="S117" s="1333">
        <f>'Abs19. NPCDCS'!R21</f>
        <v>0</v>
      </c>
    </row>
    <row r="118" spans="1:22" ht="55.5" hidden="1" customHeight="1" x14ac:dyDescent="0.2">
      <c r="A118" s="1294">
        <v>5</v>
      </c>
      <c r="B118" s="1292" t="s">
        <v>4289</v>
      </c>
      <c r="C118" s="502" t="s">
        <v>2852</v>
      </c>
      <c r="D118" s="502" t="s">
        <v>2539</v>
      </c>
      <c r="E118" s="889" t="s">
        <v>85</v>
      </c>
      <c r="F118" s="1294" t="s">
        <v>415</v>
      </c>
      <c r="G118" s="2593"/>
      <c r="H118" s="2240"/>
      <c r="I118" s="2240"/>
      <c r="J118" s="2240"/>
      <c r="K118" s="2240"/>
      <c r="L118" s="2583"/>
      <c r="M118" s="2582"/>
      <c r="N118" s="308"/>
      <c r="O118" s="304"/>
      <c r="P118" s="1323">
        <f t="shared" si="4"/>
        <v>0</v>
      </c>
      <c r="Q118" s="1323"/>
      <c r="R118" s="975">
        <f>'Abs19. NPCDCS'!Q23</f>
        <v>0</v>
      </c>
      <c r="S118" s="1333">
        <f>'Abs19. NPCDCS'!R23</f>
        <v>0</v>
      </c>
    </row>
    <row r="119" spans="1:22" ht="38.1" hidden="1" customHeight="1" x14ac:dyDescent="0.2">
      <c r="A119" s="1294">
        <v>6</v>
      </c>
      <c r="B119" s="1292" t="s">
        <v>4270</v>
      </c>
      <c r="C119" s="1342"/>
      <c r="D119" s="502" t="s">
        <v>1592</v>
      </c>
      <c r="E119" s="889" t="s">
        <v>85</v>
      </c>
      <c r="F119" s="1250" t="s">
        <v>415</v>
      </c>
      <c r="G119" s="82"/>
      <c r="H119" s="82"/>
      <c r="I119" s="82"/>
      <c r="J119" s="82"/>
      <c r="K119" s="82"/>
      <c r="L119" s="358"/>
      <c r="M119" s="2852"/>
      <c r="N119" s="308"/>
      <c r="O119" s="304"/>
      <c r="P119" s="1323">
        <f t="shared" si="4"/>
        <v>0</v>
      </c>
      <c r="Q119" s="1323"/>
      <c r="R119" s="975"/>
      <c r="S119" s="1333"/>
    </row>
    <row r="120" spans="1:22" ht="45" hidden="1" x14ac:dyDescent="0.2">
      <c r="A120" s="1316" t="s">
        <v>4673</v>
      </c>
      <c r="B120" s="1317" t="s">
        <v>2570</v>
      </c>
      <c r="C120" s="1318" t="s">
        <v>1338</v>
      </c>
      <c r="D120" s="1317" t="s">
        <v>4922</v>
      </c>
      <c r="E120" s="1319"/>
      <c r="F120" s="1319"/>
      <c r="G120" s="361"/>
      <c r="H120" s="361"/>
      <c r="I120" s="1320"/>
      <c r="J120" s="1320"/>
      <c r="K120" s="1320"/>
      <c r="L120" s="361"/>
      <c r="M120" s="361"/>
      <c r="N120" s="1320"/>
      <c r="O120" s="361"/>
      <c r="P120" s="1320">
        <f>SUM(P121:P122)</f>
        <v>0</v>
      </c>
      <c r="Q120" s="1320"/>
      <c r="R120" s="1322"/>
      <c r="S120" s="1235">
        <f>SUM(S121:S122)</f>
        <v>0</v>
      </c>
    </row>
    <row r="121" spans="1:22" ht="186" hidden="1" customHeight="1" x14ac:dyDescent="0.2">
      <c r="A121" s="1294">
        <v>1</v>
      </c>
      <c r="B121" s="1292" t="s">
        <v>4271</v>
      </c>
      <c r="C121" s="1291"/>
      <c r="D121" s="1293" t="s">
        <v>4389</v>
      </c>
      <c r="E121" s="889" t="s">
        <v>85</v>
      </c>
      <c r="F121" s="1343" t="s">
        <v>4925</v>
      </c>
      <c r="G121" s="2575"/>
      <c r="H121" s="2240"/>
      <c r="I121" s="2240"/>
      <c r="J121" s="2259"/>
      <c r="K121" s="2240"/>
      <c r="L121" s="2576"/>
      <c r="M121" s="2575"/>
      <c r="N121" s="308"/>
      <c r="O121" s="2575"/>
      <c r="P121" s="1323">
        <f>O121*N121</f>
        <v>0</v>
      </c>
      <c r="Q121" s="1323"/>
      <c r="R121" s="975">
        <f>'Abs20. PMNDP'!Q11</f>
        <v>0</v>
      </c>
      <c r="S121" s="1333">
        <f>'Abs20. PMNDP'!R11</f>
        <v>0</v>
      </c>
    </row>
    <row r="122" spans="1:22" ht="237.6" hidden="1" customHeight="1" x14ac:dyDescent="0.2">
      <c r="A122" s="1325">
        <v>2</v>
      </c>
      <c r="B122" s="1292" t="s">
        <v>4272</v>
      </c>
      <c r="C122" s="510"/>
      <c r="D122" s="502" t="s">
        <v>1592</v>
      </c>
      <c r="E122" s="889" t="s">
        <v>85</v>
      </c>
      <c r="F122" s="1343" t="s">
        <v>4925</v>
      </c>
      <c r="G122" s="2575"/>
      <c r="H122" s="2240"/>
      <c r="I122" s="2240"/>
      <c r="J122" s="2240"/>
      <c r="K122" s="2240"/>
      <c r="L122" s="2576"/>
      <c r="M122" s="2591"/>
      <c r="N122" s="308"/>
      <c r="O122" s="2575"/>
      <c r="P122" s="1323">
        <f>O122*N122</f>
        <v>0</v>
      </c>
      <c r="Q122" s="1323"/>
      <c r="R122" s="975">
        <f>'Abs20. PMNDP'!Q12</f>
        <v>0</v>
      </c>
      <c r="S122" s="1333">
        <f>'Abs20. PMNDP'!R12</f>
        <v>0</v>
      </c>
      <c r="V122" s="3664"/>
    </row>
    <row r="123" spans="1:22" ht="30" hidden="1" x14ac:dyDescent="0.2">
      <c r="A123" s="1316" t="s">
        <v>4674</v>
      </c>
      <c r="B123" s="1317" t="s">
        <v>1640</v>
      </c>
      <c r="C123" s="1318" t="s">
        <v>1639</v>
      </c>
      <c r="D123" s="1317" t="s">
        <v>4914</v>
      </c>
      <c r="E123" s="1319"/>
      <c r="F123" s="1319"/>
      <c r="G123" s="361"/>
      <c r="H123" s="361"/>
      <c r="I123" s="1320"/>
      <c r="J123" s="1320"/>
      <c r="K123" s="1320"/>
      <c r="L123" s="361"/>
      <c r="M123" s="361"/>
      <c r="N123" s="1320"/>
      <c r="O123" s="361"/>
      <c r="P123" s="1320">
        <f>SUM(P124:P125)</f>
        <v>0</v>
      </c>
      <c r="Q123" s="1320"/>
      <c r="R123" s="1322"/>
      <c r="S123" s="1235">
        <f>SUM(S124:S125)</f>
        <v>0</v>
      </c>
    </row>
    <row r="124" spans="1:22" hidden="1" x14ac:dyDescent="0.2">
      <c r="A124" s="1294">
        <v>1</v>
      </c>
      <c r="B124" s="1292" t="s">
        <v>4239</v>
      </c>
      <c r="C124" s="510"/>
      <c r="D124" s="1344" t="s">
        <v>5596</v>
      </c>
      <c r="E124" s="889" t="s">
        <v>85</v>
      </c>
      <c r="F124" s="1250" t="s">
        <v>1020</v>
      </c>
      <c r="G124" s="2575"/>
      <c r="H124" s="2240"/>
      <c r="I124" s="2240"/>
      <c r="J124" s="2240"/>
      <c r="K124" s="2240"/>
      <c r="L124" s="2576"/>
      <c r="M124" s="2575"/>
      <c r="N124" s="308"/>
      <c r="O124" s="304"/>
      <c r="P124" s="1323">
        <f>O124*N124</f>
        <v>0</v>
      </c>
      <c r="Q124" s="1323"/>
      <c r="R124" s="975">
        <f>'Abs22. NPPCD'!Q7</f>
        <v>0</v>
      </c>
      <c r="S124" s="1333">
        <f>'Abs22. NPPCD'!R7</f>
        <v>0</v>
      </c>
    </row>
    <row r="125" spans="1:22" ht="30" hidden="1" x14ac:dyDescent="0.2">
      <c r="A125" s="1294">
        <v>2</v>
      </c>
      <c r="B125" s="1292" t="s">
        <v>4240</v>
      </c>
      <c r="C125" s="510"/>
      <c r="D125" s="502" t="s">
        <v>1592</v>
      </c>
      <c r="E125" s="889" t="s">
        <v>85</v>
      </c>
      <c r="F125" s="1250" t="s">
        <v>1020</v>
      </c>
      <c r="G125" s="2575"/>
      <c r="H125" s="2240"/>
      <c r="I125" s="2240"/>
      <c r="J125" s="2240"/>
      <c r="K125" s="2240"/>
      <c r="L125" s="2576"/>
      <c r="M125" s="2575"/>
      <c r="N125" s="308"/>
      <c r="O125" s="304"/>
      <c r="P125" s="1323">
        <f>O125*N125</f>
        <v>0</v>
      </c>
      <c r="Q125" s="1323"/>
      <c r="R125" s="975">
        <f>'Abs22. NPPCD'!Q8</f>
        <v>0</v>
      </c>
      <c r="S125" s="1333">
        <f>'Abs22. NPPCD'!R8</f>
        <v>0</v>
      </c>
    </row>
    <row r="126" spans="1:22" ht="30" hidden="1" x14ac:dyDescent="0.2">
      <c r="A126" s="1316" t="s">
        <v>4675</v>
      </c>
      <c r="B126" s="1317" t="s">
        <v>1642</v>
      </c>
      <c r="C126" s="1318"/>
      <c r="D126" s="1317" t="s">
        <v>4915</v>
      </c>
      <c r="E126" s="1319"/>
      <c r="F126" s="1319"/>
      <c r="G126" s="361"/>
      <c r="H126" s="361"/>
      <c r="I126" s="1320"/>
      <c r="J126" s="1320"/>
      <c r="K126" s="1320"/>
      <c r="L126" s="361"/>
      <c r="M126" s="361"/>
      <c r="N126" s="1320"/>
      <c r="O126" s="361"/>
      <c r="P126" s="1320">
        <f>SUM(P127:P128)</f>
        <v>0</v>
      </c>
      <c r="Q126" s="1320"/>
      <c r="R126" s="1322"/>
      <c r="S126" s="1235">
        <f>SUM(S127:S128)</f>
        <v>0</v>
      </c>
    </row>
    <row r="127" spans="1:22" hidden="1" x14ac:dyDescent="0.2">
      <c r="A127" s="1294">
        <v>1</v>
      </c>
      <c r="B127" s="1292" t="s">
        <v>4241</v>
      </c>
      <c r="C127" s="502" t="s">
        <v>310</v>
      </c>
      <c r="D127" s="502" t="s">
        <v>1641</v>
      </c>
      <c r="E127" s="889" t="s">
        <v>85</v>
      </c>
      <c r="F127" s="1250" t="s">
        <v>312</v>
      </c>
      <c r="G127" s="82"/>
      <c r="H127" s="82"/>
      <c r="I127" s="82"/>
      <c r="J127" s="82"/>
      <c r="K127" s="82"/>
      <c r="L127" s="197"/>
      <c r="M127" s="304"/>
      <c r="N127" s="308"/>
      <c r="O127" s="304"/>
      <c r="P127" s="1323">
        <f>O127*N127</f>
        <v>0</v>
      </c>
      <c r="Q127" s="1323"/>
      <c r="R127" s="975">
        <f>'Abs24. NOHP'!Q9</f>
        <v>0</v>
      </c>
      <c r="S127" s="1333">
        <f>'Abs24. NOHP'!R9</f>
        <v>0</v>
      </c>
    </row>
    <row r="128" spans="1:22" ht="30" hidden="1" x14ac:dyDescent="0.2">
      <c r="A128" s="1294">
        <v>2</v>
      </c>
      <c r="B128" s="1292" t="s">
        <v>4242</v>
      </c>
      <c r="C128" s="510"/>
      <c r="D128" s="502" t="s">
        <v>1592</v>
      </c>
      <c r="E128" s="889" t="s">
        <v>85</v>
      </c>
      <c r="F128" s="1250" t="s">
        <v>312</v>
      </c>
      <c r="G128" s="82"/>
      <c r="H128" s="82"/>
      <c r="I128" s="82"/>
      <c r="J128" s="82"/>
      <c r="K128" s="82"/>
      <c r="L128" s="363"/>
      <c r="M128" s="304"/>
      <c r="N128" s="308"/>
      <c r="O128" s="304"/>
      <c r="P128" s="1323">
        <f>O128*N128</f>
        <v>0</v>
      </c>
      <c r="Q128" s="1323"/>
      <c r="R128" s="975">
        <f>'Abs24. NOHP'!Q10</f>
        <v>0</v>
      </c>
      <c r="S128" s="1333">
        <f>'Abs24. NOHP'!R10</f>
        <v>0</v>
      </c>
    </row>
    <row r="129" spans="1:19" ht="30" hidden="1" x14ac:dyDescent="0.2">
      <c r="A129" s="1316" t="s">
        <v>4784</v>
      </c>
      <c r="B129" s="1317" t="s">
        <v>1644</v>
      </c>
      <c r="C129" s="1318"/>
      <c r="D129" s="1317" t="s">
        <v>4916</v>
      </c>
      <c r="E129" s="1319"/>
      <c r="F129" s="1319"/>
      <c r="G129" s="361"/>
      <c r="H129" s="361"/>
      <c r="I129" s="1320"/>
      <c r="J129" s="1320"/>
      <c r="K129" s="1320"/>
      <c r="L129" s="361"/>
      <c r="M129" s="361"/>
      <c r="N129" s="1320"/>
      <c r="O129" s="361"/>
      <c r="P129" s="1320">
        <f>P130+P131</f>
        <v>0</v>
      </c>
      <c r="Q129" s="1320"/>
      <c r="R129" s="1322"/>
      <c r="S129" s="1235">
        <f>S130+S131</f>
        <v>0</v>
      </c>
    </row>
    <row r="130" spans="1:19" hidden="1" x14ac:dyDescent="0.2">
      <c r="A130" s="1294">
        <v>1</v>
      </c>
      <c r="B130" s="1292" t="s">
        <v>4243</v>
      </c>
      <c r="C130" s="502" t="s">
        <v>313</v>
      </c>
      <c r="D130" s="502" t="s">
        <v>1643</v>
      </c>
      <c r="E130" s="889" t="s">
        <v>85</v>
      </c>
      <c r="F130" s="1250" t="s">
        <v>314</v>
      </c>
      <c r="G130" s="82"/>
      <c r="H130" s="82"/>
      <c r="I130" s="82"/>
      <c r="J130" s="82"/>
      <c r="K130" s="82"/>
      <c r="L130" s="197"/>
      <c r="M130" s="304"/>
      <c r="N130" s="308"/>
      <c r="O130" s="304"/>
      <c r="P130" s="1323">
        <f>O130*N130</f>
        <v>0</v>
      </c>
      <c r="Q130" s="1323"/>
      <c r="R130" s="975">
        <f>'Abs25. NPPC'!Q11</f>
        <v>0</v>
      </c>
      <c r="S130" s="1333">
        <f>'Abs25. NPPC'!R11</f>
        <v>0</v>
      </c>
    </row>
    <row r="131" spans="1:19" ht="30" hidden="1" x14ac:dyDescent="0.2">
      <c r="A131" s="1294">
        <v>2</v>
      </c>
      <c r="B131" s="1292" t="s">
        <v>4244</v>
      </c>
      <c r="C131" s="510"/>
      <c r="D131" s="502" t="s">
        <v>1592</v>
      </c>
      <c r="E131" s="889" t="s">
        <v>85</v>
      </c>
      <c r="F131" s="1250" t="s">
        <v>314</v>
      </c>
      <c r="G131" s="82"/>
      <c r="H131" s="82"/>
      <c r="I131" s="82"/>
      <c r="J131" s="82"/>
      <c r="K131" s="82"/>
      <c r="L131" s="197"/>
      <c r="M131" s="304"/>
      <c r="N131" s="308"/>
      <c r="O131" s="304"/>
      <c r="P131" s="1323">
        <f>O131*N131</f>
        <v>0</v>
      </c>
      <c r="Q131" s="1323"/>
      <c r="R131" s="975">
        <f>'Abs25. NPPC'!Q12</f>
        <v>0</v>
      </c>
      <c r="S131" s="1333">
        <f>'Abs25. NPPC'!R12</f>
        <v>0</v>
      </c>
    </row>
    <row r="132" spans="1:19" ht="30" hidden="1" x14ac:dyDescent="0.2">
      <c r="A132" s="1316" t="s">
        <v>4927</v>
      </c>
      <c r="B132" s="1317" t="s">
        <v>1646</v>
      </c>
      <c r="C132" s="1318"/>
      <c r="D132" s="1317" t="s">
        <v>4917</v>
      </c>
      <c r="E132" s="1319"/>
      <c r="F132" s="1319"/>
      <c r="G132" s="361"/>
      <c r="H132" s="361"/>
      <c r="I132" s="1320"/>
      <c r="J132" s="1320"/>
      <c r="K132" s="1320"/>
      <c r="L132" s="361"/>
      <c r="M132" s="361"/>
      <c r="N132" s="1320"/>
      <c r="O132" s="361"/>
      <c r="P132" s="1320">
        <f>P133+P134</f>
        <v>0</v>
      </c>
      <c r="Q132" s="1320"/>
      <c r="R132" s="1322"/>
      <c r="S132" s="1235">
        <f>S133+S134</f>
        <v>0</v>
      </c>
    </row>
    <row r="133" spans="1:19" hidden="1" x14ac:dyDescent="0.2">
      <c r="A133" s="1294">
        <v>1</v>
      </c>
      <c r="B133" s="1292" t="s">
        <v>4245</v>
      </c>
      <c r="C133" s="502" t="s">
        <v>1645</v>
      </c>
      <c r="D133" s="502" t="s">
        <v>1586</v>
      </c>
      <c r="E133" s="889" t="s">
        <v>85</v>
      </c>
      <c r="F133" s="1129" t="s">
        <v>4718</v>
      </c>
      <c r="G133" s="82"/>
      <c r="H133" s="82"/>
      <c r="I133" s="82"/>
      <c r="J133" s="82"/>
      <c r="K133" s="82"/>
      <c r="L133" s="197"/>
      <c r="M133" s="304"/>
      <c r="N133" s="308"/>
      <c r="O133" s="304"/>
      <c r="P133" s="1323">
        <f>O133*N133</f>
        <v>0</v>
      </c>
      <c r="Q133" s="1323"/>
      <c r="R133" s="3426">
        <f>'Abs26. Burns &amp; Injury'!Q9</f>
        <v>0</v>
      </c>
      <c r="S133" s="3427">
        <v>0</v>
      </c>
    </row>
    <row r="134" spans="1:19" ht="30" hidden="1" x14ac:dyDescent="0.2">
      <c r="A134" s="1294">
        <v>2</v>
      </c>
      <c r="B134" s="1292" t="s">
        <v>4246</v>
      </c>
      <c r="C134" s="510"/>
      <c r="D134" s="502" t="s">
        <v>1592</v>
      </c>
      <c r="E134" s="889" t="s">
        <v>85</v>
      </c>
      <c r="F134" s="1129" t="s">
        <v>4718</v>
      </c>
      <c r="G134" s="82"/>
      <c r="H134" s="82"/>
      <c r="I134" s="82"/>
      <c r="J134" s="82"/>
      <c r="K134" s="82"/>
      <c r="L134" s="197"/>
      <c r="M134" s="304"/>
      <c r="N134" s="308"/>
      <c r="O134" s="304"/>
      <c r="P134" s="1323">
        <f>O134*N134</f>
        <v>0</v>
      </c>
      <c r="Q134" s="1323"/>
      <c r="R134" s="975">
        <f>'Abs26. Burns &amp; Injury'!Q10</f>
        <v>0</v>
      </c>
      <c r="S134" s="1333">
        <f>'Abs26. Burns &amp; Injury'!R10</f>
        <v>0</v>
      </c>
    </row>
    <row r="135" spans="1:19" hidden="1" x14ac:dyDescent="0.2">
      <c r="A135" s="3903" t="s">
        <v>1704</v>
      </c>
      <c r="B135" s="3903"/>
      <c r="C135" s="3903"/>
      <c r="D135" s="3903"/>
      <c r="E135" s="1165"/>
      <c r="F135" s="1165"/>
      <c r="G135" s="340"/>
      <c r="H135" s="340"/>
      <c r="I135" s="340"/>
      <c r="J135" s="340"/>
      <c r="K135" s="340"/>
      <c r="L135" s="340"/>
      <c r="M135" s="340"/>
      <c r="N135" s="1313"/>
      <c r="O135" s="580"/>
      <c r="P135" s="1313"/>
      <c r="Q135" s="1313"/>
      <c r="R135" s="1144"/>
      <c r="S135" s="1126"/>
    </row>
    <row r="136" spans="1:19" ht="30" hidden="1" x14ac:dyDescent="0.2">
      <c r="A136" s="1316" t="s">
        <v>4358</v>
      </c>
      <c r="B136" s="1317" t="s">
        <v>1698</v>
      </c>
      <c r="C136" s="1318"/>
      <c r="D136" s="1317" t="s">
        <v>4953</v>
      </c>
      <c r="E136" s="1319"/>
      <c r="F136" s="1319"/>
      <c r="G136" s="361"/>
      <c r="H136" s="361"/>
      <c r="I136" s="1320"/>
      <c r="J136" s="1320"/>
      <c r="K136" s="1320"/>
      <c r="L136" s="361"/>
      <c r="M136" s="361"/>
      <c r="N136" s="1320"/>
      <c r="O136" s="361"/>
      <c r="P136" s="1320">
        <f>SUM(P137:P143)</f>
        <v>0</v>
      </c>
      <c r="Q136" s="1320"/>
      <c r="R136" s="1322"/>
      <c r="S136" s="1235">
        <f>SUM(S137:S143)</f>
        <v>0</v>
      </c>
    </row>
    <row r="137" spans="1:19" hidden="1" x14ac:dyDescent="0.2">
      <c r="A137" s="1325">
        <v>1</v>
      </c>
      <c r="B137" s="1292" t="s">
        <v>4291</v>
      </c>
      <c r="C137" s="1345" t="s">
        <v>1699</v>
      </c>
      <c r="D137" s="502" t="s">
        <v>1700</v>
      </c>
      <c r="E137" s="1277" t="s">
        <v>90</v>
      </c>
      <c r="F137" s="1250" t="s">
        <v>91</v>
      </c>
      <c r="G137" s="2582"/>
      <c r="H137" s="2240"/>
      <c r="I137" s="2240"/>
      <c r="J137" s="2240"/>
      <c r="K137" s="2240"/>
      <c r="L137" s="2583"/>
      <c r="M137" s="2582"/>
      <c r="N137" s="308"/>
      <c r="O137" s="2582"/>
      <c r="P137" s="1323">
        <f t="shared" ref="P137:P143" si="5">O137*N137</f>
        <v>0</v>
      </c>
      <c r="Q137" s="1323"/>
      <c r="R137" s="975">
        <f>'Ab1. RMNCH+A'!Q231</f>
        <v>0</v>
      </c>
      <c r="S137" s="1324">
        <f>'Ab1. RMNCH+A'!R231</f>
        <v>0</v>
      </c>
    </row>
    <row r="138" spans="1:19" hidden="1" x14ac:dyDescent="0.2">
      <c r="A138" s="1294">
        <v>2</v>
      </c>
      <c r="B138" s="1292" t="s">
        <v>4292</v>
      </c>
      <c r="C138" s="1337" t="s">
        <v>1701</v>
      </c>
      <c r="D138" s="1337" t="s">
        <v>1702</v>
      </c>
      <c r="E138" s="980" t="s">
        <v>4366</v>
      </c>
      <c r="F138" s="1250" t="s">
        <v>293</v>
      </c>
      <c r="G138" s="2575"/>
      <c r="H138" s="2240"/>
      <c r="I138" s="2240"/>
      <c r="J138" s="2240"/>
      <c r="K138" s="2240"/>
      <c r="L138" s="2576"/>
      <c r="M138" s="2582"/>
      <c r="N138" s="308"/>
      <c r="O138" s="2575"/>
      <c r="P138" s="1323">
        <f t="shared" si="5"/>
        <v>0</v>
      </c>
      <c r="Q138" s="1323"/>
      <c r="R138" s="975">
        <f>'Abs8. IDSP'!Q11</f>
        <v>0</v>
      </c>
      <c r="S138" s="1333">
        <f>'Abs8. IDSP'!R11</f>
        <v>0</v>
      </c>
    </row>
    <row r="139" spans="1:19" s="1278" customFormat="1" hidden="1" x14ac:dyDescent="0.2">
      <c r="A139" s="1325">
        <v>3</v>
      </c>
      <c r="B139" s="1292" t="s">
        <v>4293</v>
      </c>
      <c r="C139" s="1337" t="s">
        <v>1703</v>
      </c>
      <c r="D139" s="1337" t="s">
        <v>1704</v>
      </c>
      <c r="E139" s="980" t="s">
        <v>4366</v>
      </c>
      <c r="F139" s="1250" t="s">
        <v>4683</v>
      </c>
      <c r="G139" s="2575"/>
      <c r="H139" s="2240"/>
      <c r="I139" s="2240"/>
      <c r="J139" s="2240"/>
      <c r="K139" s="2240"/>
      <c r="L139" s="2576"/>
      <c r="M139" s="2582"/>
      <c r="N139" s="308"/>
      <c r="O139" s="2575"/>
      <c r="P139" s="2861">
        <f t="shared" si="5"/>
        <v>0</v>
      </c>
      <c r="Q139" s="2861"/>
      <c r="R139" s="975">
        <f>'Abs11. NTEP'!Q22</f>
        <v>0</v>
      </c>
      <c r="S139" s="1333">
        <f>'Abs11. NTEP'!R22</f>
        <v>0</v>
      </c>
    </row>
    <row r="140" spans="1:19" hidden="1" x14ac:dyDescent="0.2">
      <c r="A140" s="1325">
        <v>4</v>
      </c>
      <c r="B140" s="1291" t="s">
        <v>4296</v>
      </c>
      <c r="C140" s="510"/>
      <c r="D140" s="510" t="s">
        <v>4446</v>
      </c>
      <c r="E140" s="980" t="s">
        <v>4366</v>
      </c>
      <c r="F140" s="1280" t="s">
        <v>114</v>
      </c>
      <c r="G140" s="375"/>
      <c r="H140" s="375"/>
      <c r="I140" s="375"/>
      <c r="J140" s="375"/>
      <c r="K140" s="375"/>
      <c r="L140" s="2583"/>
      <c r="M140" s="2582"/>
      <c r="N140" s="308"/>
      <c r="O140" s="304"/>
      <c r="P140" s="1327">
        <f t="shared" si="5"/>
        <v>0</v>
      </c>
      <c r="Q140" s="1327"/>
      <c r="R140" s="975">
        <f>'Abs9. NVBDCP'!Q43</f>
        <v>0</v>
      </c>
      <c r="S140" s="1324">
        <f>'Abs9. NVBDCP'!R43</f>
        <v>0</v>
      </c>
    </row>
    <row r="141" spans="1:19" s="1278" customFormat="1" ht="30" hidden="1" x14ac:dyDescent="0.2">
      <c r="A141" s="1294">
        <v>5</v>
      </c>
      <c r="B141" s="1292" t="s">
        <v>4294</v>
      </c>
      <c r="C141" s="1337" t="s">
        <v>1705</v>
      </c>
      <c r="D141" s="1337" t="s">
        <v>2854</v>
      </c>
      <c r="E141" s="889" t="s">
        <v>85</v>
      </c>
      <c r="F141" s="1250" t="s">
        <v>86</v>
      </c>
      <c r="G141" s="82"/>
      <c r="H141" s="82"/>
      <c r="I141" s="82"/>
      <c r="J141" s="82"/>
      <c r="K141" s="371"/>
      <c r="L141" s="2583"/>
      <c r="M141" s="304"/>
      <c r="N141" s="308"/>
      <c r="O141" s="304"/>
      <c r="P141" s="1323">
        <f t="shared" si="5"/>
        <v>0</v>
      </c>
      <c r="Q141" s="1323"/>
      <c r="R141" s="975">
        <f>'Abs15. NPCB'!Q19</f>
        <v>0</v>
      </c>
      <c r="S141" s="1333">
        <f>'Abs15. NPCB'!R19</f>
        <v>0</v>
      </c>
    </row>
    <row r="142" spans="1:19" ht="30" hidden="1" x14ac:dyDescent="0.2">
      <c r="A142" s="1294">
        <v>6</v>
      </c>
      <c r="B142" s="1291" t="s">
        <v>4295</v>
      </c>
      <c r="C142" s="510"/>
      <c r="D142" s="510" t="s">
        <v>4978</v>
      </c>
      <c r="E142" s="886" t="s">
        <v>70</v>
      </c>
      <c r="F142" s="1280" t="s">
        <v>4925</v>
      </c>
      <c r="G142" s="2582"/>
      <c r="H142" s="2259"/>
      <c r="I142" s="2259"/>
      <c r="J142" s="2259"/>
      <c r="K142" s="2259"/>
      <c r="L142" s="2583"/>
      <c r="M142" s="2582"/>
      <c r="N142" s="308"/>
      <c r="O142" s="304"/>
      <c r="P142" s="1327">
        <f t="shared" si="5"/>
        <v>0</v>
      </c>
      <c r="Q142" s="1327"/>
      <c r="R142" s="987"/>
      <c r="S142" s="1365"/>
    </row>
    <row r="143" spans="1:19" hidden="1" x14ac:dyDescent="0.2">
      <c r="A143" s="1294">
        <v>7</v>
      </c>
      <c r="B143" s="1292" t="s">
        <v>4297</v>
      </c>
      <c r="C143" s="510"/>
      <c r="D143" s="1292" t="s">
        <v>1310</v>
      </c>
      <c r="E143" s="886" t="s">
        <v>70</v>
      </c>
      <c r="F143" s="1250" t="s">
        <v>4925</v>
      </c>
      <c r="G143" s="2575"/>
      <c r="H143" s="2240"/>
      <c r="I143" s="2240"/>
      <c r="J143" s="2240"/>
      <c r="K143" s="2240"/>
      <c r="L143" s="2576"/>
      <c r="M143" s="2575"/>
      <c r="N143" s="308"/>
      <c r="O143" s="304"/>
      <c r="P143" s="1323">
        <f t="shared" si="5"/>
        <v>0</v>
      </c>
      <c r="Q143" s="1323"/>
      <c r="R143" s="987"/>
      <c r="S143" s="1365"/>
    </row>
    <row r="144" spans="1:19" hidden="1" x14ac:dyDescent="0.2">
      <c r="A144" s="1346" t="s">
        <v>4940</v>
      </c>
      <c r="B144" s="1266">
        <v>6.2</v>
      </c>
      <c r="C144" s="1267" t="s">
        <v>1707</v>
      </c>
      <c r="D144" s="1266" t="s">
        <v>1708</v>
      </c>
      <c r="E144" s="908"/>
      <c r="F144" s="908"/>
      <c r="G144" s="109"/>
      <c r="H144" s="109"/>
      <c r="I144" s="109"/>
      <c r="J144" s="109"/>
      <c r="K144" s="109"/>
      <c r="L144" s="109"/>
      <c r="M144" s="109"/>
      <c r="N144" s="1107"/>
      <c r="O144" s="109"/>
      <c r="P144" s="1107"/>
      <c r="Q144" s="1107"/>
      <c r="R144" s="971"/>
      <c r="S144" s="1164"/>
    </row>
    <row r="145" spans="1:19" hidden="1" x14ac:dyDescent="0.2">
      <c r="A145" s="3903" t="s">
        <v>4954</v>
      </c>
      <c r="B145" s="3903"/>
      <c r="C145" s="3903"/>
      <c r="D145" s="3903"/>
      <c r="E145" s="1165"/>
      <c r="F145" s="1165"/>
      <c r="G145" s="340"/>
      <c r="H145" s="340"/>
      <c r="I145" s="340"/>
      <c r="J145" s="340"/>
      <c r="K145" s="340"/>
      <c r="L145" s="340"/>
      <c r="M145" s="340"/>
      <c r="N145" s="1313"/>
      <c r="O145" s="580"/>
      <c r="P145" s="1313"/>
      <c r="Q145" s="1313"/>
      <c r="R145" s="1144"/>
      <c r="S145" s="1126"/>
    </row>
    <row r="146" spans="1:19" hidden="1" x14ac:dyDescent="0.2">
      <c r="A146" s="1316" t="s">
        <v>4358</v>
      </c>
      <c r="B146" s="1347" t="s">
        <v>1709</v>
      </c>
      <c r="C146" s="1348" t="s">
        <v>1710</v>
      </c>
      <c r="D146" s="1349" t="s">
        <v>1711</v>
      </c>
      <c r="E146" s="1350"/>
      <c r="F146" s="916"/>
      <c r="G146" s="324"/>
      <c r="H146" s="324"/>
      <c r="I146" s="1352"/>
      <c r="J146" s="1352"/>
      <c r="K146" s="1352"/>
      <c r="L146" s="179"/>
      <c r="M146" s="324"/>
      <c r="N146" s="1352"/>
      <c r="O146" s="324"/>
      <c r="P146" s="1352">
        <f>SUM(P147:P153)+P159</f>
        <v>0</v>
      </c>
      <c r="Q146" s="1352"/>
      <c r="R146" s="974"/>
      <c r="S146" s="1225">
        <f>SUM(S147:S153)+S159</f>
        <v>0</v>
      </c>
    </row>
    <row r="147" spans="1:19" hidden="1" x14ac:dyDescent="0.2">
      <c r="A147" s="1294">
        <v>1</v>
      </c>
      <c r="B147" s="1292" t="s">
        <v>1712</v>
      </c>
      <c r="C147" s="502" t="s">
        <v>1713</v>
      </c>
      <c r="D147" s="502" t="s">
        <v>1714</v>
      </c>
      <c r="E147" s="1277" t="s">
        <v>90</v>
      </c>
      <c r="F147" s="1250" t="s">
        <v>118</v>
      </c>
      <c r="G147" s="2575"/>
      <c r="H147" s="2240"/>
      <c r="I147" s="2240"/>
      <c r="J147" s="2259"/>
      <c r="K147" s="2240"/>
      <c r="L147" s="2576"/>
      <c r="M147" s="2575"/>
      <c r="N147" s="308"/>
      <c r="O147" s="2575"/>
      <c r="P147" s="1323">
        <f t="shared" ref="P147:P152" si="6">O147*N147</f>
        <v>0</v>
      </c>
      <c r="Q147" s="1323"/>
      <c r="R147" s="975">
        <f>'Ab1. RMNCH+A'!Q42</f>
        <v>0</v>
      </c>
      <c r="S147" s="1324">
        <f>'Ab1. RMNCH+A'!R42</f>
        <v>0</v>
      </c>
    </row>
    <row r="148" spans="1:19" hidden="1" x14ac:dyDescent="0.2">
      <c r="A148" s="1294">
        <v>2</v>
      </c>
      <c r="B148" s="1292" t="s">
        <v>1715</v>
      </c>
      <c r="C148" s="502" t="s">
        <v>1716</v>
      </c>
      <c r="D148" s="502" t="s">
        <v>2352</v>
      </c>
      <c r="E148" s="1277" t="s">
        <v>90</v>
      </c>
      <c r="F148" s="1250" t="s">
        <v>118</v>
      </c>
      <c r="G148" s="2575"/>
      <c r="H148" s="2240"/>
      <c r="I148" s="2579"/>
      <c r="J148" s="2579"/>
      <c r="K148" s="2249"/>
      <c r="L148" s="2576"/>
      <c r="M148" s="2575"/>
      <c r="N148" s="308"/>
      <c r="O148" s="2575"/>
      <c r="P148" s="1323">
        <f t="shared" si="6"/>
        <v>0</v>
      </c>
      <c r="Q148" s="1323"/>
      <c r="R148" s="975">
        <f>'Ab1. RMNCH+A'!Q43</f>
        <v>0</v>
      </c>
      <c r="S148" s="1324">
        <f>'Ab1. RMNCH+A'!R43</f>
        <v>0</v>
      </c>
    </row>
    <row r="149" spans="1:19" hidden="1" x14ac:dyDescent="0.2">
      <c r="A149" s="1294">
        <v>3</v>
      </c>
      <c r="B149" s="1292" t="s">
        <v>1717</v>
      </c>
      <c r="C149" s="502" t="s">
        <v>1718</v>
      </c>
      <c r="D149" s="502" t="s">
        <v>1719</v>
      </c>
      <c r="E149" s="1277" t="s">
        <v>90</v>
      </c>
      <c r="F149" s="1250" t="s">
        <v>118</v>
      </c>
      <c r="G149" s="2575"/>
      <c r="H149" s="2240"/>
      <c r="I149" s="2579"/>
      <c r="J149" s="2579"/>
      <c r="K149" s="2240"/>
      <c r="L149" s="2240"/>
      <c r="M149" s="2575"/>
      <c r="N149" s="308"/>
      <c r="O149" s="2575"/>
      <c r="P149" s="1323">
        <f t="shared" si="6"/>
        <v>0</v>
      </c>
      <c r="Q149" s="1323"/>
      <c r="R149" s="975">
        <f>'Ab1. RMNCH+A'!Q44</f>
        <v>0</v>
      </c>
      <c r="S149" s="1324">
        <f>'Ab1. RMNCH+A'!R44</f>
        <v>0</v>
      </c>
    </row>
    <row r="150" spans="1:19" hidden="1" x14ac:dyDescent="0.2">
      <c r="A150" s="1294">
        <v>4</v>
      </c>
      <c r="B150" s="1292" t="s">
        <v>1720</v>
      </c>
      <c r="C150" s="502" t="s">
        <v>1721</v>
      </c>
      <c r="D150" s="502" t="s">
        <v>1722</v>
      </c>
      <c r="E150" s="1277" t="s">
        <v>90</v>
      </c>
      <c r="F150" s="1250" t="s">
        <v>118</v>
      </c>
      <c r="G150" s="2575"/>
      <c r="H150" s="2240"/>
      <c r="I150" s="2579"/>
      <c r="J150" s="2579"/>
      <c r="K150" s="2586"/>
      <c r="L150" s="2576"/>
      <c r="M150" s="2575"/>
      <c r="N150" s="308"/>
      <c r="O150" s="2575"/>
      <c r="P150" s="1323">
        <f t="shared" si="6"/>
        <v>0</v>
      </c>
      <c r="Q150" s="1323"/>
      <c r="R150" s="975">
        <f>'Ab1. RMNCH+A'!Q45</f>
        <v>0</v>
      </c>
      <c r="S150" s="1324">
        <f>'Ab1. RMNCH+A'!R45</f>
        <v>0</v>
      </c>
    </row>
    <row r="151" spans="1:19" ht="45" hidden="1" x14ac:dyDescent="0.2">
      <c r="A151" s="1294">
        <v>5</v>
      </c>
      <c r="B151" s="1292" t="s">
        <v>1723</v>
      </c>
      <c r="C151" s="1353" t="s">
        <v>1724</v>
      </c>
      <c r="D151" s="1354" t="s">
        <v>1725</v>
      </c>
      <c r="E151" s="1277" t="s">
        <v>90</v>
      </c>
      <c r="F151" s="1250" t="s">
        <v>118</v>
      </c>
      <c r="G151" s="2594"/>
      <c r="H151" s="2240"/>
      <c r="I151" s="2240"/>
      <c r="J151" s="2240"/>
      <c r="K151" s="2240"/>
      <c r="L151" s="2576"/>
      <c r="M151" s="2575"/>
      <c r="N151" s="308"/>
      <c r="O151" s="2594"/>
      <c r="P151" s="1323">
        <f t="shared" si="6"/>
        <v>0</v>
      </c>
      <c r="Q151" s="1323"/>
      <c r="R151" s="975">
        <f>'Ab1. RMNCH+A'!Q46</f>
        <v>0</v>
      </c>
      <c r="S151" s="1324">
        <f>'Ab1. RMNCH+A'!R46</f>
        <v>0</v>
      </c>
    </row>
    <row r="152" spans="1:19" ht="45" hidden="1" x14ac:dyDescent="0.2">
      <c r="A152" s="1294">
        <v>6</v>
      </c>
      <c r="B152" s="1292" t="s">
        <v>1726</v>
      </c>
      <c r="C152" s="1353" t="s">
        <v>1727</v>
      </c>
      <c r="D152" s="1354" t="s">
        <v>1728</v>
      </c>
      <c r="E152" s="1277" t="s">
        <v>90</v>
      </c>
      <c r="F152" s="1250" t="s">
        <v>118</v>
      </c>
      <c r="G152" s="2595"/>
      <c r="H152" s="2240"/>
      <c r="I152" s="2240"/>
      <c r="J152" s="2240"/>
      <c r="K152" s="2240"/>
      <c r="L152" s="2576"/>
      <c r="M152" s="2575"/>
      <c r="N152" s="308"/>
      <c r="O152" s="2595"/>
      <c r="P152" s="1323">
        <f t="shared" si="6"/>
        <v>0</v>
      </c>
      <c r="Q152" s="1323"/>
      <c r="R152" s="975">
        <f>'Ab1. RMNCH+A'!Q47</f>
        <v>0</v>
      </c>
      <c r="S152" s="1324">
        <f>'Ab1. RMNCH+A'!R47</f>
        <v>0</v>
      </c>
    </row>
    <row r="153" spans="1:19" hidden="1" x14ac:dyDescent="0.2">
      <c r="A153" s="1325">
        <v>7</v>
      </c>
      <c r="B153" s="1317" t="s">
        <v>1729</v>
      </c>
      <c r="C153" s="1318" t="s">
        <v>1730</v>
      </c>
      <c r="D153" s="1317" t="s">
        <v>1731</v>
      </c>
      <c r="E153" s="1319"/>
      <c r="F153" s="1319"/>
      <c r="G153" s="361"/>
      <c r="H153" s="361"/>
      <c r="I153" s="1320"/>
      <c r="J153" s="1320"/>
      <c r="K153" s="1320"/>
      <c r="L153" s="361"/>
      <c r="M153" s="361"/>
      <c r="N153" s="1320"/>
      <c r="O153" s="361"/>
      <c r="P153" s="1320">
        <f>SUM(P154:P158)</f>
        <v>0</v>
      </c>
      <c r="Q153" s="1320"/>
      <c r="R153" s="1322"/>
      <c r="S153" s="1235">
        <f>SUM(S154:S158)</f>
        <v>0</v>
      </c>
    </row>
    <row r="154" spans="1:19" ht="30" hidden="1" x14ac:dyDescent="0.2">
      <c r="A154" s="1294" t="s">
        <v>4941</v>
      </c>
      <c r="B154" s="1292" t="s">
        <v>4298</v>
      </c>
      <c r="C154" s="1353" t="s">
        <v>1732</v>
      </c>
      <c r="D154" s="1354" t="s">
        <v>1733</v>
      </c>
      <c r="E154" s="1277" t="s">
        <v>90</v>
      </c>
      <c r="F154" s="1250" t="s">
        <v>118</v>
      </c>
      <c r="G154" s="2249"/>
      <c r="H154" s="2240"/>
      <c r="I154" s="2579"/>
      <c r="J154" s="2579"/>
      <c r="K154" s="2240"/>
      <c r="L154" s="2580"/>
      <c r="M154" s="2596"/>
      <c r="N154" s="308"/>
      <c r="O154" s="2249"/>
      <c r="P154" s="1323">
        <f t="shared" ref="P154:P159" si="7">O154*N154</f>
        <v>0</v>
      </c>
      <c r="Q154" s="1323"/>
      <c r="R154" s="975">
        <f>'Ab1. RMNCH+A'!Q48</f>
        <v>0</v>
      </c>
      <c r="S154" s="1324">
        <f>'Ab1. RMNCH+A'!R48</f>
        <v>0</v>
      </c>
    </row>
    <row r="155" spans="1:19" ht="30" hidden="1" x14ac:dyDescent="0.2">
      <c r="A155" s="1294" t="s">
        <v>4942</v>
      </c>
      <c r="B155" s="1292" t="s">
        <v>4299</v>
      </c>
      <c r="C155" s="1353" t="s">
        <v>1734</v>
      </c>
      <c r="D155" s="1354" t="s">
        <v>1735</v>
      </c>
      <c r="E155" s="1277" t="s">
        <v>90</v>
      </c>
      <c r="F155" s="1250" t="s">
        <v>118</v>
      </c>
      <c r="G155" s="2249"/>
      <c r="H155" s="2240"/>
      <c r="I155" s="2579"/>
      <c r="J155" s="2579"/>
      <c r="K155" s="2240"/>
      <c r="L155" s="2580"/>
      <c r="M155" s="2597"/>
      <c r="N155" s="308"/>
      <c r="O155" s="2249"/>
      <c r="P155" s="1323">
        <f t="shared" si="7"/>
        <v>0</v>
      </c>
      <c r="Q155" s="1323"/>
      <c r="R155" s="975">
        <f>'Ab1. RMNCH+A'!Q49</f>
        <v>0</v>
      </c>
      <c r="S155" s="1324">
        <f>'Ab1. RMNCH+A'!R49</f>
        <v>0</v>
      </c>
    </row>
    <row r="156" spans="1:19" hidden="1" x14ac:dyDescent="0.2">
      <c r="A156" s="1294" t="s">
        <v>4825</v>
      </c>
      <c r="B156" s="1292" t="s">
        <v>4300</v>
      </c>
      <c r="C156" s="1291"/>
      <c r="D156" s="1354" t="s">
        <v>2353</v>
      </c>
      <c r="E156" s="1277" t="s">
        <v>90</v>
      </c>
      <c r="F156" s="1250" t="s">
        <v>118</v>
      </c>
      <c r="G156" s="2575"/>
      <c r="H156" s="2240"/>
      <c r="I156" s="2579"/>
      <c r="J156" s="2579"/>
      <c r="K156" s="2240"/>
      <c r="L156" s="2576"/>
      <c r="M156" s="2575"/>
      <c r="N156" s="308"/>
      <c r="O156" s="2575"/>
      <c r="P156" s="1323">
        <f t="shared" si="7"/>
        <v>0</v>
      </c>
      <c r="Q156" s="1323"/>
      <c r="R156" s="975">
        <f>'Ab1. RMNCH+A'!Q50</f>
        <v>0</v>
      </c>
      <c r="S156" s="1324">
        <f>'Ab1. RMNCH+A'!R50</f>
        <v>0</v>
      </c>
    </row>
    <row r="157" spans="1:19" hidden="1" x14ac:dyDescent="0.2">
      <c r="A157" s="1294" t="s">
        <v>4944</v>
      </c>
      <c r="B157" s="1292" t="s">
        <v>4301</v>
      </c>
      <c r="C157" s="1291"/>
      <c r="D157" s="1354" t="s">
        <v>2354</v>
      </c>
      <c r="E157" s="1277" t="s">
        <v>90</v>
      </c>
      <c r="F157" s="1250" t="s">
        <v>118</v>
      </c>
      <c r="G157" s="2575"/>
      <c r="H157" s="2240"/>
      <c r="I157" s="2579"/>
      <c r="J157" s="2579"/>
      <c r="K157" s="2240"/>
      <c r="L157" s="2576"/>
      <c r="M157" s="2575"/>
      <c r="N157" s="308"/>
      <c r="O157" s="2575"/>
      <c r="P157" s="1323">
        <f t="shared" si="7"/>
        <v>0</v>
      </c>
      <c r="Q157" s="1323"/>
      <c r="R157" s="975">
        <f>'Ab1. RMNCH+A'!Q51</f>
        <v>0</v>
      </c>
      <c r="S157" s="1324">
        <f>'Ab1. RMNCH+A'!R51</f>
        <v>0</v>
      </c>
    </row>
    <row r="158" spans="1:19" hidden="1" x14ac:dyDescent="0.2">
      <c r="A158" s="1294" t="s">
        <v>4943</v>
      </c>
      <c r="B158" s="1292" t="s">
        <v>4302</v>
      </c>
      <c r="C158" s="502" t="s">
        <v>1730</v>
      </c>
      <c r="D158" s="502" t="s">
        <v>1736</v>
      </c>
      <c r="E158" s="1277" t="s">
        <v>90</v>
      </c>
      <c r="F158" s="1250" t="s">
        <v>118</v>
      </c>
      <c r="G158" s="2575"/>
      <c r="H158" s="2240"/>
      <c r="I158" s="2589"/>
      <c r="J158" s="2259"/>
      <c r="K158" s="2249"/>
      <c r="L158" s="2583"/>
      <c r="M158" s="2582"/>
      <c r="N158" s="308"/>
      <c r="O158" s="2575"/>
      <c r="P158" s="1323">
        <f t="shared" si="7"/>
        <v>0</v>
      </c>
      <c r="Q158" s="1323"/>
      <c r="R158" s="975">
        <f>'Ab1. RMNCH+A'!Q52</f>
        <v>0</v>
      </c>
      <c r="S158" s="1324">
        <f>'Ab1. RMNCH+A'!R52</f>
        <v>0</v>
      </c>
    </row>
    <row r="159" spans="1:19" ht="30" hidden="1" x14ac:dyDescent="0.2">
      <c r="A159" s="1294">
        <v>6</v>
      </c>
      <c r="B159" s="1292" t="s">
        <v>1737</v>
      </c>
      <c r="C159" s="502" t="s">
        <v>1738</v>
      </c>
      <c r="D159" s="502" t="s">
        <v>1739</v>
      </c>
      <c r="E159" s="1277" t="s">
        <v>90</v>
      </c>
      <c r="F159" s="1250" t="s">
        <v>118</v>
      </c>
      <c r="G159" s="2575"/>
      <c r="H159" s="2240"/>
      <c r="I159" s="2589"/>
      <c r="J159" s="2259"/>
      <c r="K159" s="2586"/>
      <c r="L159" s="2583"/>
      <c r="M159" s="2575"/>
      <c r="N159" s="308"/>
      <c r="O159" s="2575"/>
      <c r="P159" s="1323">
        <f t="shared" si="7"/>
        <v>0</v>
      </c>
      <c r="Q159" s="1323"/>
      <c r="R159" s="975">
        <f>'Ab1. RMNCH+A'!Q53</f>
        <v>0</v>
      </c>
      <c r="S159" s="1324">
        <f>'Ab1. RMNCH+A'!R53</f>
        <v>0</v>
      </c>
    </row>
    <row r="160" spans="1:19" hidden="1" x14ac:dyDescent="0.2">
      <c r="A160" s="1316" t="s">
        <v>4362</v>
      </c>
      <c r="B160" s="1347" t="s">
        <v>1740</v>
      </c>
      <c r="C160" s="1348" t="s">
        <v>1741</v>
      </c>
      <c r="D160" s="1349" t="s">
        <v>1742</v>
      </c>
      <c r="E160" s="1350"/>
      <c r="F160" s="916"/>
      <c r="G160" s="324"/>
      <c r="H160" s="324"/>
      <c r="I160" s="1355"/>
      <c r="J160" s="1355"/>
      <c r="K160" s="1355"/>
      <c r="L160" s="179"/>
      <c r="M160" s="324"/>
      <c r="N160" s="1352"/>
      <c r="O160" s="379"/>
      <c r="P160" s="1355">
        <f>SUM(P161:P168)+P172</f>
        <v>0</v>
      </c>
      <c r="Q160" s="1355"/>
      <c r="R160" s="974"/>
      <c r="S160" s="1225">
        <f>SUM(S161:S168)+S172</f>
        <v>0</v>
      </c>
    </row>
    <row r="161" spans="1:19" hidden="1" x14ac:dyDescent="0.2">
      <c r="A161" s="1294">
        <v>1</v>
      </c>
      <c r="B161" s="1292" t="s">
        <v>1743</v>
      </c>
      <c r="C161" s="502" t="s">
        <v>1744</v>
      </c>
      <c r="D161" s="502" t="s">
        <v>1731</v>
      </c>
      <c r="E161" s="1277" t="s">
        <v>90</v>
      </c>
      <c r="F161" s="1250" t="s">
        <v>131</v>
      </c>
      <c r="G161" s="2575"/>
      <c r="H161" s="2240"/>
      <c r="I161" s="2589"/>
      <c r="J161" s="2259"/>
      <c r="K161" s="2240"/>
      <c r="L161" s="2576"/>
      <c r="M161" s="2575"/>
      <c r="N161" s="308"/>
      <c r="O161" s="2575"/>
      <c r="P161" s="1323">
        <f t="shared" ref="P161:P167" si="8">O161*N161</f>
        <v>0</v>
      </c>
      <c r="Q161" s="1323"/>
      <c r="R161" s="975">
        <f>'Ab1. RMNCH+A'!Q133</f>
        <v>0</v>
      </c>
      <c r="S161" s="1324">
        <f>'Ab1. RMNCH+A'!R133</f>
        <v>0</v>
      </c>
    </row>
    <row r="162" spans="1:19" ht="30" hidden="1" x14ac:dyDescent="0.2">
      <c r="A162" s="1294">
        <v>2</v>
      </c>
      <c r="B162" s="1292" t="s">
        <v>1745</v>
      </c>
      <c r="C162" s="502" t="s">
        <v>1746</v>
      </c>
      <c r="D162" s="502" t="s">
        <v>1747</v>
      </c>
      <c r="E162" s="1277" t="s">
        <v>90</v>
      </c>
      <c r="F162" s="1250" t="s">
        <v>131</v>
      </c>
      <c r="G162" s="2575"/>
      <c r="H162" s="2240"/>
      <c r="I162" s="2589"/>
      <c r="J162" s="2240"/>
      <c r="K162" s="2240"/>
      <c r="L162" s="2576"/>
      <c r="M162" s="2575"/>
      <c r="N162" s="308"/>
      <c r="O162" s="2575"/>
      <c r="P162" s="1323">
        <f t="shared" si="8"/>
        <v>0</v>
      </c>
      <c r="Q162" s="1323"/>
      <c r="R162" s="975">
        <f>'Ab1. RMNCH+A'!Q134</f>
        <v>0</v>
      </c>
      <c r="S162" s="1324">
        <f>'Ab1. RMNCH+A'!R134</f>
        <v>0</v>
      </c>
    </row>
    <row r="163" spans="1:19" hidden="1" x14ac:dyDescent="0.2">
      <c r="A163" s="1294">
        <v>3</v>
      </c>
      <c r="B163" s="1292" t="s">
        <v>1748</v>
      </c>
      <c r="C163" s="1353" t="s">
        <v>1749</v>
      </c>
      <c r="D163" s="1353" t="s">
        <v>1750</v>
      </c>
      <c r="E163" s="1277" t="s">
        <v>90</v>
      </c>
      <c r="F163" s="1250" t="s">
        <v>131</v>
      </c>
      <c r="G163" s="2575"/>
      <c r="H163" s="2240"/>
      <c r="I163" s="2589"/>
      <c r="J163" s="2240"/>
      <c r="K163" s="2586"/>
      <c r="L163" s="2576"/>
      <c r="M163" s="2575"/>
      <c r="N163" s="308"/>
      <c r="O163" s="2599"/>
      <c r="P163" s="1323">
        <f t="shared" si="8"/>
        <v>0</v>
      </c>
      <c r="Q163" s="1323"/>
      <c r="R163" s="975">
        <f>'Ab1. RMNCH+A'!Q135</f>
        <v>0</v>
      </c>
      <c r="S163" s="1324">
        <f>'Ab1. RMNCH+A'!R135</f>
        <v>0</v>
      </c>
    </row>
    <row r="164" spans="1:19" hidden="1" x14ac:dyDescent="0.2">
      <c r="A164" s="1294">
        <v>4</v>
      </c>
      <c r="B164" s="1292" t="s">
        <v>1751</v>
      </c>
      <c r="C164" s="1353" t="s">
        <v>1752</v>
      </c>
      <c r="D164" s="1353" t="s">
        <v>1753</v>
      </c>
      <c r="E164" s="1277" t="s">
        <v>90</v>
      </c>
      <c r="F164" s="1250" t="s">
        <v>131</v>
      </c>
      <c r="G164" s="2240"/>
      <c r="H164" s="2240"/>
      <c r="I164" s="2589"/>
      <c r="J164" s="2240"/>
      <c r="K164" s="2240"/>
      <c r="L164" s="2576"/>
      <c r="M164" s="2575"/>
      <c r="N164" s="308"/>
      <c r="O164" s="2240"/>
      <c r="P164" s="1323">
        <f t="shared" si="8"/>
        <v>0</v>
      </c>
      <c r="Q164" s="1323"/>
      <c r="R164" s="975">
        <f>'Ab1. RMNCH+A'!Q136</f>
        <v>0</v>
      </c>
      <c r="S164" s="1324">
        <f>'Ab1. RMNCH+A'!R136</f>
        <v>0</v>
      </c>
    </row>
    <row r="165" spans="1:19" ht="45" hidden="1" x14ac:dyDescent="0.2">
      <c r="A165" s="1294">
        <v>5</v>
      </c>
      <c r="B165" s="1292" t="s">
        <v>1754</v>
      </c>
      <c r="C165" s="1353" t="s">
        <v>1755</v>
      </c>
      <c r="D165" s="1354" t="s">
        <v>4098</v>
      </c>
      <c r="E165" s="1277" t="s">
        <v>90</v>
      </c>
      <c r="F165" s="1250" t="s">
        <v>131</v>
      </c>
      <c r="G165" s="2240"/>
      <c r="H165" s="2240"/>
      <c r="I165" s="2589"/>
      <c r="J165" s="2240"/>
      <c r="K165" s="2586"/>
      <c r="L165" s="2576"/>
      <c r="M165" s="2575"/>
      <c r="N165" s="308"/>
      <c r="O165" s="2600"/>
      <c r="P165" s="1323">
        <f t="shared" si="8"/>
        <v>0</v>
      </c>
      <c r="Q165" s="1323"/>
      <c r="R165" s="975">
        <f>'Ab1. RMNCH+A'!Q137</f>
        <v>0</v>
      </c>
      <c r="S165" s="1324">
        <f>'Ab1. RMNCH+A'!R137</f>
        <v>0</v>
      </c>
    </row>
    <row r="166" spans="1:19" hidden="1" x14ac:dyDescent="0.2">
      <c r="A166" s="1294">
        <v>6</v>
      </c>
      <c r="B166" s="1292" t="s">
        <v>1756</v>
      </c>
      <c r="C166" s="1353" t="s">
        <v>1757</v>
      </c>
      <c r="D166" s="1353" t="s">
        <v>4099</v>
      </c>
      <c r="E166" s="1277" t="s">
        <v>90</v>
      </c>
      <c r="F166" s="1250" t="s">
        <v>131</v>
      </c>
      <c r="G166" s="2577"/>
      <c r="H166" s="2240"/>
      <c r="I166" s="2589"/>
      <c r="J166" s="2240"/>
      <c r="K166" s="2240"/>
      <c r="L166" s="2576"/>
      <c r="M166" s="2575"/>
      <c r="N166" s="308"/>
      <c r="O166" s="2858"/>
      <c r="P166" s="1323">
        <f t="shared" si="8"/>
        <v>0</v>
      </c>
      <c r="Q166" s="1323"/>
      <c r="R166" s="975">
        <f>'Ab1. RMNCH+A'!Q138</f>
        <v>0</v>
      </c>
      <c r="S166" s="1324">
        <f>'Ab1. RMNCH+A'!R138</f>
        <v>0</v>
      </c>
    </row>
    <row r="167" spans="1:19" hidden="1" x14ac:dyDescent="0.2">
      <c r="A167" s="1294">
        <v>7</v>
      </c>
      <c r="B167" s="1292" t="s">
        <v>1758</v>
      </c>
      <c r="C167" s="502" t="s">
        <v>1759</v>
      </c>
      <c r="D167" s="502" t="s">
        <v>1760</v>
      </c>
      <c r="E167" s="1277" t="s">
        <v>90</v>
      </c>
      <c r="F167" s="1250" t="s">
        <v>131</v>
      </c>
      <c r="G167" s="2575"/>
      <c r="H167" s="2240"/>
      <c r="I167" s="2589"/>
      <c r="J167" s="2240"/>
      <c r="K167" s="2240"/>
      <c r="L167" s="2576"/>
      <c r="M167" s="2598"/>
      <c r="N167" s="308"/>
      <c r="O167" s="2575"/>
      <c r="P167" s="1323">
        <f t="shared" si="8"/>
        <v>0</v>
      </c>
      <c r="Q167" s="1323"/>
      <c r="R167" s="975">
        <f>'Ab1. RMNCH+A'!Q139</f>
        <v>0</v>
      </c>
      <c r="S167" s="1324">
        <f>'Ab1. RMNCH+A'!R139</f>
        <v>0</v>
      </c>
    </row>
    <row r="168" spans="1:19" ht="30" hidden="1" x14ac:dyDescent="0.2">
      <c r="A168" s="1294">
        <v>8</v>
      </c>
      <c r="B168" s="1317" t="s">
        <v>1761</v>
      </c>
      <c r="C168" s="1318" t="s">
        <v>832</v>
      </c>
      <c r="D168" s="1317" t="s">
        <v>1762</v>
      </c>
      <c r="E168" s="1319"/>
      <c r="F168" s="1319"/>
      <c r="G168" s="361"/>
      <c r="H168" s="361"/>
      <c r="I168" s="1320"/>
      <c r="J168" s="1320"/>
      <c r="K168" s="1320"/>
      <c r="L168" s="361"/>
      <c r="M168" s="361"/>
      <c r="N168" s="1320"/>
      <c r="O168" s="361"/>
      <c r="P168" s="1320">
        <f>SUM(P169:P171)</f>
        <v>0</v>
      </c>
      <c r="Q168" s="1320"/>
      <c r="R168" s="1322"/>
      <c r="S168" s="1235">
        <f>SUM(S169:S171)</f>
        <v>0</v>
      </c>
    </row>
    <row r="169" spans="1:19" hidden="1" x14ac:dyDescent="0.2">
      <c r="A169" s="1294" t="s">
        <v>4941</v>
      </c>
      <c r="B169" s="1292" t="s">
        <v>4303</v>
      </c>
      <c r="C169" s="502" t="s">
        <v>1763</v>
      </c>
      <c r="D169" s="502" t="s">
        <v>1764</v>
      </c>
      <c r="E169" s="1277" t="s">
        <v>90</v>
      </c>
      <c r="F169" s="1250" t="s">
        <v>131</v>
      </c>
      <c r="G169" s="2240"/>
      <c r="H169" s="2240"/>
      <c r="I169" s="2589"/>
      <c r="J169" s="2240"/>
      <c r="K169" s="2240"/>
      <c r="L169" s="2576"/>
      <c r="M169" s="2575"/>
      <c r="N169" s="308"/>
      <c r="O169" s="2240"/>
      <c r="P169" s="1323">
        <f>O169*N169</f>
        <v>0</v>
      </c>
      <c r="Q169" s="1323"/>
      <c r="R169" s="975">
        <f>'Ab1. RMNCH+A'!Q140</f>
        <v>0</v>
      </c>
      <c r="S169" s="1324">
        <f>'Ab1. RMNCH+A'!R140</f>
        <v>0</v>
      </c>
    </row>
    <row r="170" spans="1:19" hidden="1" x14ac:dyDescent="0.2">
      <c r="A170" s="1294" t="s">
        <v>4942</v>
      </c>
      <c r="B170" s="1292" t="s">
        <v>4304</v>
      </c>
      <c r="C170" s="502" t="s">
        <v>1765</v>
      </c>
      <c r="D170" s="502" t="s">
        <v>1766</v>
      </c>
      <c r="E170" s="1277" t="s">
        <v>90</v>
      </c>
      <c r="F170" s="1250" t="s">
        <v>131</v>
      </c>
      <c r="G170" s="2240"/>
      <c r="H170" s="2240"/>
      <c r="I170" s="2589"/>
      <c r="J170" s="2240"/>
      <c r="K170" s="2240"/>
      <c r="L170" s="2576"/>
      <c r="M170" s="2575"/>
      <c r="N170" s="308"/>
      <c r="O170" s="2240"/>
      <c r="P170" s="1323">
        <f>O170*N170</f>
        <v>0</v>
      </c>
      <c r="Q170" s="1323"/>
      <c r="R170" s="975">
        <f>'Ab1. RMNCH+A'!Q141</f>
        <v>0</v>
      </c>
      <c r="S170" s="1324">
        <f>'Ab1. RMNCH+A'!R141</f>
        <v>0</v>
      </c>
    </row>
    <row r="171" spans="1:19" hidden="1" x14ac:dyDescent="0.2">
      <c r="A171" s="1294" t="s">
        <v>4825</v>
      </c>
      <c r="B171" s="1292" t="s">
        <v>4305</v>
      </c>
      <c r="C171" s="510"/>
      <c r="D171" s="502" t="s">
        <v>1767</v>
      </c>
      <c r="E171" s="1277" t="s">
        <v>90</v>
      </c>
      <c r="F171" s="1250" t="s">
        <v>131</v>
      </c>
      <c r="G171" s="82"/>
      <c r="H171" s="82"/>
      <c r="I171" s="82"/>
      <c r="J171" s="82"/>
      <c r="K171" s="82"/>
      <c r="L171" s="363"/>
      <c r="M171" s="304"/>
      <c r="N171" s="308"/>
      <c r="O171" s="304"/>
      <c r="P171" s="1323">
        <f>O171*N171</f>
        <v>0</v>
      </c>
      <c r="Q171" s="1323"/>
      <c r="R171" s="975">
        <f>'Ab1. RMNCH+A'!Q142</f>
        <v>0</v>
      </c>
      <c r="S171" s="1324">
        <f>'Ab1. RMNCH+A'!R142</f>
        <v>0</v>
      </c>
    </row>
    <row r="172" spans="1:19" ht="30" hidden="1" x14ac:dyDescent="0.2">
      <c r="A172" s="1294">
        <v>12</v>
      </c>
      <c r="B172" s="1292" t="s">
        <v>1768</v>
      </c>
      <c r="C172" s="510"/>
      <c r="D172" s="502" t="s">
        <v>1739</v>
      </c>
      <c r="E172" s="1277" t="s">
        <v>90</v>
      </c>
      <c r="F172" s="1250" t="s">
        <v>131</v>
      </c>
      <c r="G172" s="82"/>
      <c r="H172" s="82"/>
      <c r="I172" s="82"/>
      <c r="J172" s="82"/>
      <c r="K172" s="82"/>
      <c r="L172" s="197"/>
      <c r="M172" s="304"/>
      <c r="N172" s="308"/>
      <c r="O172" s="304"/>
      <c r="P172" s="1323">
        <f>O172*N172</f>
        <v>0</v>
      </c>
      <c r="Q172" s="1323"/>
      <c r="R172" s="975">
        <f>'Ab1. RMNCH+A'!Q143</f>
        <v>0</v>
      </c>
      <c r="S172" s="1324">
        <f>'Ab1. RMNCH+A'!R143</f>
        <v>0</v>
      </c>
    </row>
    <row r="173" spans="1:19" hidden="1" x14ac:dyDescent="0.2">
      <c r="A173" s="1316" t="s">
        <v>4363</v>
      </c>
      <c r="B173" s="1347" t="s">
        <v>1769</v>
      </c>
      <c r="C173" s="1348" t="s">
        <v>1770</v>
      </c>
      <c r="D173" s="1349" t="s">
        <v>1771</v>
      </c>
      <c r="E173" s="1350"/>
      <c r="F173" s="916"/>
      <c r="G173" s="324"/>
      <c r="H173" s="324"/>
      <c r="I173" s="1352"/>
      <c r="J173" s="1352"/>
      <c r="K173" s="1352"/>
      <c r="L173" s="179"/>
      <c r="M173" s="324"/>
      <c r="N173" s="1352"/>
      <c r="O173" s="324"/>
      <c r="P173" s="1352">
        <f>SUM(P174:P175)</f>
        <v>0</v>
      </c>
      <c r="Q173" s="1352"/>
      <c r="R173" s="974"/>
      <c r="S173" s="1225">
        <f>SUM(S174:S175)</f>
        <v>0</v>
      </c>
    </row>
    <row r="174" spans="1:19" hidden="1" x14ac:dyDescent="0.2">
      <c r="A174" s="1294">
        <v>1</v>
      </c>
      <c r="B174" s="1292" t="s">
        <v>1772</v>
      </c>
      <c r="C174" s="1345" t="s">
        <v>171</v>
      </c>
      <c r="D174" s="502" t="s">
        <v>1609</v>
      </c>
      <c r="E174" s="1277" t="s">
        <v>90</v>
      </c>
      <c r="F174" s="1250" t="s">
        <v>91</v>
      </c>
      <c r="G174" s="362"/>
      <c r="H174" s="362"/>
      <c r="I174" s="362"/>
      <c r="J174" s="362"/>
      <c r="K174" s="362"/>
      <c r="L174" s="363"/>
      <c r="M174" s="304"/>
      <c r="N174" s="308"/>
      <c r="O174" s="304"/>
      <c r="P174" s="1323">
        <f>O174*N174</f>
        <v>0</v>
      </c>
      <c r="Q174" s="1323"/>
      <c r="R174" s="975">
        <f>'Ab1. RMNCH+A'!Q232</f>
        <v>0</v>
      </c>
      <c r="S174" s="1324">
        <f>'Ab1. RMNCH+A'!R232</f>
        <v>0</v>
      </c>
    </row>
    <row r="175" spans="1:19" ht="30" hidden="1" x14ac:dyDescent="0.2">
      <c r="A175" s="1294">
        <v>2</v>
      </c>
      <c r="B175" s="1292" t="s">
        <v>1773</v>
      </c>
      <c r="C175" s="502" t="s">
        <v>2855</v>
      </c>
      <c r="D175" s="502" t="s">
        <v>1739</v>
      </c>
      <c r="E175" s="1277" t="s">
        <v>90</v>
      </c>
      <c r="F175" s="1250" t="s">
        <v>91</v>
      </c>
      <c r="G175" s="82"/>
      <c r="H175" s="82"/>
      <c r="I175" s="82"/>
      <c r="J175" s="82"/>
      <c r="K175" s="82"/>
      <c r="L175" s="363"/>
      <c r="M175" s="304"/>
      <c r="N175" s="308"/>
      <c r="O175" s="304"/>
      <c r="P175" s="1323">
        <f>O175*N175</f>
        <v>0</v>
      </c>
      <c r="Q175" s="1323"/>
      <c r="R175" s="975">
        <f>'Ab1. RMNCH+A'!Q233</f>
        <v>0</v>
      </c>
      <c r="S175" s="1324">
        <f>'Ab1. RMNCH+A'!R233</f>
        <v>0</v>
      </c>
    </row>
    <row r="176" spans="1:19" hidden="1" x14ac:dyDescent="0.2">
      <c r="A176" s="1316" t="s">
        <v>4364</v>
      </c>
      <c r="B176" s="1347" t="s">
        <v>1774</v>
      </c>
      <c r="C176" s="1348"/>
      <c r="D176" s="1349" t="s">
        <v>1775</v>
      </c>
      <c r="E176" s="1350"/>
      <c r="F176" s="916"/>
      <c r="G176" s="324"/>
      <c r="H176" s="324"/>
      <c r="I176" s="1352"/>
      <c r="J176" s="1352"/>
      <c r="K176" s="1352"/>
      <c r="L176" s="179"/>
      <c r="M176" s="324"/>
      <c r="N176" s="1352"/>
      <c r="O176" s="324"/>
      <c r="P176" s="1352">
        <f>SUM(P177:P180)</f>
        <v>0</v>
      </c>
      <c r="Q176" s="1352"/>
      <c r="R176" s="974"/>
      <c r="S176" s="1225">
        <f>SUM(S177:S180)</f>
        <v>0</v>
      </c>
    </row>
    <row r="177" spans="1:19" hidden="1" x14ac:dyDescent="0.2">
      <c r="A177" s="1294">
        <v>1</v>
      </c>
      <c r="B177" s="1292" t="s">
        <v>1776</v>
      </c>
      <c r="C177" s="1353" t="s">
        <v>1777</v>
      </c>
      <c r="D177" s="1353" t="s">
        <v>4100</v>
      </c>
      <c r="E177" s="977" t="s">
        <v>90</v>
      </c>
      <c r="F177" s="1250" t="s">
        <v>193</v>
      </c>
      <c r="G177" s="2240"/>
      <c r="H177" s="2240"/>
      <c r="I177" s="2589"/>
      <c r="J177" s="2240"/>
      <c r="K177" s="2240"/>
      <c r="L177" s="2576"/>
      <c r="M177" s="2575"/>
      <c r="N177" s="308"/>
      <c r="O177" s="2240"/>
      <c r="P177" s="1323">
        <f>O177*N177</f>
        <v>0</v>
      </c>
      <c r="Q177" s="1323"/>
      <c r="R177" s="975">
        <f>'Ab1. RMNCH+A'!Q307</f>
        <v>0</v>
      </c>
      <c r="S177" s="1324">
        <f>'Ab1. RMNCH+A'!R307</f>
        <v>0</v>
      </c>
    </row>
    <row r="178" spans="1:19" hidden="1" x14ac:dyDescent="0.2">
      <c r="A178" s="1294">
        <v>2</v>
      </c>
      <c r="B178" s="1292" t="s">
        <v>1778</v>
      </c>
      <c r="C178" s="1353" t="s">
        <v>1779</v>
      </c>
      <c r="D178" s="1353" t="s">
        <v>4101</v>
      </c>
      <c r="E178" s="977" t="s">
        <v>90</v>
      </c>
      <c r="F178" s="1250" t="s">
        <v>193</v>
      </c>
      <c r="G178" s="2601"/>
      <c r="H178" s="2240"/>
      <c r="I178" s="2589"/>
      <c r="J178" s="2240"/>
      <c r="K178" s="2240"/>
      <c r="L178" s="2576"/>
      <c r="M178" s="2575"/>
      <c r="N178" s="308"/>
      <c r="O178" s="2602"/>
      <c r="P178" s="1323">
        <f>O178*N178</f>
        <v>0</v>
      </c>
      <c r="Q178" s="1323"/>
      <c r="R178" s="975">
        <f>'Ab1. RMNCH+A'!Q308</f>
        <v>0</v>
      </c>
      <c r="S178" s="1324">
        <f>'Ab1. RMNCH+A'!R308</f>
        <v>0</v>
      </c>
    </row>
    <row r="179" spans="1:19" hidden="1" x14ac:dyDescent="0.2">
      <c r="A179" s="1294">
        <v>3</v>
      </c>
      <c r="B179" s="1292" t="s">
        <v>1780</v>
      </c>
      <c r="C179" s="502" t="s">
        <v>1781</v>
      </c>
      <c r="D179" s="502" t="s">
        <v>1782</v>
      </c>
      <c r="E179" s="977" t="s">
        <v>90</v>
      </c>
      <c r="F179" s="1250" t="s">
        <v>193</v>
      </c>
      <c r="G179" s="82"/>
      <c r="H179" s="82"/>
      <c r="I179" s="82"/>
      <c r="J179" s="82"/>
      <c r="K179" s="82"/>
      <c r="L179" s="363"/>
      <c r="M179" s="304"/>
      <c r="N179" s="308"/>
      <c r="O179" s="304"/>
      <c r="P179" s="1323">
        <f>O179*N179</f>
        <v>0</v>
      </c>
      <c r="Q179" s="1323"/>
      <c r="R179" s="975">
        <f>'Ab1. RMNCH+A'!Q309</f>
        <v>0</v>
      </c>
      <c r="S179" s="1324">
        <f>'Ab1. RMNCH+A'!R309</f>
        <v>0</v>
      </c>
    </row>
    <row r="180" spans="1:19" ht="30" hidden="1" x14ac:dyDescent="0.2">
      <c r="A180" s="1294">
        <v>4</v>
      </c>
      <c r="B180" s="1292" t="s">
        <v>1783</v>
      </c>
      <c r="C180" s="510"/>
      <c r="D180" s="502" t="s">
        <v>1739</v>
      </c>
      <c r="E180" s="977" t="s">
        <v>90</v>
      </c>
      <c r="F180" s="1250" t="s">
        <v>193</v>
      </c>
      <c r="G180" s="82"/>
      <c r="H180" s="82"/>
      <c r="I180" s="82"/>
      <c r="J180" s="82"/>
      <c r="K180" s="82"/>
      <c r="L180" s="363"/>
      <c r="M180" s="304"/>
      <c r="N180" s="308"/>
      <c r="O180" s="304"/>
      <c r="P180" s="1323">
        <f>O180*N180</f>
        <v>0</v>
      </c>
      <c r="Q180" s="1323"/>
      <c r="R180" s="975">
        <f>'Ab1. RMNCH+A'!Q310</f>
        <v>0</v>
      </c>
      <c r="S180" s="1324">
        <f>'Ab1. RMNCH+A'!R310</f>
        <v>0</v>
      </c>
    </row>
    <row r="181" spans="1:19" hidden="1" x14ac:dyDescent="0.2">
      <c r="A181" s="1316" t="s">
        <v>4673</v>
      </c>
      <c r="B181" s="1347" t="s">
        <v>1784</v>
      </c>
      <c r="C181" s="1348"/>
      <c r="D181" s="1349" t="s">
        <v>1785</v>
      </c>
      <c r="E181" s="1350"/>
      <c r="F181" s="916"/>
      <c r="G181" s="324"/>
      <c r="H181" s="324"/>
      <c r="I181" s="1352"/>
      <c r="J181" s="1352"/>
      <c r="K181" s="1352"/>
      <c r="L181" s="179"/>
      <c r="M181" s="324"/>
      <c r="N181" s="1352"/>
      <c r="O181" s="324"/>
      <c r="P181" s="1352">
        <f>SUM(P182:P183)</f>
        <v>0</v>
      </c>
      <c r="Q181" s="1352"/>
      <c r="R181" s="974"/>
      <c r="S181" s="1225">
        <f>SUM(S182:S183)</f>
        <v>0</v>
      </c>
    </row>
    <row r="182" spans="1:19" hidden="1" x14ac:dyDescent="0.2">
      <c r="A182" s="1294">
        <v>1</v>
      </c>
      <c r="B182" s="1292" t="s">
        <v>1786</v>
      </c>
      <c r="C182" s="502" t="s">
        <v>1787</v>
      </c>
      <c r="D182" s="502" t="s">
        <v>1788</v>
      </c>
      <c r="E182" s="1277" t="s">
        <v>90</v>
      </c>
      <c r="F182" s="1250" t="s">
        <v>96</v>
      </c>
      <c r="G182" s="2575"/>
      <c r="H182" s="2240"/>
      <c r="I182" s="2589"/>
      <c r="J182" s="2240"/>
      <c r="K182" s="2240"/>
      <c r="L182" s="2576"/>
      <c r="M182" s="2575"/>
      <c r="N182" s="308"/>
      <c r="O182" s="304"/>
      <c r="P182" s="1323">
        <f>O182*N182</f>
        <v>0</v>
      </c>
      <c r="Q182" s="1323"/>
      <c r="R182" s="975">
        <f>'Ab1. RMNCH+A'!Q360</f>
        <v>0</v>
      </c>
      <c r="S182" s="1324">
        <f>'Ab1. RMNCH+A'!R360</f>
        <v>0</v>
      </c>
    </row>
    <row r="183" spans="1:19" ht="30" hidden="1" x14ac:dyDescent="0.2">
      <c r="A183" s="1294">
        <v>2</v>
      </c>
      <c r="B183" s="1292" t="s">
        <v>1789</v>
      </c>
      <c r="C183" s="510"/>
      <c r="D183" s="502" t="s">
        <v>1739</v>
      </c>
      <c r="E183" s="1277" t="s">
        <v>90</v>
      </c>
      <c r="F183" s="1250" t="s">
        <v>96</v>
      </c>
      <c r="G183" s="82"/>
      <c r="H183" s="82"/>
      <c r="I183" s="82"/>
      <c r="J183" s="82"/>
      <c r="K183" s="82"/>
      <c r="L183" s="363"/>
      <c r="M183" s="304"/>
      <c r="N183" s="308"/>
      <c r="O183" s="304"/>
      <c r="P183" s="1323">
        <f>O183*N183</f>
        <v>0</v>
      </c>
      <c r="Q183" s="1323"/>
      <c r="R183" s="975">
        <f>'Ab1. RMNCH+A'!Q361</f>
        <v>0</v>
      </c>
      <c r="S183" s="1324">
        <f>'Ab1. RMNCH+A'!R361</f>
        <v>0</v>
      </c>
    </row>
    <row r="184" spans="1:19" hidden="1" x14ac:dyDescent="0.2">
      <c r="A184" s="1316" t="s">
        <v>4674</v>
      </c>
      <c r="B184" s="1347" t="s">
        <v>1826</v>
      </c>
      <c r="C184" s="1348"/>
      <c r="D184" s="1349" t="s">
        <v>4996</v>
      </c>
      <c r="E184" s="1350"/>
      <c r="F184" s="916"/>
      <c r="G184" s="324"/>
      <c r="H184" s="324"/>
      <c r="I184" s="1352"/>
      <c r="J184" s="1352"/>
      <c r="K184" s="1352"/>
      <c r="L184" s="179"/>
      <c r="M184" s="324"/>
      <c r="N184" s="1352"/>
      <c r="O184" s="324"/>
      <c r="P184" s="1352">
        <f>SUM(P185:P186)</f>
        <v>0</v>
      </c>
      <c r="Q184" s="1352"/>
      <c r="R184" s="974"/>
      <c r="S184" s="1225">
        <f>SUM(S185:S186)</f>
        <v>0</v>
      </c>
    </row>
    <row r="185" spans="1:19" hidden="1" x14ac:dyDescent="0.2">
      <c r="A185" s="1294">
        <v>1</v>
      </c>
      <c r="B185" s="1291" t="s">
        <v>1809</v>
      </c>
      <c r="C185" s="502" t="s">
        <v>1810</v>
      </c>
      <c r="D185" s="502" t="s">
        <v>1811</v>
      </c>
      <c r="E185" s="1277" t="s">
        <v>90</v>
      </c>
      <c r="F185" s="1250" t="s">
        <v>205</v>
      </c>
      <c r="G185" s="2575"/>
      <c r="H185" s="2240"/>
      <c r="I185" s="2589"/>
      <c r="J185" s="2240"/>
      <c r="K185" s="2586"/>
      <c r="L185" s="2576"/>
      <c r="M185" s="2575"/>
      <c r="N185" s="308"/>
      <c r="O185" s="2575"/>
      <c r="P185" s="1323">
        <f>O185*N185</f>
        <v>0</v>
      </c>
      <c r="Q185" s="1323"/>
      <c r="R185" s="975">
        <f>'Ab1. RMNCH+A'!Q412</f>
        <v>0</v>
      </c>
      <c r="S185" s="1324">
        <f>'Ab1. RMNCH+A'!R412</f>
        <v>0</v>
      </c>
    </row>
    <row r="186" spans="1:19" ht="30" hidden="1" x14ac:dyDescent="0.2">
      <c r="A186" s="1294">
        <v>2</v>
      </c>
      <c r="B186" s="1291" t="s">
        <v>1812</v>
      </c>
      <c r="C186" s="502" t="s">
        <v>1636</v>
      </c>
      <c r="D186" s="502" t="s">
        <v>1813</v>
      </c>
      <c r="E186" s="1277" t="s">
        <v>90</v>
      </c>
      <c r="F186" s="1250" t="s">
        <v>205</v>
      </c>
      <c r="G186" s="2575"/>
      <c r="H186" s="2240"/>
      <c r="I186" s="2589"/>
      <c r="J186" s="2240"/>
      <c r="K186" s="2240"/>
      <c r="L186" s="2598"/>
      <c r="M186" s="2575"/>
      <c r="N186" s="308"/>
      <c r="O186" s="2575"/>
      <c r="P186" s="1323">
        <f>O186*N186</f>
        <v>0</v>
      </c>
      <c r="Q186" s="1323"/>
      <c r="R186" s="975">
        <f>'Ab1. RMNCH+A'!Q413</f>
        <v>0</v>
      </c>
      <c r="S186" s="1324">
        <f>'Ab1. RMNCH+A'!R413</f>
        <v>0</v>
      </c>
    </row>
    <row r="187" spans="1:19" hidden="1" x14ac:dyDescent="0.2">
      <c r="A187" s="1316" t="s">
        <v>4675</v>
      </c>
      <c r="B187" s="1347" t="s">
        <v>1826</v>
      </c>
      <c r="C187" s="1348"/>
      <c r="D187" s="1349" t="s">
        <v>1827</v>
      </c>
      <c r="E187" s="1350"/>
      <c r="F187" s="916"/>
      <c r="G187" s="324"/>
      <c r="H187" s="324"/>
      <c r="I187" s="1352"/>
      <c r="J187" s="1352"/>
      <c r="K187" s="1352"/>
      <c r="L187" s="179"/>
      <c r="M187" s="324"/>
      <c r="N187" s="1352"/>
      <c r="O187" s="324"/>
      <c r="P187" s="1352">
        <f>SUM(P188:P189)</f>
        <v>0</v>
      </c>
      <c r="Q187" s="1352"/>
      <c r="R187" s="974"/>
      <c r="S187" s="1225">
        <f>SUM(S188:S189)</f>
        <v>0</v>
      </c>
    </row>
    <row r="188" spans="1:19" hidden="1" x14ac:dyDescent="0.2">
      <c r="A188" s="1294">
        <v>1</v>
      </c>
      <c r="B188" s="1292" t="s">
        <v>1828</v>
      </c>
      <c r="C188" s="1292" t="s">
        <v>1829</v>
      </c>
      <c r="D188" s="1292" t="s">
        <v>2393</v>
      </c>
      <c r="E188" s="1277" t="s">
        <v>90</v>
      </c>
      <c r="F188" s="1250" t="s">
        <v>208</v>
      </c>
      <c r="G188" s="2575"/>
      <c r="H188" s="2259"/>
      <c r="I188" s="2589"/>
      <c r="J188" s="2259"/>
      <c r="K188" s="2240"/>
      <c r="L188" s="2576"/>
      <c r="M188" s="2575"/>
      <c r="N188" s="308"/>
      <c r="O188" s="304"/>
      <c r="P188" s="1323">
        <f>O188*N188</f>
        <v>0</v>
      </c>
      <c r="Q188" s="1323"/>
      <c r="R188" s="975">
        <f>'Ab2. NIDDCP'!Q13</f>
        <v>0</v>
      </c>
      <c r="S188" s="1324">
        <f>'Ab2. NIDDCP'!R13</f>
        <v>0</v>
      </c>
    </row>
    <row r="189" spans="1:19" hidden="1" x14ac:dyDescent="0.2">
      <c r="A189" s="1294">
        <v>2</v>
      </c>
      <c r="B189" s="1292" t="s">
        <v>1830</v>
      </c>
      <c r="C189" s="510"/>
      <c r="D189" s="502" t="s">
        <v>1815</v>
      </c>
      <c r="E189" s="1277" t="s">
        <v>90</v>
      </c>
      <c r="F189" s="1250" t="s">
        <v>208</v>
      </c>
      <c r="G189" s="82"/>
      <c r="H189" s="82"/>
      <c r="I189" s="82"/>
      <c r="J189" s="82"/>
      <c r="K189" s="82"/>
      <c r="L189" s="363"/>
      <c r="M189" s="304"/>
      <c r="N189" s="308"/>
      <c r="O189" s="304"/>
      <c r="P189" s="1323">
        <f>O189*N189</f>
        <v>0</v>
      </c>
      <c r="Q189" s="1323"/>
      <c r="R189" s="975">
        <f>'Ab2. NIDDCP'!Q14</f>
        <v>0</v>
      </c>
      <c r="S189" s="1324">
        <f>'Ab2. NIDDCP'!R14</f>
        <v>0</v>
      </c>
    </row>
    <row r="190" spans="1:19" hidden="1" x14ac:dyDescent="0.2">
      <c r="A190" s="3903" t="s">
        <v>4976</v>
      </c>
      <c r="B190" s="3903"/>
      <c r="C190" s="3903"/>
      <c r="D190" s="3903"/>
      <c r="E190" s="1165"/>
      <c r="F190" s="1165"/>
      <c r="G190" s="340"/>
      <c r="H190" s="340"/>
      <c r="I190" s="340"/>
      <c r="J190" s="340"/>
      <c r="K190" s="340"/>
      <c r="L190" s="340"/>
      <c r="M190" s="340"/>
      <c r="N190" s="1313"/>
      <c r="O190" s="580"/>
      <c r="P190" s="1313"/>
      <c r="Q190" s="1313"/>
      <c r="R190" s="1144"/>
      <c r="S190" s="1126"/>
    </row>
    <row r="191" spans="1:19" hidden="1" x14ac:dyDescent="0.2">
      <c r="A191" s="1316" t="s">
        <v>4358</v>
      </c>
      <c r="B191" s="1347" t="s">
        <v>1790</v>
      </c>
      <c r="C191" s="1348"/>
      <c r="D191" s="1349" t="s">
        <v>1791</v>
      </c>
      <c r="E191" s="1350"/>
      <c r="F191" s="916"/>
      <c r="G191" s="324"/>
      <c r="H191" s="324"/>
      <c r="I191" s="1352"/>
      <c r="J191" s="1352"/>
      <c r="K191" s="1352"/>
      <c r="L191" s="179"/>
      <c r="M191" s="324"/>
      <c r="N191" s="1352"/>
      <c r="O191" s="324"/>
      <c r="P191" s="1352">
        <f>SUM(P192:P196)</f>
        <v>0</v>
      </c>
      <c r="Q191" s="1352"/>
      <c r="R191" s="974"/>
      <c r="S191" s="1225">
        <f>SUM(S192:S196)</f>
        <v>0</v>
      </c>
    </row>
    <row r="192" spans="1:19" hidden="1" x14ac:dyDescent="0.2">
      <c r="A192" s="1294">
        <v>1</v>
      </c>
      <c r="B192" s="1292" t="s">
        <v>1792</v>
      </c>
      <c r="C192" s="502" t="s">
        <v>1793</v>
      </c>
      <c r="D192" s="502" t="s">
        <v>1794</v>
      </c>
      <c r="E192" s="886" t="s">
        <v>70</v>
      </c>
      <c r="F192" s="1343" t="s">
        <v>4995</v>
      </c>
      <c r="G192" s="82"/>
      <c r="H192" s="82"/>
      <c r="I192" s="82"/>
      <c r="J192" s="82"/>
      <c r="K192" s="82"/>
      <c r="L192" s="363"/>
      <c r="M192" s="304"/>
      <c r="N192" s="308"/>
      <c r="O192" s="304"/>
      <c r="P192" s="1323">
        <f>O192*N192</f>
        <v>0</v>
      </c>
      <c r="Q192" s="1323"/>
      <c r="R192" s="975">
        <f>'Ab3. ASHA'!Q83</f>
        <v>0</v>
      </c>
      <c r="S192" s="1333">
        <f>'Ab3. ASHA'!R83</f>
        <v>0</v>
      </c>
    </row>
    <row r="193" spans="1:19" hidden="1" x14ac:dyDescent="0.2">
      <c r="A193" s="1294">
        <v>2</v>
      </c>
      <c r="B193" s="1292" t="s">
        <v>1795</v>
      </c>
      <c r="C193" s="502" t="s">
        <v>1796</v>
      </c>
      <c r="D193" s="502" t="s">
        <v>1797</v>
      </c>
      <c r="E193" s="886" t="s">
        <v>70</v>
      </c>
      <c r="F193" s="1343" t="s">
        <v>4995</v>
      </c>
      <c r="G193" s="82"/>
      <c r="H193" s="82"/>
      <c r="I193" s="82"/>
      <c r="J193" s="82"/>
      <c r="K193" s="82"/>
      <c r="L193" s="363"/>
      <c r="M193" s="304"/>
      <c r="N193" s="308"/>
      <c r="O193" s="304"/>
      <c r="P193" s="1323">
        <f>O193*N193</f>
        <v>0</v>
      </c>
      <c r="Q193" s="1323"/>
      <c r="R193" s="975">
        <f>'Ab3. ASHA'!Q84</f>
        <v>0</v>
      </c>
      <c r="S193" s="1333">
        <f>'Ab3. ASHA'!R84</f>
        <v>0</v>
      </c>
    </row>
    <row r="194" spans="1:19" hidden="1" x14ac:dyDescent="0.2">
      <c r="A194" s="1294">
        <v>3</v>
      </c>
      <c r="B194" s="1292" t="s">
        <v>1798</v>
      </c>
      <c r="C194" s="502" t="s">
        <v>1799</v>
      </c>
      <c r="D194" s="502" t="s">
        <v>1800</v>
      </c>
      <c r="E194" s="886" t="s">
        <v>70</v>
      </c>
      <c r="F194" s="1343" t="s">
        <v>4995</v>
      </c>
      <c r="G194" s="2575"/>
      <c r="H194" s="2240"/>
      <c r="I194" s="2240"/>
      <c r="J194" s="2240"/>
      <c r="K194" s="2240"/>
      <c r="L194" s="2576"/>
      <c r="M194" s="2575"/>
      <c r="N194" s="308"/>
      <c r="O194" s="304"/>
      <c r="P194" s="1323">
        <f>O194*N194</f>
        <v>0</v>
      </c>
      <c r="Q194" s="1323"/>
      <c r="R194" s="975">
        <f>'Ab3. ASHA'!Q85</f>
        <v>0</v>
      </c>
      <c r="S194" s="1333">
        <f>'Ab3. ASHA'!R85</f>
        <v>0</v>
      </c>
    </row>
    <row r="195" spans="1:19" ht="136.5" hidden="1" customHeight="1" x14ac:dyDescent="0.2">
      <c r="A195" s="1294">
        <v>4</v>
      </c>
      <c r="B195" s="1292" t="s">
        <v>1801</v>
      </c>
      <c r="C195" s="502" t="s">
        <v>1802</v>
      </c>
      <c r="D195" s="502" t="s">
        <v>4936</v>
      </c>
      <c r="E195" s="886" t="s">
        <v>70</v>
      </c>
      <c r="F195" s="1343" t="s">
        <v>4995</v>
      </c>
      <c r="G195" s="82"/>
      <c r="H195" s="82"/>
      <c r="I195" s="82"/>
      <c r="J195" s="82"/>
      <c r="K195" s="82"/>
      <c r="L195" s="2576"/>
      <c r="M195" s="304"/>
      <c r="N195" s="308"/>
      <c r="O195" s="304"/>
      <c r="P195" s="1323">
        <f>O195*N195</f>
        <v>0</v>
      </c>
      <c r="Q195" s="1323"/>
      <c r="R195" s="975">
        <f>'Ab3. ASHA'!Q86</f>
        <v>0</v>
      </c>
      <c r="S195" s="1333">
        <f>'Ab3. ASHA'!R86</f>
        <v>0</v>
      </c>
    </row>
    <row r="196" spans="1:19" ht="30" hidden="1" x14ac:dyDescent="0.2">
      <c r="A196" s="1294">
        <v>5</v>
      </c>
      <c r="B196" s="1292" t="s">
        <v>4788</v>
      </c>
      <c r="C196" s="510"/>
      <c r="D196" s="502" t="s">
        <v>1739</v>
      </c>
      <c r="E196" s="886" t="s">
        <v>70</v>
      </c>
      <c r="F196" s="1343" t="s">
        <v>4995</v>
      </c>
      <c r="G196" s="82"/>
      <c r="H196" s="82"/>
      <c r="I196" s="82"/>
      <c r="J196" s="82"/>
      <c r="K196" s="82"/>
      <c r="L196" s="2576"/>
      <c r="M196" s="304"/>
      <c r="N196" s="308"/>
      <c r="O196" s="304"/>
      <c r="P196" s="1323">
        <f>O196*N196</f>
        <v>0</v>
      </c>
      <c r="Q196" s="1323"/>
      <c r="R196" s="3426">
        <f>'Ab3. ASHA'!Q87</f>
        <v>0</v>
      </c>
      <c r="S196" s="1333">
        <f>'Ab3. ASHA'!R87</f>
        <v>0</v>
      </c>
    </row>
    <row r="197" spans="1:19" ht="30" hidden="1" x14ac:dyDescent="0.2">
      <c r="A197" s="1316" t="s">
        <v>4359</v>
      </c>
      <c r="B197" s="1347" t="s">
        <v>1803</v>
      </c>
      <c r="C197" s="1348"/>
      <c r="D197" s="1349" t="s">
        <v>2571</v>
      </c>
      <c r="E197" s="1350"/>
      <c r="F197" s="916"/>
      <c r="G197" s="324"/>
      <c r="H197" s="324"/>
      <c r="I197" s="1352"/>
      <c r="J197" s="1352"/>
      <c r="K197" s="1352"/>
      <c r="L197" s="179"/>
      <c r="M197" s="324"/>
      <c r="N197" s="1352"/>
      <c r="O197" s="324"/>
      <c r="P197" s="1352">
        <f>P198+P199</f>
        <v>0</v>
      </c>
      <c r="Q197" s="1352"/>
      <c r="R197" s="974"/>
      <c r="S197" s="1225">
        <f>S198+S199</f>
        <v>0</v>
      </c>
    </row>
    <row r="198" spans="1:19" ht="78.75" hidden="1" customHeight="1" x14ac:dyDescent="0.2">
      <c r="A198" s="1325">
        <v>1</v>
      </c>
      <c r="B198" s="1292" t="s">
        <v>1804</v>
      </c>
      <c r="C198" s="1354" t="s">
        <v>1805</v>
      </c>
      <c r="D198" s="2838" t="s">
        <v>2373</v>
      </c>
      <c r="E198" s="886" t="s">
        <v>70</v>
      </c>
      <c r="F198" s="1250" t="s">
        <v>3312</v>
      </c>
      <c r="G198" s="2575"/>
      <c r="H198" s="2240"/>
      <c r="I198" s="2589"/>
      <c r="J198" s="2240"/>
      <c r="K198" s="2240"/>
      <c r="L198" s="2576"/>
      <c r="M198" s="2575"/>
      <c r="N198" s="308"/>
      <c r="O198" s="2575"/>
      <c r="P198" s="1323">
        <f>O198*N198</f>
        <v>0</v>
      </c>
      <c r="Q198" s="1323"/>
      <c r="R198" s="975">
        <f>'Abs5. Blood services &amp; Disorder'!Q17</f>
        <v>0</v>
      </c>
      <c r="S198" s="1333">
        <f>'Abs5. Blood services &amp; Disorder'!R17</f>
        <v>0</v>
      </c>
    </row>
    <row r="199" spans="1:19" ht="45" hidden="1" x14ac:dyDescent="0.2">
      <c r="A199" s="1325">
        <v>2</v>
      </c>
      <c r="B199" s="1292" t="s">
        <v>2372</v>
      </c>
      <c r="C199" s="1354" t="s">
        <v>1805</v>
      </c>
      <c r="D199" s="1354" t="s">
        <v>4102</v>
      </c>
      <c r="E199" s="886" t="s">
        <v>70</v>
      </c>
      <c r="F199" s="1250" t="s">
        <v>3312</v>
      </c>
      <c r="G199" s="2575"/>
      <c r="H199" s="2259"/>
      <c r="I199" s="2589"/>
      <c r="J199" s="2259"/>
      <c r="K199" s="2240"/>
      <c r="L199" s="2576"/>
      <c r="M199" s="2575"/>
      <c r="N199" s="308"/>
      <c r="O199" s="2575"/>
      <c r="P199" s="1323">
        <f>O199*N199</f>
        <v>0</v>
      </c>
      <c r="Q199" s="1323"/>
      <c r="R199" s="3426">
        <f>'Abs5. Blood services &amp; Disorder'!Q18</f>
        <v>0</v>
      </c>
      <c r="S199" s="3427">
        <f>'Abs5. Blood services &amp; Disorder'!R18</f>
        <v>0</v>
      </c>
    </row>
    <row r="200" spans="1:19" hidden="1" x14ac:dyDescent="0.2">
      <c r="A200" s="1316" t="s">
        <v>4362</v>
      </c>
      <c r="B200" s="1347" t="s">
        <v>1806</v>
      </c>
      <c r="C200" s="1348"/>
      <c r="D200" s="1349" t="s">
        <v>1808</v>
      </c>
      <c r="E200" s="1350"/>
      <c r="F200" s="916"/>
      <c r="G200" s="324"/>
      <c r="H200" s="324"/>
      <c r="I200" s="1352"/>
      <c r="J200" s="1352"/>
      <c r="K200" s="1352"/>
      <c r="L200" s="179"/>
      <c r="M200" s="324"/>
      <c r="N200" s="1352"/>
      <c r="O200" s="324"/>
      <c r="P200" s="1352">
        <f>P201</f>
        <v>0</v>
      </c>
      <c r="Q200" s="1352"/>
      <c r="R200" s="974"/>
      <c r="S200" s="1225">
        <f>S201</f>
        <v>0</v>
      </c>
    </row>
    <row r="201" spans="1:19" hidden="1" x14ac:dyDescent="0.2">
      <c r="A201" s="1294">
        <v>3</v>
      </c>
      <c r="B201" s="1292" t="s">
        <v>1814</v>
      </c>
      <c r="C201" s="502" t="s">
        <v>1807</v>
      </c>
      <c r="D201" s="502"/>
      <c r="E201" s="886" t="s">
        <v>70</v>
      </c>
      <c r="F201" s="1250" t="s">
        <v>70</v>
      </c>
      <c r="G201" s="2575"/>
      <c r="H201" s="2240"/>
      <c r="I201" s="2240"/>
      <c r="J201" s="2240"/>
      <c r="K201" s="2240"/>
      <c r="L201" s="2576"/>
      <c r="M201" s="2575"/>
      <c r="N201" s="308"/>
      <c r="O201" s="2575"/>
      <c r="P201" s="1323">
        <f>O201*N201</f>
        <v>0</v>
      </c>
      <c r="Q201" s="1323"/>
      <c r="R201" s="987"/>
      <c r="S201" s="1365"/>
    </row>
    <row r="202" spans="1:19" hidden="1" x14ac:dyDescent="0.2">
      <c r="A202" s="1316" t="s">
        <v>4363</v>
      </c>
      <c r="B202" s="1347" t="s">
        <v>1816</v>
      </c>
      <c r="C202" s="1348" t="s">
        <v>1817</v>
      </c>
      <c r="D202" s="1349" t="s">
        <v>1818</v>
      </c>
      <c r="E202" s="1350"/>
      <c r="F202" s="916"/>
      <c r="G202" s="324"/>
      <c r="H202" s="324"/>
      <c r="I202" s="1352"/>
      <c r="J202" s="1352"/>
      <c r="K202" s="1352"/>
      <c r="L202" s="179"/>
      <c r="M202" s="324"/>
      <c r="N202" s="1352"/>
      <c r="O202" s="324"/>
      <c r="P202" s="1352">
        <f>SUM(P203:P204)</f>
        <v>0</v>
      </c>
      <c r="Q202" s="1352"/>
      <c r="R202" s="974"/>
      <c r="S202" s="1225">
        <f>SUM(S203:S204)</f>
        <v>0</v>
      </c>
    </row>
    <row r="203" spans="1:19" hidden="1" x14ac:dyDescent="0.2">
      <c r="A203" s="1294">
        <v>1</v>
      </c>
      <c r="B203" s="1292" t="s">
        <v>1819</v>
      </c>
      <c r="C203" s="510"/>
      <c r="D203" s="1344" t="s">
        <v>1818</v>
      </c>
      <c r="E203" s="886" t="s">
        <v>70</v>
      </c>
      <c r="F203" s="1250" t="s">
        <v>2857</v>
      </c>
      <c r="G203" s="82"/>
      <c r="H203" s="82"/>
      <c r="I203" s="82"/>
      <c r="J203" s="82"/>
      <c r="K203" s="82"/>
      <c r="L203" s="2583"/>
      <c r="M203" s="2582"/>
      <c r="N203" s="308"/>
      <c r="O203" s="304"/>
      <c r="P203" s="1323">
        <f>O203*N203</f>
        <v>0</v>
      </c>
      <c r="Q203" s="1323"/>
      <c r="R203" s="975">
        <f>'Abs7. AYUSH'!Q9</f>
        <v>0</v>
      </c>
      <c r="S203" s="1333">
        <f>'Abs7. AYUSH'!R9</f>
        <v>0</v>
      </c>
    </row>
    <row r="204" spans="1:19" hidden="1" x14ac:dyDescent="0.2">
      <c r="A204" s="1294">
        <v>2</v>
      </c>
      <c r="B204" s="1292" t="s">
        <v>1820</v>
      </c>
      <c r="C204" s="510"/>
      <c r="D204" s="1334" t="s">
        <v>4523</v>
      </c>
      <c r="E204" s="886" t="s">
        <v>70</v>
      </c>
      <c r="F204" s="1250" t="s">
        <v>2857</v>
      </c>
      <c r="G204" s="82"/>
      <c r="H204" s="82"/>
      <c r="I204" s="82"/>
      <c r="J204" s="82"/>
      <c r="K204" s="82"/>
      <c r="L204" s="362"/>
      <c r="M204" s="304"/>
      <c r="N204" s="308"/>
      <c r="O204" s="304"/>
      <c r="P204" s="1323">
        <f>O204*N204</f>
        <v>0</v>
      </c>
      <c r="Q204" s="1323"/>
      <c r="R204" s="975">
        <f>'Abs7. AYUSH'!Q10</f>
        <v>0</v>
      </c>
      <c r="S204" s="1333">
        <f>'Abs7. AYUSH'!R10</f>
        <v>0</v>
      </c>
    </row>
    <row r="205" spans="1:19" hidden="1" x14ac:dyDescent="0.2">
      <c r="A205" s="1316" t="s">
        <v>4364</v>
      </c>
      <c r="B205" s="1347" t="s">
        <v>2388</v>
      </c>
      <c r="C205" s="1348" t="s">
        <v>1928</v>
      </c>
      <c r="D205" s="1349" t="s">
        <v>1929</v>
      </c>
      <c r="E205" s="1350"/>
      <c r="F205" s="916"/>
      <c r="G205" s="324"/>
      <c r="H205" s="324"/>
      <c r="I205" s="1352"/>
      <c r="J205" s="1352"/>
      <c r="K205" s="1352"/>
      <c r="L205" s="179"/>
      <c r="M205" s="324"/>
      <c r="N205" s="1352"/>
      <c r="O205" s="324"/>
      <c r="P205" s="1352">
        <f>SUM(P206:P207)</f>
        <v>0</v>
      </c>
      <c r="Q205" s="1352"/>
      <c r="R205" s="974"/>
      <c r="S205" s="1225">
        <f>SUM(S206:S207)</f>
        <v>0</v>
      </c>
    </row>
    <row r="206" spans="1:19" hidden="1" x14ac:dyDescent="0.2">
      <c r="A206" s="1294">
        <v>1</v>
      </c>
      <c r="B206" s="1292" t="s">
        <v>2389</v>
      </c>
      <c r="C206" s="502" t="s">
        <v>1931</v>
      </c>
      <c r="D206" s="502" t="s">
        <v>4487</v>
      </c>
      <c r="E206" s="886" t="s">
        <v>70</v>
      </c>
      <c r="F206" s="1250" t="s">
        <v>70</v>
      </c>
      <c r="G206" s="2575"/>
      <c r="H206" s="2240"/>
      <c r="I206" s="2592"/>
      <c r="J206" s="2259"/>
      <c r="K206" s="2240"/>
      <c r="L206" s="2576"/>
      <c r="M206" s="2575"/>
      <c r="N206" s="308"/>
      <c r="O206" s="304"/>
      <c r="P206" s="1323">
        <f>O206*N206</f>
        <v>0</v>
      </c>
      <c r="Q206" s="1323"/>
      <c r="R206" s="987"/>
      <c r="S206" s="3366"/>
    </row>
    <row r="207" spans="1:19" ht="30" hidden="1" x14ac:dyDescent="0.2">
      <c r="A207" s="1294">
        <v>2</v>
      </c>
      <c r="B207" s="1292" t="s">
        <v>2390</v>
      </c>
      <c r="C207" s="502" t="s">
        <v>1933</v>
      </c>
      <c r="D207" s="502" t="s">
        <v>1934</v>
      </c>
      <c r="E207" s="886" t="s">
        <v>70</v>
      </c>
      <c r="F207" s="1250" t="s">
        <v>70</v>
      </c>
      <c r="G207" s="2575"/>
      <c r="H207" s="2240"/>
      <c r="I207" s="2592"/>
      <c r="J207" s="2259"/>
      <c r="K207" s="2240"/>
      <c r="L207" s="2576"/>
      <c r="M207" s="2575"/>
      <c r="N207" s="308"/>
      <c r="O207" s="304"/>
      <c r="P207" s="1323">
        <f>O207*N207</f>
        <v>0</v>
      </c>
      <c r="Q207" s="1323"/>
      <c r="R207" s="987"/>
      <c r="S207" s="3366"/>
    </row>
    <row r="208" spans="1:19" ht="30" hidden="1" x14ac:dyDescent="0.2">
      <c r="A208" s="1316" t="s">
        <v>4673</v>
      </c>
      <c r="B208" s="1347" t="s">
        <v>2417</v>
      </c>
      <c r="C208" s="1349" t="s">
        <v>2041</v>
      </c>
      <c r="D208" s="1349" t="s">
        <v>2572</v>
      </c>
      <c r="E208" s="1350"/>
      <c r="F208" s="916"/>
      <c r="G208" s="324"/>
      <c r="H208" s="324"/>
      <c r="I208" s="1352"/>
      <c r="J208" s="1352"/>
      <c r="K208" s="1352"/>
      <c r="L208" s="179"/>
      <c r="M208" s="324"/>
      <c r="N208" s="1352"/>
      <c r="O208" s="324"/>
      <c r="P208" s="1352">
        <f>SUM(P209:P210)</f>
        <v>0</v>
      </c>
      <c r="Q208" s="1352"/>
      <c r="R208" s="974"/>
      <c r="S208" s="1225">
        <f>SUM(S209:S210)</f>
        <v>0</v>
      </c>
    </row>
    <row r="209" spans="1:19" hidden="1" x14ac:dyDescent="0.2">
      <c r="A209" s="1294">
        <v>1</v>
      </c>
      <c r="B209" s="1292" t="s">
        <v>2418</v>
      </c>
      <c r="C209" s="510"/>
      <c r="D209" s="502" t="s">
        <v>4809</v>
      </c>
      <c r="E209" s="886" t="s">
        <v>70</v>
      </c>
      <c r="F209" s="1336" t="s">
        <v>4365</v>
      </c>
      <c r="G209" s="82"/>
      <c r="H209" s="82"/>
      <c r="I209" s="82"/>
      <c r="J209" s="82"/>
      <c r="K209" s="82"/>
      <c r="L209" s="2576"/>
      <c r="M209" s="304"/>
      <c r="N209" s="308"/>
      <c r="O209" s="304"/>
      <c r="P209" s="1323">
        <f>O209*N209</f>
        <v>0</v>
      </c>
      <c r="Q209" s="1323"/>
      <c r="R209" s="975">
        <f>'Abs6. CPHC'!Q15</f>
        <v>0</v>
      </c>
      <c r="S209" s="1324">
        <f>'Abs6. CPHC'!R15</f>
        <v>0</v>
      </c>
    </row>
    <row r="210" spans="1:19" hidden="1" x14ac:dyDescent="0.2">
      <c r="A210" s="1294">
        <v>2</v>
      </c>
      <c r="B210" s="1292" t="s">
        <v>2419</v>
      </c>
      <c r="C210" s="510"/>
      <c r="D210" s="502" t="s">
        <v>4810</v>
      </c>
      <c r="E210" s="886" t="s">
        <v>70</v>
      </c>
      <c r="F210" s="1336" t="s">
        <v>4365</v>
      </c>
      <c r="G210" s="2575"/>
      <c r="H210" s="2240"/>
      <c r="I210" s="2240"/>
      <c r="J210" s="2240"/>
      <c r="K210" s="2240"/>
      <c r="L210" s="2576"/>
      <c r="M210" s="2575"/>
      <c r="N210" s="308"/>
      <c r="O210" s="304"/>
      <c r="P210" s="1323">
        <f>O210*N210</f>
        <v>0</v>
      </c>
      <c r="Q210" s="1323"/>
      <c r="R210" s="975">
        <f>'Abs6. CPHC'!Q16</f>
        <v>0</v>
      </c>
      <c r="S210" s="1324">
        <f>'Abs6. CPHC'!R16</f>
        <v>0</v>
      </c>
    </row>
    <row r="211" spans="1:19" hidden="1" x14ac:dyDescent="0.2">
      <c r="A211" s="1316" t="s">
        <v>4674</v>
      </c>
      <c r="B211" s="1266">
        <v>6.3</v>
      </c>
      <c r="C211" s="1267"/>
      <c r="D211" s="1266" t="s">
        <v>4494</v>
      </c>
      <c r="E211" s="908"/>
      <c r="F211" s="908"/>
      <c r="G211" s="109"/>
      <c r="H211" s="109"/>
      <c r="I211" s="1107"/>
      <c r="J211" s="1107"/>
      <c r="K211" s="1107"/>
      <c r="L211" s="109"/>
      <c r="M211" s="109"/>
      <c r="N211" s="1107"/>
      <c r="O211" s="359"/>
      <c r="P211" s="1107">
        <f>P212</f>
        <v>0</v>
      </c>
      <c r="Q211" s="1107"/>
      <c r="R211" s="971"/>
      <c r="S211" s="1220">
        <f>S212</f>
        <v>0</v>
      </c>
    </row>
    <row r="212" spans="1:19" hidden="1" x14ac:dyDescent="0.2">
      <c r="A212" s="1294">
        <v>1</v>
      </c>
      <c r="B212" s="1292" t="s">
        <v>1935</v>
      </c>
      <c r="C212" s="510"/>
      <c r="D212" s="502"/>
      <c r="E212" s="886" t="s">
        <v>70</v>
      </c>
      <c r="F212" s="1250" t="s">
        <v>70</v>
      </c>
      <c r="G212" s="2575"/>
      <c r="H212" s="2240"/>
      <c r="I212" s="2240"/>
      <c r="J212" s="2240"/>
      <c r="K212" s="2240"/>
      <c r="L212" s="2576"/>
      <c r="M212" s="2575"/>
      <c r="N212" s="308"/>
      <c r="O212" s="304"/>
      <c r="P212" s="1323">
        <f>O212*N212</f>
        <v>0</v>
      </c>
      <c r="Q212" s="1323"/>
      <c r="R212" s="3398"/>
      <c r="S212" s="1365">
        <v>0</v>
      </c>
    </row>
    <row r="213" spans="1:19" hidden="1" x14ac:dyDescent="0.2">
      <c r="A213" s="3903" t="s">
        <v>4937</v>
      </c>
      <c r="B213" s="3903"/>
      <c r="C213" s="3903"/>
      <c r="D213" s="3903"/>
      <c r="E213" s="1165"/>
      <c r="F213" s="1165"/>
      <c r="G213" s="340"/>
      <c r="H213" s="340"/>
      <c r="I213" s="340"/>
      <c r="J213" s="340"/>
      <c r="K213" s="340"/>
      <c r="L213" s="340"/>
      <c r="M213" s="340"/>
      <c r="N213" s="1313"/>
      <c r="O213" s="580"/>
      <c r="P213" s="1313"/>
      <c r="Q213" s="1313"/>
      <c r="R213" s="1144"/>
      <c r="S213" s="1126"/>
    </row>
    <row r="214" spans="1:19" hidden="1" x14ac:dyDescent="0.2">
      <c r="A214" s="1316" t="s">
        <v>4358</v>
      </c>
      <c r="B214" s="1347" t="s">
        <v>1831</v>
      </c>
      <c r="C214" s="1348"/>
      <c r="D214" s="1349" t="s">
        <v>1832</v>
      </c>
      <c r="E214" s="1350"/>
      <c r="F214" s="916"/>
      <c r="G214" s="324"/>
      <c r="H214" s="324"/>
      <c r="I214" s="1352"/>
      <c r="J214" s="1352"/>
      <c r="K214" s="1352"/>
      <c r="L214" s="179"/>
      <c r="M214" s="324"/>
      <c r="N214" s="1352"/>
      <c r="O214" s="324"/>
      <c r="P214" s="1352">
        <f>SUM(P215:P231)</f>
        <v>0</v>
      </c>
      <c r="Q214" s="1352"/>
      <c r="R214" s="974"/>
      <c r="S214" s="1225">
        <f>SUM(S215:S231)</f>
        <v>0</v>
      </c>
    </row>
    <row r="215" spans="1:19" hidden="1" x14ac:dyDescent="0.2">
      <c r="A215" s="1294">
        <v>1</v>
      </c>
      <c r="B215" s="1292" t="s">
        <v>1833</v>
      </c>
      <c r="C215" s="1293" t="s">
        <v>1834</v>
      </c>
      <c r="D215" s="1293" t="s">
        <v>1835</v>
      </c>
      <c r="E215" s="980" t="s">
        <v>4366</v>
      </c>
      <c r="F215" s="1250" t="s">
        <v>1315</v>
      </c>
      <c r="G215" s="2575"/>
      <c r="H215" s="2240"/>
      <c r="I215" s="2589"/>
      <c r="J215" s="2240"/>
      <c r="K215" s="2240"/>
      <c r="L215" s="2576"/>
      <c r="M215" s="2575"/>
      <c r="N215" s="308"/>
      <c r="O215" s="2575"/>
      <c r="P215" s="1323">
        <f t="shared" ref="P215:P231" si="9">O215*N215</f>
        <v>0</v>
      </c>
      <c r="Q215" s="1323"/>
      <c r="R215" s="975">
        <f>'Abs9. NVBDCP'!Q44</f>
        <v>0</v>
      </c>
      <c r="S215" s="1333">
        <f>'Abs9. NVBDCP'!R44</f>
        <v>0</v>
      </c>
    </row>
    <row r="216" spans="1:19" hidden="1" x14ac:dyDescent="0.2">
      <c r="A216" s="1294">
        <v>2</v>
      </c>
      <c r="B216" s="1292" t="s">
        <v>1836</v>
      </c>
      <c r="C216" s="1293" t="s">
        <v>1837</v>
      </c>
      <c r="D216" s="1293" t="s">
        <v>1838</v>
      </c>
      <c r="E216" s="980" t="s">
        <v>4366</v>
      </c>
      <c r="F216" s="1250" t="s">
        <v>4986</v>
      </c>
      <c r="G216" s="2575"/>
      <c r="H216" s="2240"/>
      <c r="I216" s="2589"/>
      <c r="J216" s="2240"/>
      <c r="K216" s="2240"/>
      <c r="L216" s="2576"/>
      <c r="M216" s="2575"/>
      <c r="N216" s="308"/>
      <c r="O216" s="2575"/>
      <c r="P216" s="1323">
        <f t="shared" si="9"/>
        <v>0</v>
      </c>
      <c r="Q216" s="1323"/>
      <c r="R216" s="975">
        <f>'Abs9. NVBDCP'!Q45</f>
        <v>0</v>
      </c>
      <c r="S216" s="1333">
        <f>'Abs9. NVBDCP'!R45</f>
        <v>0</v>
      </c>
    </row>
    <row r="217" spans="1:19" hidden="1" x14ac:dyDescent="0.2">
      <c r="A217" s="1294">
        <v>3</v>
      </c>
      <c r="B217" s="1292" t="s">
        <v>1839</v>
      </c>
      <c r="C217" s="1293" t="s">
        <v>1840</v>
      </c>
      <c r="D217" s="1293" t="s">
        <v>1841</v>
      </c>
      <c r="E217" s="980" t="s">
        <v>4366</v>
      </c>
      <c r="F217" s="1250" t="s">
        <v>4986</v>
      </c>
      <c r="G217" s="2575"/>
      <c r="H217" s="2240"/>
      <c r="I217" s="2589"/>
      <c r="J217" s="2240"/>
      <c r="K217" s="2240"/>
      <c r="L217" s="2576"/>
      <c r="M217" s="2575"/>
      <c r="N217" s="308"/>
      <c r="O217" s="2575"/>
      <c r="P217" s="1323">
        <f t="shared" si="9"/>
        <v>0</v>
      </c>
      <c r="Q217" s="1323"/>
      <c r="R217" s="975">
        <f>'Abs9. NVBDCP'!Q46</f>
        <v>0</v>
      </c>
      <c r="S217" s="1333">
        <f>'Abs9. NVBDCP'!R46</f>
        <v>0</v>
      </c>
    </row>
    <row r="218" spans="1:19" hidden="1" x14ac:dyDescent="0.2">
      <c r="A218" s="1294">
        <v>4</v>
      </c>
      <c r="B218" s="1292" t="s">
        <v>1842</v>
      </c>
      <c r="C218" s="1293" t="s">
        <v>1843</v>
      </c>
      <c r="D218" s="1293" t="s">
        <v>1844</v>
      </c>
      <c r="E218" s="980" t="s">
        <v>4366</v>
      </c>
      <c r="F218" s="1250" t="s">
        <v>4986</v>
      </c>
      <c r="G218" s="2575"/>
      <c r="H218" s="2240"/>
      <c r="I218" s="2589"/>
      <c r="J218" s="2240"/>
      <c r="K218" s="2240"/>
      <c r="L218" s="2576"/>
      <c r="M218" s="2575"/>
      <c r="N218" s="308"/>
      <c r="O218" s="2575"/>
      <c r="P218" s="1323">
        <f t="shared" si="9"/>
        <v>0</v>
      </c>
      <c r="Q218" s="1323"/>
      <c r="R218" s="975">
        <f>'Abs9. NVBDCP'!Q47</f>
        <v>0</v>
      </c>
      <c r="S218" s="1333">
        <f>'Abs9. NVBDCP'!R47</f>
        <v>0</v>
      </c>
    </row>
    <row r="219" spans="1:19" ht="30" hidden="1" x14ac:dyDescent="0.2">
      <c r="A219" s="1294">
        <v>5</v>
      </c>
      <c r="B219" s="1292" t="s">
        <v>1845</v>
      </c>
      <c r="C219" s="1293" t="s">
        <v>1846</v>
      </c>
      <c r="D219" s="1293" t="s">
        <v>4103</v>
      </c>
      <c r="E219" s="980" t="s">
        <v>4366</v>
      </c>
      <c r="F219" s="1250" t="s">
        <v>4986</v>
      </c>
      <c r="G219" s="2575"/>
      <c r="H219" s="2240"/>
      <c r="I219" s="2589"/>
      <c r="J219" s="2240"/>
      <c r="K219" s="2240"/>
      <c r="L219" s="2576"/>
      <c r="M219" s="2575"/>
      <c r="N219" s="308"/>
      <c r="O219" s="2575"/>
      <c r="P219" s="1323">
        <f t="shared" si="9"/>
        <v>0</v>
      </c>
      <c r="Q219" s="1323"/>
      <c r="R219" s="975">
        <f>'Abs9. NVBDCP'!Q48</f>
        <v>0</v>
      </c>
      <c r="S219" s="1333">
        <f>'Abs9. NVBDCP'!R48</f>
        <v>0</v>
      </c>
    </row>
    <row r="220" spans="1:19" ht="30" hidden="1" x14ac:dyDescent="0.2">
      <c r="A220" s="1294">
        <v>6</v>
      </c>
      <c r="B220" s="1292" t="s">
        <v>1847</v>
      </c>
      <c r="C220" s="1293" t="s">
        <v>1848</v>
      </c>
      <c r="D220" s="1293" t="s">
        <v>1849</v>
      </c>
      <c r="E220" s="980" t="s">
        <v>4366</v>
      </c>
      <c r="F220" s="1250" t="s">
        <v>4983</v>
      </c>
      <c r="G220" s="2575"/>
      <c r="H220" s="2240"/>
      <c r="I220" s="2589"/>
      <c r="J220" s="2240"/>
      <c r="K220" s="2240"/>
      <c r="L220" s="2576"/>
      <c r="M220" s="2575"/>
      <c r="N220" s="308"/>
      <c r="O220" s="2575"/>
      <c r="P220" s="1323">
        <f t="shared" si="9"/>
        <v>0</v>
      </c>
      <c r="Q220" s="1323"/>
      <c r="R220" s="975">
        <f>'Abs9. NVBDCP'!Q49</f>
        <v>0</v>
      </c>
      <c r="S220" s="1333">
        <f>'Abs9. NVBDCP'!R49</f>
        <v>0</v>
      </c>
    </row>
    <row r="221" spans="1:19" ht="30" hidden="1" x14ac:dyDescent="0.2">
      <c r="A221" s="1294">
        <v>7</v>
      </c>
      <c r="B221" s="1292" t="s">
        <v>1850</v>
      </c>
      <c r="C221" s="1293" t="s">
        <v>1851</v>
      </c>
      <c r="D221" s="1293" t="s">
        <v>1852</v>
      </c>
      <c r="E221" s="980" t="s">
        <v>4366</v>
      </c>
      <c r="F221" s="1250" t="s">
        <v>4983</v>
      </c>
      <c r="G221" s="2575"/>
      <c r="H221" s="2240"/>
      <c r="I221" s="2589"/>
      <c r="J221" s="2240"/>
      <c r="K221" s="2240"/>
      <c r="L221" s="2576"/>
      <c r="M221" s="2575"/>
      <c r="N221" s="308"/>
      <c r="O221" s="2575"/>
      <c r="P221" s="1323">
        <f t="shared" si="9"/>
        <v>0</v>
      </c>
      <c r="Q221" s="1323"/>
      <c r="R221" s="975">
        <f>'Abs9. NVBDCP'!Q50</f>
        <v>0</v>
      </c>
      <c r="S221" s="1333">
        <f>'Abs9. NVBDCP'!R50</f>
        <v>0</v>
      </c>
    </row>
    <row r="222" spans="1:19" ht="30" hidden="1" x14ac:dyDescent="0.2">
      <c r="A222" s="1294">
        <v>8</v>
      </c>
      <c r="B222" s="1292" t="s">
        <v>1853</v>
      </c>
      <c r="C222" s="1293" t="s">
        <v>1854</v>
      </c>
      <c r="D222" s="1293" t="s">
        <v>1855</v>
      </c>
      <c r="E222" s="980" t="s">
        <v>4366</v>
      </c>
      <c r="F222" s="1250" t="s">
        <v>4981</v>
      </c>
      <c r="G222" s="2575"/>
      <c r="H222" s="2240"/>
      <c r="I222" s="2589"/>
      <c r="J222" s="2240"/>
      <c r="K222" s="2240"/>
      <c r="L222" s="2576"/>
      <c r="M222" s="2575"/>
      <c r="N222" s="308"/>
      <c r="O222" s="2575"/>
      <c r="P222" s="1323">
        <f t="shared" si="9"/>
        <v>0</v>
      </c>
      <c r="Q222" s="1323"/>
      <c r="R222" s="975">
        <f>'Abs9. NVBDCP'!Q51</f>
        <v>0</v>
      </c>
      <c r="S222" s="1333">
        <f>'Abs9. NVBDCP'!R51</f>
        <v>0</v>
      </c>
    </row>
    <row r="223" spans="1:19" ht="30" hidden="1" x14ac:dyDescent="0.2">
      <c r="A223" s="1325">
        <v>9</v>
      </c>
      <c r="B223" s="1292" t="s">
        <v>1856</v>
      </c>
      <c r="C223" s="1293" t="s">
        <v>1857</v>
      </c>
      <c r="D223" s="1293" t="s">
        <v>1858</v>
      </c>
      <c r="E223" s="980" t="s">
        <v>4366</v>
      </c>
      <c r="F223" s="1250" t="s">
        <v>114</v>
      </c>
      <c r="G223" s="2575"/>
      <c r="H223" s="2240"/>
      <c r="I223" s="2589"/>
      <c r="J223" s="2240"/>
      <c r="K223" s="2240"/>
      <c r="L223" s="2576"/>
      <c r="M223" s="2575"/>
      <c r="N223" s="308"/>
      <c r="O223" s="2575"/>
      <c r="P223" s="1323">
        <f t="shared" si="9"/>
        <v>0</v>
      </c>
      <c r="Q223" s="1323"/>
      <c r="R223" s="975">
        <f>'Abs9. NVBDCP'!Q52</f>
        <v>0</v>
      </c>
      <c r="S223" s="1333">
        <f>'Abs9. NVBDCP'!R52</f>
        <v>0</v>
      </c>
    </row>
    <row r="224" spans="1:19" hidden="1" x14ac:dyDescent="0.2">
      <c r="A224" s="1325">
        <v>10</v>
      </c>
      <c r="B224" s="1292" t="s">
        <v>1859</v>
      </c>
      <c r="C224" s="1293" t="s">
        <v>1860</v>
      </c>
      <c r="D224" s="1293" t="s">
        <v>1861</v>
      </c>
      <c r="E224" s="980" t="s">
        <v>4366</v>
      </c>
      <c r="F224" s="1250" t="s">
        <v>114</v>
      </c>
      <c r="G224" s="2575"/>
      <c r="H224" s="2240"/>
      <c r="I224" s="2589"/>
      <c r="J224" s="2240"/>
      <c r="K224" s="2240"/>
      <c r="L224" s="2576"/>
      <c r="M224" s="2575"/>
      <c r="N224" s="308"/>
      <c r="O224" s="2575"/>
      <c r="P224" s="1323">
        <f t="shared" si="9"/>
        <v>0</v>
      </c>
      <c r="Q224" s="1323"/>
      <c r="R224" s="975">
        <f>'Abs9. NVBDCP'!Q53</f>
        <v>0</v>
      </c>
      <c r="S224" s="1333">
        <f>'Abs9. NVBDCP'!R53</f>
        <v>0</v>
      </c>
    </row>
    <row r="225" spans="1:19" hidden="1" x14ac:dyDescent="0.2">
      <c r="A225" s="1325">
        <v>11</v>
      </c>
      <c r="B225" s="1292" t="s">
        <v>1862</v>
      </c>
      <c r="C225" s="1293" t="s">
        <v>1863</v>
      </c>
      <c r="D225" s="1293" t="s">
        <v>1864</v>
      </c>
      <c r="E225" s="980" t="s">
        <v>4366</v>
      </c>
      <c r="F225" s="1250" t="s">
        <v>114</v>
      </c>
      <c r="G225" s="2575"/>
      <c r="H225" s="2240"/>
      <c r="I225" s="2589"/>
      <c r="J225" s="2240"/>
      <c r="K225" s="2240"/>
      <c r="L225" s="2576"/>
      <c r="M225" s="2575"/>
      <c r="N225" s="308"/>
      <c r="O225" s="2575"/>
      <c r="P225" s="1323">
        <f t="shared" si="9"/>
        <v>0</v>
      </c>
      <c r="Q225" s="1323"/>
      <c r="R225" s="975">
        <f>'Abs9. NVBDCP'!Q54</f>
        <v>0</v>
      </c>
      <c r="S225" s="1333">
        <f>'Abs9. NVBDCP'!R54</f>
        <v>0</v>
      </c>
    </row>
    <row r="226" spans="1:19" ht="30" hidden="1" x14ac:dyDescent="0.2">
      <c r="A226" s="1325">
        <v>12</v>
      </c>
      <c r="B226" s="1292" t="s">
        <v>1865</v>
      </c>
      <c r="C226" s="1293" t="s">
        <v>1866</v>
      </c>
      <c r="D226" s="1293" t="s">
        <v>1867</v>
      </c>
      <c r="E226" s="980" t="s">
        <v>4366</v>
      </c>
      <c r="F226" s="1250" t="s">
        <v>4986</v>
      </c>
      <c r="G226" s="2575"/>
      <c r="H226" s="2240"/>
      <c r="I226" s="2589"/>
      <c r="J226" s="2240"/>
      <c r="K226" s="2240"/>
      <c r="L226" s="2576"/>
      <c r="M226" s="2575"/>
      <c r="N226" s="308"/>
      <c r="O226" s="2575"/>
      <c r="P226" s="1323">
        <f t="shared" si="9"/>
        <v>0</v>
      </c>
      <c r="Q226" s="1323"/>
      <c r="R226" s="975">
        <f>'Abs9. NVBDCP'!Q55</f>
        <v>0</v>
      </c>
      <c r="S226" s="1333">
        <f>'Abs9. NVBDCP'!R55</f>
        <v>0</v>
      </c>
    </row>
    <row r="227" spans="1:19" ht="60" hidden="1" x14ac:dyDescent="0.2">
      <c r="A227" s="1325">
        <v>13</v>
      </c>
      <c r="B227" s="1292" t="s">
        <v>1868</v>
      </c>
      <c r="C227" s="1337" t="s">
        <v>1869</v>
      </c>
      <c r="D227" s="1337" t="s">
        <v>1870</v>
      </c>
      <c r="E227" s="980" t="s">
        <v>4366</v>
      </c>
      <c r="F227" s="1250" t="s">
        <v>1318</v>
      </c>
      <c r="G227" s="2575"/>
      <c r="H227" s="2240"/>
      <c r="I227" s="2589"/>
      <c r="J227" s="2240"/>
      <c r="K227" s="2240"/>
      <c r="L227" s="2576"/>
      <c r="M227" s="2575"/>
      <c r="N227" s="308"/>
      <c r="O227" s="2575"/>
      <c r="P227" s="1323">
        <f t="shared" si="9"/>
        <v>0</v>
      </c>
      <c r="Q227" s="1323"/>
      <c r="R227" s="975">
        <f>'Abs9. NVBDCP'!Q56</f>
        <v>0</v>
      </c>
      <c r="S227" s="1333">
        <f>'Abs9. NVBDCP'!R56</f>
        <v>0</v>
      </c>
    </row>
    <row r="228" spans="1:19" ht="30" hidden="1" x14ac:dyDescent="0.2">
      <c r="A228" s="1325">
        <v>14</v>
      </c>
      <c r="B228" s="1292" t="s">
        <v>1871</v>
      </c>
      <c r="C228" s="1337" t="s">
        <v>1872</v>
      </c>
      <c r="D228" s="1337" t="s">
        <v>1873</v>
      </c>
      <c r="E228" s="980" t="s">
        <v>4366</v>
      </c>
      <c r="F228" s="1250" t="s">
        <v>1682</v>
      </c>
      <c r="G228" s="2575"/>
      <c r="H228" s="2251"/>
      <c r="I228" s="2589"/>
      <c r="J228" s="2251"/>
      <c r="K228" s="2252"/>
      <c r="L228" s="2576"/>
      <c r="M228" s="2575"/>
      <c r="N228" s="308"/>
      <c r="O228" s="2575"/>
      <c r="P228" s="2861">
        <f t="shared" si="9"/>
        <v>0</v>
      </c>
      <c r="Q228" s="2861"/>
      <c r="R228" s="975">
        <f>'Abs9. NVBDCP'!Q57</f>
        <v>0</v>
      </c>
      <c r="S228" s="1333">
        <f>'Abs9. NVBDCP'!R57</f>
        <v>0</v>
      </c>
    </row>
    <row r="229" spans="1:19" ht="30" hidden="1" x14ac:dyDescent="0.2">
      <c r="A229" s="1325">
        <v>15</v>
      </c>
      <c r="B229" s="1292" t="s">
        <v>1874</v>
      </c>
      <c r="C229" s="1337" t="s">
        <v>1075</v>
      </c>
      <c r="D229" s="1337" t="s">
        <v>1875</v>
      </c>
      <c r="E229" s="980" t="s">
        <v>4366</v>
      </c>
      <c r="F229" s="1250" t="s">
        <v>1682</v>
      </c>
      <c r="G229" s="2575"/>
      <c r="H229" s="2251"/>
      <c r="I229" s="2589"/>
      <c r="J229" s="2251"/>
      <c r="K229" s="2252"/>
      <c r="L229" s="2581"/>
      <c r="M229" s="2575"/>
      <c r="N229" s="308"/>
      <c r="O229" s="2575"/>
      <c r="P229" s="1323">
        <f t="shared" si="9"/>
        <v>0</v>
      </c>
      <c r="Q229" s="1323"/>
      <c r="R229" s="975">
        <f>'Abs9. NVBDCP'!Q58</f>
        <v>0</v>
      </c>
      <c r="S229" s="1333">
        <f>'Abs9. NVBDCP'!R58</f>
        <v>0</v>
      </c>
    </row>
    <row r="230" spans="1:19" hidden="1" x14ac:dyDescent="0.2">
      <c r="A230" s="1325">
        <v>16</v>
      </c>
      <c r="B230" s="1292" t="s">
        <v>1876</v>
      </c>
      <c r="C230" s="1337" t="s">
        <v>1290</v>
      </c>
      <c r="D230" s="1337" t="s">
        <v>4104</v>
      </c>
      <c r="E230" s="980" t="s">
        <v>4366</v>
      </c>
      <c r="F230" s="1250" t="s">
        <v>1549</v>
      </c>
      <c r="G230" s="2575"/>
      <c r="H230" s="2586"/>
      <c r="I230" s="2589"/>
      <c r="J230" s="2586"/>
      <c r="K230" s="2586"/>
      <c r="L230" s="2576"/>
      <c r="M230" s="2575"/>
      <c r="N230" s="308"/>
      <c r="O230" s="2575"/>
      <c r="P230" s="1323">
        <f t="shared" si="9"/>
        <v>0</v>
      </c>
      <c r="Q230" s="1323"/>
      <c r="R230" s="975">
        <f>'Abs9. NVBDCP'!Q59</f>
        <v>0</v>
      </c>
      <c r="S230" s="1333">
        <f>'Abs9. NVBDCP'!R59</f>
        <v>0</v>
      </c>
    </row>
    <row r="231" spans="1:19" ht="30" hidden="1" x14ac:dyDescent="0.2">
      <c r="A231" s="1325">
        <v>17</v>
      </c>
      <c r="B231" s="1292" t="s">
        <v>1877</v>
      </c>
      <c r="C231" s="1293" t="s">
        <v>1878</v>
      </c>
      <c r="D231" s="502" t="s">
        <v>1879</v>
      </c>
      <c r="E231" s="980" t="s">
        <v>4366</v>
      </c>
      <c r="F231" s="1250" t="s">
        <v>114</v>
      </c>
      <c r="G231" s="2575"/>
      <c r="H231" s="2251"/>
      <c r="I231" s="2589"/>
      <c r="J231" s="2251"/>
      <c r="K231" s="2252"/>
      <c r="L231" s="2581"/>
      <c r="M231" s="2575"/>
      <c r="N231" s="308"/>
      <c r="O231" s="2575"/>
      <c r="P231" s="2861">
        <f t="shared" si="9"/>
        <v>0</v>
      </c>
      <c r="Q231" s="2861"/>
      <c r="R231" s="975">
        <f>'Abs9. NVBDCP'!Q60</f>
        <v>0</v>
      </c>
      <c r="S231" s="1333">
        <f>'Abs9. NVBDCP'!R60</f>
        <v>0</v>
      </c>
    </row>
    <row r="232" spans="1:19" hidden="1" x14ac:dyDescent="0.2">
      <c r="A232" s="2932" t="s">
        <v>4359</v>
      </c>
      <c r="B232" s="1347" t="s">
        <v>1880</v>
      </c>
      <c r="C232" s="1348"/>
      <c r="D232" s="1349" t="s">
        <v>1881</v>
      </c>
      <c r="E232" s="1350"/>
      <c r="F232" s="916"/>
      <c r="G232" s="324"/>
      <c r="H232" s="324"/>
      <c r="I232" s="1352"/>
      <c r="J232" s="1352"/>
      <c r="K232" s="1352"/>
      <c r="L232" s="179"/>
      <c r="M232" s="324"/>
      <c r="N232" s="1352"/>
      <c r="O232" s="324"/>
      <c r="P232" s="1352">
        <f>SUM(P233:P234)</f>
        <v>0</v>
      </c>
      <c r="Q232" s="1352"/>
      <c r="R232" s="974"/>
      <c r="S232" s="1225">
        <f>SUM(S233:S234)</f>
        <v>0</v>
      </c>
    </row>
    <row r="233" spans="1:19" hidden="1" x14ac:dyDescent="0.2">
      <c r="A233" s="1325">
        <v>1</v>
      </c>
      <c r="B233" s="1292" t="s">
        <v>1882</v>
      </c>
      <c r="C233" s="1295" t="s">
        <v>1553</v>
      </c>
      <c r="D233" s="1293" t="s">
        <v>1883</v>
      </c>
      <c r="E233" s="980" t="s">
        <v>4366</v>
      </c>
      <c r="F233" s="1250" t="s">
        <v>146</v>
      </c>
      <c r="G233" s="2576"/>
      <c r="H233" s="2259"/>
      <c r="I233" s="2589"/>
      <c r="J233" s="2259"/>
      <c r="K233" s="2240"/>
      <c r="L233" s="2576"/>
      <c r="M233" s="2576"/>
      <c r="N233" s="308"/>
      <c r="O233" s="304"/>
      <c r="P233" s="1339">
        <f>O233*N233</f>
        <v>0</v>
      </c>
      <c r="Q233" s="1339"/>
      <c r="R233" s="975">
        <f>'Abs10. NLEP'!Q22</f>
        <v>0</v>
      </c>
      <c r="S233" s="1333">
        <f>'Abs10. NLEP'!R22</f>
        <v>0</v>
      </c>
    </row>
    <row r="234" spans="1:19" ht="30" hidden="1" x14ac:dyDescent="0.2">
      <c r="A234" s="1325">
        <v>2</v>
      </c>
      <c r="B234" s="1292" t="s">
        <v>1884</v>
      </c>
      <c r="C234" s="510"/>
      <c r="D234" s="502" t="s">
        <v>1879</v>
      </c>
      <c r="E234" s="980" t="s">
        <v>4366</v>
      </c>
      <c r="F234" s="1250" t="s">
        <v>146</v>
      </c>
      <c r="G234" s="82"/>
      <c r="H234" s="82"/>
      <c r="I234" s="82"/>
      <c r="J234" s="82"/>
      <c r="K234" s="82"/>
      <c r="L234" s="362"/>
      <c r="M234" s="304"/>
      <c r="N234" s="308"/>
      <c r="O234" s="304"/>
      <c r="P234" s="1323">
        <f>O234*N234</f>
        <v>0</v>
      </c>
      <c r="Q234" s="1323"/>
      <c r="R234" s="975">
        <f>'Abs10. NLEP'!Q23</f>
        <v>0</v>
      </c>
      <c r="S234" s="1333">
        <f>'Abs10. NLEP'!R23</f>
        <v>0</v>
      </c>
    </row>
    <row r="235" spans="1:19" x14ac:dyDescent="0.2">
      <c r="A235" s="2932" t="s">
        <v>4362</v>
      </c>
      <c r="B235" s="1347" t="s">
        <v>1885</v>
      </c>
      <c r="C235" s="1348"/>
      <c r="D235" s="1349" t="s">
        <v>4893</v>
      </c>
      <c r="E235" s="1350"/>
      <c r="F235" s="916"/>
      <c r="G235" s="324"/>
      <c r="H235" s="324"/>
      <c r="I235" s="1352"/>
      <c r="J235" s="1352"/>
      <c r="K235" s="1352"/>
      <c r="L235" s="179"/>
      <c r="M235" s="324"/>
      <c r="N235" s="1352"/>
      <c r="O235" s="324"/>
      <c r="P235" s="1352">
        <f>SUM(P236:P238)</f>
        <v>3301.2784799999999</v>
      </c>
      <c r="Q235" s="1352"/>
      <c r="R235" s="974"/>
      <c r="S235" s="1225">
        <f>SUM(S236:S238)</f>
        <v>0</v>
      </c>
    </row>
    <row r="236" spans="1:19" ht="171" x14ac:dyDescent="0.2">
      <c r="A236" s="1325">
        <v>1</v>
      </c>
      <c r="B236" s="1292" t="s">
        <v>1886</v>
      </c>
      <c r="C236" s="1337" t="s">
        <v>1887</v>
      </c>
      <c r="D236" s="1337" t="s">
        <v>1888</v>
      </c>
      <c r="E236" s="980" t="s">
        <v>4366</v>
      </c>
      <c r="F236" s="1250" t="s">
        <v>4683</v>
      </c>
      <c r="G236" s="2575"/>
      <c r="H236" s="2259"/>
      <c r="I236" s="2589"/>
      <c r="J236" s="2259"/>
      <c r="K236" s="2586"/>
      <c r="L236" s="2576" t="s">
        <v>5958</v>
      </c>
      <c r="M236" s="2575">
        <v>7592796</v>
      </c>
      <c r="N236" s="308">
        <f>+M236/100000</f>
        <v>75.927959999999999</v>
      </c>
      <c r="O236" s="304">
        <v>38</v>
      </c>
      <c r="P236" s="1323">
        <f>O236*N236</f>
        <v>2885.2624799999999</v>
      </c>
      <c r="Q236" s="3717" t="s">
        <v>6006</v>
      </c>
      <c r="R236" s="975">
        <f>'Abs11. NTEP'!Q23</f>
        <v>0</v>
      </c>
      <c r="S236" s="1333">
        <f>'Abs11. NTEP'!R23</f>
        <v>0</v>
      </c>
    </row>
    <row r="237" spans="1:19" ht="42.75" x14ac:dyDescent="0.2">
      <c r="A237" s="1325">
        <v>2</v>
      </c>
      <c r="B237" s="1292" t="s">
        <v>1889</v>
      </c>
      <c r="C237" s="1337" t="s">
        <v>1890</v>
      </c>
      <c r="D237" s="1337" t="s">
        <v>19</v>
      </c>
      <c r="E237" s="980" t="s">
        <v>4366</v>
      </c>
      <c r="F237" s="1250" t="s">
        <v>4683</v>
      </c>
      <c r="G237" s="2575"/>
      <c r="H237" s="2259"/>
      <c r="I237" s="2589"/>
      <c r="J237" s="2259"/>
      <c r="K237" s="2240"/>
      <c r="L237" s="2576" t="s">
        <v>5959</v>
      </c>
      <c r="M237" s="2575">
        <v>2700</v>
      </c>
      <c r="N237" s="308">
        <f>+M237/100000</f>
        <v>2.7E-2</v>
      </c>
      <c r="O237" s="304">
        <v>15408</v>
      </c>
      <c r="P237" s="1323">
        <f>O237*N237</f>
        <v>416.01600000000002</v>
      </c>
      <c r="Q237" s="3684" t="s">
        <v>5960</v>
      </c>
      <c r="R237" s="975">
        <f>'Abs11. NTEP'!Q24</f>
        <v>0</v>
      </c>
      <c r="S237" s="1333">
        <f>'Abs11. NTEP'!R24</f>
        <v>0</v>
      </c>
    </row>
    <row r="238" spans="1:19" ht="30" hidden="1" x14ac:dyDescent="0.2">
      <c r="A238" s="1294">
        <v>3</v>
      </c>
      <c r="B238" s="1292" t="s">
        <v>1891</v>
      </c>
      <c r="C238" s="510"/>
      <c r="D238" s="502" t="s">
        <v>1879</v>
      </c>
      <c r="E238" s="980" t="s">
        <v>4366</v>
      </c>
      <c r="F238" s="1250" t="s">
        <v>4683</v>
      </c>
      <c r="G238" s="82"/>
      <c r="H238" s="82"/>
      <c r="I238" s="82"/>
      <c r="J238" s="82"/>
      <c r="K238" s="82"/>
      <c r="L238" s="363"/>
      <c r="M238" s="304"/>
      <c r="N238" s="308"/>
      <c r="O238" s="304"/>
      <c r="P238" s="1323">
        <f>O238*N238</f>
        <v>0</v>
      </c>
      <c r="Q238" s="1323"/>
      <c r="R238" s="975">
        <f>'Abs11. NTEP'!Q25</f>
        <v>0</v>
      </c>
      <c r="S238" s="1333">
        <f>'Abs11. NTEP'!R25</f>
        <v>0</v>
      </c>
    </row>
    <row r="239" spans="1:19" hidden="1" x14ac:dyDescent="0.2">
      <c r="A239" s="1316" t="s">
        <v>4363</v>
      </c>
      <c r="B239" s="1347" t="s">
        <v>3333</v>
      </c>
      <c r="C239" s="1347"/>
      <c r="D239" s="1347" t="s">
        <v>3330</v>
      </c>
      <c r="E239" s="1356"/>
      <c r="F239" s="1356"/>
      <c r="G239" s="179"/>
      <c r="H239" s="179"/>
      <c r="I239" s="1355"/>
      <c r="J239" s="1355"/>
      <c r="K239" s="1355"/>
      <c r="L239" s="179"/>
      <c r="M239" s="179"/>
      <c r="N239" s="1351"/>
      <c r="O239" s="179"/>
      <c r="P239" s="1355">
        <f>SUM(P240:P243)</f>
        <v>0</v>
      </c>
      <c r="Q239" s="1355"/>
      <c r="R239" s="974"/>
      <c r="S239" s="1225">
        <f>SUM(S240:S243)</f>
        <v>0</v>
      </c>
    </row>
    <row r="240" spans="1:19" hidden="1" x14ac:dyDescent="0.2">
      <c r="A240" s="1294">
        <v>1</v>
      </c>
      <c r="B240" s="1357" t="s">
        <v>3334</v>
      </c>
      <c r="C240" s="510"/>
      <c r="D240" s="501" t="s">
        <v>3329</v>
      </c>
      <c r="E240" s="980" t="s">
        <v>4366</v>
      </c>
      <c r="F240" s="1280" t="s">
        <v>3323</v>
      </c>
      <c r="G240" s="2588"/>
      <c r="H240" s="2240"/>
      <c r="I240" s="2240"/>
      <c r="J240" s="2240"/>
      <c r="K240" s="2240"/>
      <c r="L240" s="2576"/>
      <c r="M240" s="2588"/>
      <c r="N240" s="308"/>
      <c r="O240" s="304"/>
      <c r="P240" s="1323">
        <f>O240*N240</f>
        <v>0</v>
      </c>
      <c r="Q240" s="1323"/>
      <c r="R240" s="975">
        <f>'Abs12. NVHCP'!Q18</f>
        <v>0</v>
      </c>
      <c r="S240" s="1324">
        <f>'Abs12. NVHCP'!R18</f>
        <v>0</v>
      </c>
    </row>
    <row r="241" spans="1:19" hidden="1" x14ac:dyDescent="0.2">
      <c r="A241" s="1294">
        <v>2</v>
      </c>
      <c r="B241" s="1357" t="s">
        <v>3335</v>
      </c>
      <c r="C241" s="510"/>
      <c r="D241" s="501" t="s">
        <v>3331</v>
      </c>
      <c r="E241" s="980" t="s">
        <v>4366</v>
      </c>
      <c r="F241" s="1280" t="s">
        <v>3323</v>
      </c>
      <c r="G241" s="2588"/>
      <c r="H241" s="2240"/>
      <c r="I241" s="2240"/>
      <c r="J241" s="2240"/>
      <c r="K241" s="2240"/>
      <c r="L241" s="2576"/>
      <c r="M241" s="2588"/>
      <c r="N241" s="308"/>
      <c r="O241" s="304"/>
      <c r="P241" s="1323">
        <f>O241*N241</f>
        <v>0</v>
      </c>
      <c r="Q241" s="1323"/>
      <c r="R241" s="975">
        <f>'Abs12. NVHCP'!Q19</f>
        <v>0</v>
      </c>
      <c r="S241" s="1324">
        <f>'Abs12. NVHCP'!R19</f>
        <v>0</v>
      </c>
    </row>
    <row r="242" spans="1:19" ht="90" hidden="1" x14ac:dyDescent="0.2">
      <c r="A242" s="1294">
        <v>3</v>
      </c>
      <c r="B242" s="1357" t="s">
        <v>3336</v>
      </c>
      <c r="C242" s="510"/>
      <c r="D242" s="501" t="s">
        <v>4105</v>
      </c>
      <c r="E242" s="980" t="s">
        <v>4366</v>
      </c>
      <c r="F242" s="1280" t="s">
        <v>3323</v>
      </c>
      <c r="G242" s="2588"/>
      <c r="H242" s="2240"/>
      <c r="I242" s="2240"/>
      <c r="J242" s="2240"/>
      <c r="K242" s="2240"/>
      <c r="L242" s="2576"/>
      <c r="M242" s="2588"/>
      <c r="N242" s="308"/>
      <c r="O242" s="304"/>
      <c r="P242" s="1323">
        <f>O242*N242</f>
        <v>0</v>
      </c>
      <c r="Q242" s="1323"/>
      <c r="R242" s="975">
        <f>'Abs12. NVHCP'!Q20</f>
        <v>0</v>
      </c>
      <c r="S242" s="1324">
        <f>'Abs12. NVHCP'!R20</f>
        <v>0</v>
      </c>
    </row>
    <row r="243" spans="1:19" ht="60" hidden="1" x14ac:dyDescent="0.2">
      <c r="A243" s="1294">
        <v>4</v>
      </c>
      <c r="B243" s="1357" t="s">
        <v>3337</v>
      </c>
      <c r="C243" s="510"/>
      <c r="D243" s="501" t="s">
        <v>3332</v>
      </c>
      <c r="E243" s="980" t="s">
        <v>4366</v>
      </c>
      <c r="F243" s="1280" t="s">
        <v>3323</v>
      </c>
      <c r="G243" s="2588"/>
      <c r="H243" s="2240"/>
      <c r="I243" s="2240"/>
      <c r="J243" s="2240"/>
      <c r="K243" s="2240"/>
      <c r="L243" s="2576"/>
      <c r="M243" s="2588"/>
      <c r="N243" s="308"/>
      <c r="O243" s="304"/>
      <c r="P243" s="1323">
        <f>O243*N243</f>
        <v>0</v>
      </c>
      <c r="Q243" s="1323"/>
      <c r="R243" s="975">
        <f>'Abs12. NVHCP'!Q21</f>
        <v>0</v>
      </c>
      <c r="S243" s="1324">
        <f>'Abs12. NVHCP'!R21</f>
        <v>0</v>
      </c>
    </row>
    <row r="244" spans="1:19" s="1278" customFormat="1" hidden="1" x14ac:dyDescent="0.2">
      <c r="A244" s="1316" t="s">
        <v>4364</v>
      </c>
      <c r="B244" s="1266" t="s">
        <v>4490</v>
      </c>
      <c r="C244" s="1267"/>
      <c r="D244" s="1358" t="s">
        <v>4955</v>
      </c>
      <c r="E244" s="908"/>
      <c r="F244" s="908"/>
      <c r="G244" s="109"/>
      <c r="H244" s="109"/>
      <c r="I244" s="1107"/>
      <c r="J244" s="1107"/>
      <c r="K244" s="1107"/>
      <c r="L244" s="109"/>
      <c r="M244" s="109"/>
      <c r="N244" s="1107"/>
      <c r="O244" s="359"/>
      <c r="P244" s="1107">
        <f>P245</f>
        <v>0</v>
      </c>
      <c r="Q244" s="1107"/>
      <c r="R244" s="971"/>
      <c r="S244" s="1220">
        <f>S245</f>
        <v>0</v>
      </c>
    </row>
    <row r="245" spans="1:19" s="1278" customFormat="1" ht="45" hidden="1" x14ac:dyDescent="0.2">
      <c r="A245" s="1325">
        <v>1</v>
      </c>
      <c r="B245" s="1291" t="s">
        <v>4491</v>
      </c>
      <c r="C245" s="510"/>
      <c r="D245" s="1287" t="s">
        <v>4488</v>
      </c>
      <c r="E245" s="980" t="s">
        <v>4366</v>
      </c>
      <c r="F245" s="1280" t="s">
        <v>3993</v>
      </c>
      <c r="G245" s="2606"/>
      <c r="H245" s="2259"/>
      <c r="I245" s="2259"/>
      <c r="J245" s="2259"/>
      <c r="K245" s="2259"/>
      <c r="L245" s="2576"/>
      <c r="M245" s="2607"/>
      <c r="N245" s="308"/>
      <c r="O245" s="2606"/>
      <c r="P245" s="1327">
        <f>O245*N245</f>
        <v>0</v>
      </c>
      <c r="Q245" s="1327"/>
      <c r="R245" s="975">
        <f>'Abs13. NRCP'!Q8</f>
        <v>0</v>
      </c>
      <c r="S245" s="1333">
        <f>'Abs13. NRCP'!R8</f>
        <v>0</v>
      </c>
    </row>
    <row r="246" spans="1:19" s="1278" customFormat="1" x14ac:dyDescent="0.2">
      <c r="A246" s="1316" t="s">
        <v>4673</v>
      </c>
      <c r="B246" s="1266" t="s">
        <v>4490</v>
      </c>
      <c r="C246" s="1267"/>
      <c r="D246" s="1358" t="s">
        <v>4956</v>
      </c>
      <c r="E246" s="908"/>
      <c r="F246" s="908"/>
      <c r="G246" s="109"/>
      <c r="H246" s="109"/>
      <c r="I246" s="1107"/>
      <c r="J246" s="1107"/>
      <c r="K246" s="1107"/>
      <c r="L246" s="109"/>
      <c r="M246" s="109"/>
      <c r="N246" s="1107"/>
      <c r="O246" s="359"/>
      <c r="P246" s="1107">
        <f>SUM(P247:P248)</f>
        <v>27.65</v>
      </c>
      <c r="Q246" s="1107"/>
      <c r="R246" s="971"/>
      <c r="S246" s="1220">
        <f>SUM(S247:S248)</f>
        <v>0</v>
      </c>
    </row>
    <row r="247" spans="1:19" s="1278" customFormat="1" ht="60" hidden="1" x14ac:dyDescent="0.2">
      <c r="A247" s="1325">
        <v>1</v>
      </c>
      <c r="B247" s="1291" t="s">
        <v>4492</v>
      </c>
      <c r="C247" s="510"/>
      <c r="D247" s="1287" t="s">
        <v>4489</v>
      </c>
      <c r="E247" s="980" t="s">
        <v>4366</v>
      </c>
      <c r="F247" s="1280" t="s">
        <v>4553</v>
      </c>
      <c r="G247" s="2606"/>
      <c r="H247" s="2259"/>
      <c r="I247" s="2259"/>
      <c r="J247" s="2259"/>
      <c r="K247" s="2259"/>
      <c r="L247" s="2583"/>
      <c r="M247" s="2607"/>
      <c r="N247" s="308"/>
      <c r="O247" s="304"/>
      <c r="P247" s="1327">
        <f>O247*N247</f>
        <v>0</v>
      </c>
      <c r="Q247" s="1327"/>
      <c r="R247" s="975">
        <f>'Abs14. PPCL'!Q7</f>
        <v>0</v>
      </c>
      <c r="S247" s="1333">
        <f>'Abs14. PPCL'!R7</f>
        <v>0</v>
      </c>
    </row>
    <row r="248" spans="1:19" ht="156.75" x14ac:dyDescent="0.2">
      <c r="A248" s="1325">
        <v>2</v>
      </c>
      <c r="B248" s="1291" t="s">
        <v>4493</v>
      </c>
      <c r="C248" s="510"/>
      <c r="D248" s="1287" t="s">
        <v>1310</v>
      </c>
      <c r="E248" s="980" t="s">
        <v>4366</v>
      </c>
      <c r="F248" s="1280" t="s">
        <v>4553</v>
      </c>
      <c r="G248" s="375"/>
      <c r="H248" s="375"/>
      <c r="I248" s="375"/>
      <c r="J248" s="375"/>
      <c r="K248" s="375"/>
      <c r="L248" s="367" t="s">
        <v>5736</v>
      </c>
      <c r="M248" s="304">
        <v>2765000</v>
      </c>
      <c r="N248" s="308">
        <f>+M248/100000</f>
        <v>27.65</v>
      </c>
      <c r="O248" s="304">
        <v>1</v>
      </c>
      <c r="P248" s="1327">
        <f>O248*N248</f>
        <v>27.65</v>
      </c>
      <c r="Q248" s="3688" t="s">
        <v>5952</v>
      </c>
      <c r="R248" s="975">
        <f>'Abs14. PPCL'!Q8</f>
        <v>0</v>
      </c>
      <c r="S248" s="1333">
        <f>'Abs14. PPCL'!R8</f>
        <v>0</v>
      </c>
    </row>
    <row r="249" spans="1:19" hidden="1" x14ac:dyDescent="0.2">
      <c r="A249" s="3903" t="s">
        <v>4938</v>
      </c>
      <c r="B249" s="3903"/>
      <c r="C249" s="3903"/>
      <c r="D249" s="3903"/>
      <c r="E249" s="1165"/>
      <c r="F249" s="1165"/>
      <c r="G249" s="340"/>
      <c r="H249" s="340"/>
      <c r="I249" s="340"/>
      <c r="J249" s="340"/>
      <c r="K249" s="340"/>
      <c r="L249" s="340"/>
      <c r="M249" s="340"/>
      <c r="N249" s="1313"/>
      <c r="O249" s="580"/>
      <c r="P249" s="1313"/>
      <c r="Q249" s="1313"/>
      <c r="R249" s="1144"/>
      <c r="S249" s="1126"/>
    </row>
    <row r="250" spans="1:19" hidden="1" x14ac:dyDescent="0.2">
      <c r="A250" s="1316" t="s">
        <v>4358</v>
      </c>
      <c r="B250" s="1347" t="s">
        <v>1892</v>
      </c>
      <c r="C250" s="1348" t="s">
        <v>1893</v>
      </c>
      <c r="D250" s="1349" t="s">
        <v>1894</v>
      </c>
      <c r="E250" s="1350"/>
      <c r="F250" s="916"/>
      <c r="G250" s="324"/>
      <c r="H250" s="324"/>
      <c r="I250" s="1352"/>
      <c r="J250" s="1352"/>
      <c r="K250" s="1352"/>
      <c r="L250" s="179"/>
      <c r="M250" s="324"/>
      <c r="N250" s="1352"/>
      <c r="O250" s="324"/>
      <c r="P250" s="1352">
        <f>SUM(P251:P252)</f>
        <v>0</v>
      </c>
      <c r="Q250" s="1352"/>
      <c r="R250" s="974"/>
      <c r="S250" s="1225">
        <f>SUM(S251:S252)</f>
        <v>0</v>
      </c>
    </row>
    <row r="251" spans="1:19" ht="60" hidden="1" x14ac:dyDescent="0.2">
      <c r="A251" s="1294">
        <v>1</v>
      </c>
      <c r="B251" s="1292" t="s">
        <v>1895</v>
      </c>
      <c r="C251" s="1293" t="s">
        <v>1896</v>
      </c>
      <c r="D251" s="1293" t="s">
        <v>3979</v>
      </c>
      <c r="E251" s="889" t="s">
        <v>85</v>
      </c>
      <c r="F251" s="1250" t="s">
        <v>86</v>
      </c>
      <c r="G251" s="2575"/>
      <c r="H251" s="2240"/>
      <c r="I251" s="2589"/>
      <c r="J251" s="2240"/>
      <c r="K251" s="2240"/>
      <c r="L251" s="2576"/>
      <c r="M251" s="2575"/>
      <c r="N251" s="308"/>
      <c r="O251" s="304"/>
      <c r="P251" s="1323">
        <f>O251*N251</f>
        <v>0</v>
      </c>
      <c r="Q251" s="1323"/>
      <c r="R251" s="975">
        <f>'Abs15. NPCB'!Q20</f>
        <v>0</v>
      </c>
      <c r="S251" s="1333">
        <f>'Abs15. NPCB'!R20</f>
        <v>0</v>
      </c>
    </row>
    <row r="252" spans="1:19" ht="30" hidden="1" x14ac:dyDescent="0.2">
      <c r="A252" s="1294">
        <v>2</v>
      </c>
      <c r="B252" s="1292" t="s">
        <v>1897</v>
      </c>
      <c r="C252" s="510"/>
      <c r="D252" s="502" t="s">
        <v>1879</v>
      </c>
      <c r="E252" s="889" t="s">
        <v>85</v>
      </c>
      <c r="F252" s="1250" t="s">
        <v>86</v>
      </c>
      <c r="G252" s="82"/>
      <c r="H252" s="82"/>
      <c r="I252" s="82"/>
      <c r="J252" s="82"/>
      <c r="K252" s="82"/>
      <c r="L252" s="362"/>
      <c r="M252" s="304"/>
      <c r="N252" s="308"/>
      <c r="O252" s="304"/>
      <c r="P252" s="1323">
        <f>O252*N252</f>
        <v>0</v>
      </c>
      <c r="Q252" s="1323"/>
      <c r="R252" s="975">
        <f>'Abs15. NPCB'!Q21</f>
        <v>0</v>
      </c>
      <c r="S252" s="1333">
        <f>'Abs15. NPCB'!R21</f>
        <v>0</v>
      </c>
    </row>
    <row r="253" spans="1:19" hidden="1" x14ac:dyDescent="0.2">
      <c r="A253" s="1316" t="s">
        <v>4359</v>
      </c>
      <c r="B253" s="1347" t="s">
        <v>1898</v>
      </c>
      <c r="C253" s="1348" t="s">
        <v>1899</v>
      </c>
      <c r="D253" s="1349" t="s">
        <v>1900</v>
      </c>
      <c r="E253" s="1350"/>
      <c r="F253" s="916"/>
      <c r="G253" s="324"/>
      <c r="H253" s="324"/>
      <c r="I253" s="1352"/>
      <c r="J253" s="1352"/>
      <c r="K253" s="1352"/>
      <c r="L253" s="179"/>
      <c r="M253" s="324"/>
      <c r="N253" s="1352"/>
      <c r="O253" s="324"/>
      <c r="P253" s="1352">
        <f>SUM(P254:P255)</f>
        <v>0</v>
      </c>
      <c r="Q253" s="1352"/>
      <c r="R253" s="974"/>
      <c r="S253" s="1225">
        <f>SUM(S254:S255)</f>
        <v>0</v>
      </c>
    </row>
    <row r="254" spans="1:19" hidden="1" x14ac:dyDescent="0.2">
      <c r="A254" s="1294">
        <v>1</v>
      </c>
      <c r="B254" s="1292" t="s">
        <v>1901</v>
      </c>
      <c r="C254" s="1287"/>
      <c r="D254" s="1359"/>
      <c r="E254" s="889" t="s">
        <v>85</v>
      </c>
      <c r="F254" s="1250" t="s">
        <v>150</v>
      </c>
      <c r="G254" s="2575"/>
      <c r="H254" s="2240"/>
      <c r="I254" s="2589"/>
      <c r="J254" s="2603"/>
      <c r="K254" s="2240"/>
      <c r="L254" s="2576"/>
      <c r="M254" s="2575"/>
      <c r="N254" s="308"/>
      <c r="O254" s="304"/>
      <c r="P254" s="1323">
        <f>O254*N254</f>
        <v>0</v>
      </c>
      <c r="Q254" s="1323"/>
      <c r="R254" s="975">
        <f>'Abs16. NMHP'!Q14</f>
        <v>0</v>
      </c>
      <c r="S254" s="1333">
        <f>'Abs16. NMHP'!R14</f>
        <v>0</v>
      </c>
    </row>
    <row r="255" spans="1:19" hidden="1" x14ac:dyDescent="0.2">
      <c r="A255" s="1294">
        <v>2</v>
      </c>
      <c r="B255" s="1292" t="s">
        <v>1902</v>
      </c>
      <c r="C255" s="1287"/>
      <c r="D255" s="1359"/>
      <c r="E255" s="889" t="s">
        <v>85</v>
      </c>
      <c r="F255" s="1250" t="s">
        <v>150</v>
      </c>
      <c r="G255" s="82"/>
      <c r="H255" s="82"/>
      <c r="I255" s="82"/>
      <c r="J255" s="82"/>
      <c r="K255" s="82"/>
      <c r="L255" s="363"/>
      <c r="M255" s="304"/>
      <c r="N255" s="308"/>
      <c r="O255" s="304"/>
      <c r="P255" s="1323">
        <f>O255*N255</f>
        <v>0</v>
      </c>
      <c r="Q255" s="1323"/>
      <c r="R255" s="975">
        <f>'Abs16. NMHP'!Q15</f>
        <v>0</v>
      </c>
      <c r="S255" s="1333">
        <f>'Abs16. NMHP'!R15</f>
        <v>0</v>
      </c>
    </row>
    <row r="256" spans="1:19" hidden="1" x14ac:dyDescent="0.2">
      <c r="A256" s="1316" t="s">
        <v>4362</v>
      </c>
      <c r="B256" s="1347" t="s">
        <v>1903</v>
      </c>
      <c r="C256" s="1348" t="s">
        <v>1904</v>
      </c>
      <c r="D256" s="1349" t="s">
        <v>1905</v>
      </c>
      <c r="E256" s="1350"/>
      <c r="F256" s="916"/>
      <c r="G256" s="324"/>
      <c r="H256" s="324"/>
      <c r="I256" s="1352"/>
      <c r="J256" s="1352"/>
      <c r="K256" s="1352"/>
      <c r="L256" s="179"/>
      <c r="M256" s="324"/>
      <c r="N256" s="1352"/>
      <c r="O256" s="324"/>
      <c r="P256" s="1352">
        <f>SUM(P257:P258)</f>
        <v>0</v>
      </c>
      <c r="Q256" s="1352"/>
      <c r="R256" s="974"/>
      <c r="S256" s="1225">
        <f>SUM(S257:S258)</f>
        <v>0</v>
      </c>
    </row>
    <row r="257" spans="1:19" hidden="1" x14ac:dyDescent="0.2">
      <c r="A257" s="1294">
        <v>1</v>
      </c>
      <c r="B257" s="1292" t="s">
        <v>1906</v>
      </c>
      <c r="C257" s="1287"/>
      <c r="D257" s="1360" t="s">
        <v>1905</v>
      </c>
      <c r="E257" s="889" t="s">
        <v>85</v>
      </c>
      <c r="F257" s="1250" t="s">
        <v>399</v>
      </c>
      <c r="G257" s="2575"/>
      <c r="H257" s="2259"/>
      <c r="I257" s="2592"/>
      <c r="J257" s="2240"/>
      <c r="K257" s="2240"/>
      <c r="L257" s="2583"/>
      <c r="M257" s="2582"/>
      <c r="N257" s="308"/>
      <c r="O257" s="304"/>
      <c r="P257" s="1323">
        <f>O257*N257</f>
        <v>0</v>
      </c>
      <c r="Q257" s="1323"/>
      <c r="R257" s="975">
        <f>'Abs17. NPHCE'!Q18</f>
        <v>0</v>
      </c>
      <c r="S257" s="1333">
        <f>'Abs17. NPHCE'!R18</f>
        <v>0</v>
      </c>
    </row>
    <row r="258" spans="1:19" hidden="1" x14ac:dyDescent="0.2">
      <c r="A258" s="1294">
        <v>2</v>
      </c>
      <c r="B258" s="1292" t="s">
        <v>1907</v>
      </c>
      <c r="C258" s="1287"/>
      <c r="D258" s="1359"/>
      <c r="E258" s="889" t="s">
        <v>85</v>
      </c>
      <c r="F258" s="1250" t="s">
        <v>399</v>
      </c>
      <c r="G258" s="82"/>
      <c r="H258" s="82"/>
      <c r="I258" s="82"/>
      <c r="J258" s="82"/>
      <c r="K258" s="82"/>
      <c r="L258" s="362"/>
      <c r="M258" s="304"/>
      <c r="N258" s="308"/>
      <c r="O258" s="304"/>
      <c r="P258" s="1323">
        <f>O258*N258</f>
        <v>0</v>
      </c>
      <c r="Q258" s="1323"/>
      <c r="R258" s="975">
        <f>'Abs17. NPHCE'!Q19</f>
        <v>0</v>
      </c>
      <c r="S258" s="1333">
        <f>'Abs17. NPHCE'!R19</f>
        <v>0</v>
      </c>
    </row>
    <row r="259" spans="1:19" hidden="1" x14ac:dyDescent="0.2">
      <c r="A259" s="1316" t="s">
        <v>4363</v>
      </c>
      <c r="B259" s="1347" t="s">
        <v>1908</v>
      </c>
      <c r="C259" s="1348"/>
      <c r="D259" s="1349" t="s">
        <v>1909</v>
      </c>
      <c r="E259" s="1350"/>
      <c r="F259" s="916"/>
      <c r="G259" s="324"/>
      <c r="H259" s="324"/>
      <c r="I259" s="1352"/>
      <c r="J259" s="1352"/>
      <c r="K259" s="1352"/>
      <c r="L259" s="179"/>
      <c r="M259" s="324"/>
      <c r="N259" s="1352"/>
      <c r="O259" s="324"/>
      <c r="P259" s="1352">
        <f>SUM(P260:P261)</f>
        <v>0</v>
      </c>
      <c r="Q259" s="1352"/>
      <c r="R259" s="974"/>
      <c r="S259" s="1225">
        <f>SUM(S260:S261)</f>
        <v>0</v>
      </c>
    </row>
    <row r="260" spans="1:19" ht="30" hidden="1" x14ac:dyDescent="0.2">
      <c r="A260" s="1294">
        <v>1</v>
      </c>
      <c r="B260" s="1292" t="s">
        <v>1910</v>
      </c>
      <c r="C260" s="1293" t="s">
        <v>1911</v>
      </c>
      <c r="D260" s="1293" t="s">
        <v>1912</v>
      </c>
      <c r="E260" s="889" t="s">
        <v>85</v>
      </c>
      <c r="F260" s="1250" t="s">
        <v>152</v>
      </c>
      <c r="G260" s="82"/>
      <c r="H260" s="82"/>
      <c r="I260" s="82"/>
      <c r="J260" s="2240"/>
      <c r="K260" s="2240"/>
      <c r="L260" s="2576"/>
      <c r="M260" s="2575"/>
      <c r="N260" s="308"/>
      <c r="O260" s="304"/>
      <c r="P260" s="1323">
        <f>O260*N260</f>
        <v>0</v>
      </c>
      <c r="Q260" s="1323"/>
      <c r="R260" s="975">
        <f>'Abs18. NTCP'!Q15</f>
        <v>0</v>
      </c>
      <c r="S260" s="1333">
        <f>'Abs18. NTCP'!R15</f>
        <v>0</v>
      </c>
    </row>
    <row r="261" spans="1:19" ht="30" hidden="1" x14ac:dyDescent="0.2">
      <c r="A261" s="1294">
        <v>2</v>
      </c>
      <c r="B261" s="1292" t="s">
        <v>1913</v>
      </c>
      <c r="C261" s="510"/>
      <c r="D261" s="502" t="s">
        <v>1879</v>
      </c>
      <c r="E261" s="889" t="s">
        <v>85</v>
      </c>
      <c r="F261" s="1250" t="s">
        <v>152</v>
      </c>
      <c r="G261" s="82"/>
      <c r="H261" s="82"/>
      <c r="I261" s="82"/>
      <c r="J261" s="82"/>
      <c r="K261" s="82"/>
      <c r="L261" s="363"/>
      <c r="M261" s="304"/>
      <c r="N261" s="308"/>
      <c r="O261" s="304"/>
      <c r="P261" s="1323">
        <f>O261*N261</f>
        <v>0</v>
      </c>
      <c r="Q261" s="1323"/>
      <c r="R261" s="975">
        <f>'Abs18. NTCP'!Q16</f>
        <v>0</v>
      </c>
      <c r="S261" s="1333">
        <f>'Abs18. NTCP'!R16</f>
        <v>0</v>
      </c>
    </row>
    <row r="262" spans="1:19" hidden="1" x14ac:dyDescent="0.2">
      <c r="A262" s="1316" t="s">
        <v>4364</v>
      </c>
      <c r="B262" s="1347" t="s">
        <v>1914</v>
      </c>
      <c r="C262" s="1348" t="s">
        <v>1915</v>
      </c>
      <c r="D262" s="1349" t="s">
        <v>1916</v>
      </c>
      <c r="E262" s="1350"/>
      <c r="F262" s="916"/>
      <c r="G262" s="324"/>
      <c r="H262" s="324"/>
      <c r="I262" s="1352"/>
      <c r="J262" s="1352"/>
      <c r="K262" s="1352"/>
      <c r="L262" s="179"/>
      <c r="M262" s="324"/>
      <c r="N262" s="1352"/>
      <c r="O262" s="324"/>
      <c r="P262" s="1352">
        <f>SUM(P263:P270)</f>
        <v>0</v>
      </c>
      <c r="Q262" s="1352"/>
      <c r="R262" s="974"/>
      <c r="S262" s="1225">
        <f>SUM(S263:S270)</f>
        <v>0</v>
      </c>
    </row>
    <row r="263" spans="1:19" ht="60" hidden="1" x14ac:dyDescent="0.2">
      <c r="A263" s="1294">
        <v>1</v>
      </c>
      <c r="B263" s="1291" t="s">
        <v>1917</v>
      </c>
      <c r="C263" s="1287" t="s">
        <v>1918</v>
      </c>
      <c r="D263" s="1293" t="s">
        <v>4798</v>
      </c>
      <c r="E263" s="889" t="s">
        <v>85</v>
      </c>
      <c r="F263" s="1250" t="s">
        <v>415</v>
      </c>
      <c r="G263" s="2575"/>
      <c r="H263" s="2240"/>
      <c r="I263" s="2589"/>
      <c r="J263" s="2240"/>
      <c r="K263" s="2576"/>
      <c r="L263" s="2576"/>
      <c r="M263" s="2575"/>
      <c r="N263" s="308"/>
      <c r="O263" s="2575"/>
      <c r="P263" s="1323">
        <f t="shared" ref="P263:P270" si="10">O263*N263</f>
        <v>0</v>
      </c>
      <c r="Q263" s="1323"/>
      <c r="R263" s="975">
        <f>'Abs19. NPCDCS'!Q24</f>
        <v>0</v>
      </c>
      <c r="S263" s="1333">
        <f>'Abs19. NPCDCS'!R24</f>
        <v>0</v>
      </c>
    </row>
    <row r="264" spans="1:19" ht="30" hidden="1" x14ac:dyDescent="0.2">
      <c r="A264" s="1294">
        <v>2</v>
      </c>
      <c r="B264" s="1291" t="s">
        <v>1919</v>
      </c>
      <c r="C264" s="1287" t="s">
        <v>1920</v>
      </c>
      <c r="D264" s="1293" t="s">
        <v>4799</v>
      </c>
      <c r="E264" s="889" t="s">
        <v>85</v>
      </c>
      <c r="F264" s="1250" t="s">
        <v>415</v>
      </c>
      <c r="G264" s="2575"/>
      <c r="H264" s="2240"/>
      <c r="I264" s="2589"/>
      <c r="J264" s="2240"/>
      <c r="K264" s="2576"/>
      <c r="L264" s="2576"/>
      <c r="M264" s="2575"/>
      <c r="N264" s="308"/>
      <c r="O264" s="2575"/>
      <c r="P264" s="1323">
        <f t="shared" si="10"/>
        <v>0</v>
      </c>
      <c r="Q264" s="1323"/>
      <c r="R264" s="975">
        <f>'Abs19. NPCDCS'!Q25</f>
        <v>0</v>
      </c>
      <c r="S264" s="1333">
        <f>'Abs19. NPCDCS'!R25</f>
        <v>0</v>
      </c>
    </row>
    <row r="265" spans="1:19" hidden="1" x14ac:dyDescent="0.2">
      <c r="A265" s="1294">
        <v>3</v>
      </c>
      <c r="B265" s="1291"/>
      <c r="C265" s="1287"/>
      <c r="D265" s="1293" t="s">
        <v>4800</v>
      </c>
      <c r="E265" s="889" t="s">
        <v>85</v>
      </c>
      <c r="F265" s="1250" t="s">
        <v>415</v>
      </c>
      <c r="G265" s="82"/>
      <c r="H265" s="82"/>
      <c r="I265" s="82"/>
      <c r="J265" s="82"/>
      <c r="K265" s="362"/>
      <c r="L265" s="82"/>
      <c r="M265" s="304"/>
      <c r="N265" s="308"/>
      <c r="O265" s="304"/>
      <c r="P265" s="1323">
        <f>O265*N265</f>
        <v>0</v>
      </c>
      <c r="Q265" s="1323"/>
      <c r="R265" s="975">
        <f>'Abs19. NPCDCS'!Q26</f>
        <v>0</v>
      </c>
      <c r="S265" s="1333">
        <f>'Abs19. NPCDCS'!R26</f>
        <v>0</v>
      </c>
    </row>
    <row r="266" spans="1:19" hidden="1" x14ac:dyDescent="0.2">
      <c r="A266" s="1294">
        <v>4</v>
      </c>
      <c r="B266" s="1291"/>
      <c r="C266" s="1287"/>
      <c r="D266" s="1293" t="s">
        <v>4797</v>
      </c>
      <c r="E266" s="889" t="s">
        <v>85</v>
      </c>
      <c r="F266" s="1250" t="s">
        <v>415</v>
      </c>
      <c r="G266" s="82"/>
      <c r="H266" s="82"/>
      <c r="I266" s="82"/>
      <c r="J266" s="82"/>
      <c r="K266" s="362"/>
      <c r="L266" s="2576"/>
      <c r="M266" s="304"/>
      <c r="N266" s="308"/>
      <c r="O266" s="304"/>
      <c r="P266" s="1323">
        <f>O266*N266</f>
        <v>0</v>
      </c>
      <c r="Q266" s="1323"/>
      <c r="R266" s="975">
        <f>'Abs19. NPCDCS'!Q27</f>
        <v>0</v>
      </c>
      <c r="S266" s="1333">
        <f>'Abs19. NPCDCS'!R27</f>
        <v>0</v>
      </c>
    </row>
    <row r="267" spans="1:19" ht="45" hidden="1" x14ac:dyDescent="0.2">
      <c r="A267" s="1294">
        <v>5</v>
      </c>
      <c r="B267" s="1291" t="s">
        <v>1921</v>
      </c>
      <c r="C267" s="1287" t="s">
        <v>1922</v>
      </c>
      <c r="D267" s="1293" t="s">
        <v>4801</v>
      </c>
      <c r="E267" s="889" t="s">
        <v>85</v>
      </c>
      <c r="F267" s="1250" t="s">
        <v>415</v>
      </c>
      <c r="G267" s="2575"/>
      <c r="H267" s="2240"/>
      <c r="I267" s="2589"/>
      <c r="J267" s="2240"/>
      <c r="K267" s="2576"/>
      <c r="L267" s="2576"/>
      <c r="M267" s="2575"/>
      <c r="N267" s="308"/>
      <c r="O267" s="2575"/>
      <c r="P267" s="1323">
        <f t="shared" si="10"/>
        <v>0</v>
      </c>
      <c r="Q267" s="1323"/>
      <c r="R267" s="975">
        <f>'Abs19. NPCDCS'!Q28</f>
        <v>0</v>
      </c>
      <c r="S267" s="1333">
        <f>'Abs19. NPCDCS'!R28</f>
        <v>0</v>
      </c>
    </row>
    <row r="268" spans="1:19" ht="30" hidden="1" x14ac:dyDescent="0.2">
      <c r="A268" s="1294">
        <v>6</v>
      </c>
      <c r="B268" s="1291" t="s">
        <v>1923</v>
      </c>
      <c r="C268" s="1287" t="s">
        <v>1924</v>
      </c>
      <c r="D268" s="1293" t="s">
        <v>4802</v>
      </c>
      <c r="E268" s="889" t="s">
        <v>85</v>
      </c>
      <c r="F268" s="1250" t="s">
        <v>415</v>
      </c>
      <c r="G268" s="2575"/>
      <c r="H268" s="2240"/>
      <c r="I268" s="2589"/>
      <c r="J268" s="2240"/>
      <c r="K268" s="2604"/>
      <c r="L268" s="2576"/>
      <c r="M268" s="2575"/>
      <c r="N268" s="308"/>
      <c r="O268" s="2575"/>
      <c r="P268" s="1323">
        <f t="shared" si="10"/>
        <v>0</v>
      </c>
      <c r="Q268" s="1323"/>
      <c r="R268" s="975">
        <f>'Abs19. NPCDCS'!Q29</f>
        <v>0</v>
      </c>
      <c r="S268" s="1333">
        <f>'Abs19. NPCDCS'!R29</f>
        <v>0</v>
      </c>
    </row>
    <row r="269" spans="1:19" ht="30" hidden="1" x14ac:dyDescent="0.2">
      <c r="A269" s="1294">
        <v>7</v>
      </c>
      <c r="B269" s="1291" t="s">
        <v>1925</v>
      </c>
      <c r="C269" s="1287" t="s">
        <v>1926</v>
      </c>
      <c r="D269" s="1293" t="s">
        <v>4803</v>
      </c>
      <c r="E269" s="889" t="s">
        <v>85</v>
      </c>
      <c r="F269" s="1250" t="s">
        <v>415</v>
      </c>
      <c r="G269" s="2575"/>
      <c r="H269" s="2240"/>
      <c r="I269" s="2589"/>
      <c r="J269" s="2240"/>
      <c r="K269" s="2576"/>
      <c r="L269" s="2576"/>
      <c r="M269" s="2575"/>
      <c r="N269" s="308"/>
      <c r="O269" s="2575"/>
      <c r="P269" s="1323">
        <f t="shared" si="10"/>
        <v>0</v>
      </c>
      <c r="Q269" s="1323"/>
      <c r="R269" s="975">
        <f>'Abs19. NPCDCS'!Q30</f>
        <v>0</v>
      </c>
      <c r="S269" s="1333">
        <f>'Abs19. NPCDCS'!R30</f>
        <v>0</v>
      </c>
    </row>
    <row r="270" spans="1:19" ht="30" hidden="1" x14ac:dyDescent="0.2">
      <c r="A270" s="1294">
        <v>8</v>
      </c>
      <c r="B270" s="1292" t="s">
        <v>2856</v>
      </c>
      <c r="C270" s="502" t="s">
        <v>142</v>
      </c>
      <c r="D270" s="1293" t="s">
        <v>2542</v>
      </c>
      <c r="E270" s="889" t="s">
        <v>85</v>
      </c>
      <c r="F270" s="1250" t="s">
        <v>415</v>
      </c>
      <c r="G270" s="2575"/>
      <c r="H270" s="2259"/>
      <c r="I270" s="2589"/>
      <c r="J270" s="2259"/>
      <c r="K270" s="2605"/>
      <c r="L270" s="2576"/>
      <c r="M270" s="2575"/>
      <c r="N270" s="308"/>
      <c r="O270" s="2575"/>
      <c r="P270" s="1323">
        <f t="shared" si="10"/>
        <v>0</v>
      </c>
      <c r="Q270" s="1323"/>
      <c r="R270" s="975">
        <f>'Abs19. NPCDCS'!Q31</f>
        <v>0</v>
      </c>
      <c r="S270" s="1333">
        <f>'Abs19. NPCDCS'!R31</f>
        <v>0</v>
      </c>
    </row>
    <row r="271" spans="1:19" ht="30" x14ac:dyDescent="0.2">
      <c r="A271" s="1316" t="s">
        <v>4673</v>
      </c>
      <c r="B271" s="1347" t="s">
        <v>1927</v>
      </c>
      <c r="C271" s="1348" t="s">
        <v>1338</v>
      </c>
      <c r="D271" s="1349" t="s">
        <v>2391</v>
      </c>
      <c r="E271" s="1350"/>
      <c r="F271" s="916"/>
      <c r="G271" s="324"/>
      <c r="H271" s="324"/>
      <c r="I271" s="1352"/>
      <c r="J271" s="1352"/>
      <c r="K271" s="1352"/>
      <c r="L271" s="179"/>
      <c r="M271" s="324"/>
      <c r="N271" s="1352"/>
      <c r="O271" s="324"/>
      <c r="P271" s="1352">
        <f>SUM(P272:P273)</f>
        <v>510</v>
      </c>
      <c r="Q271" s="1352"/>
      <c r="R271" s="974"/>
      <c r="S271" s="1225">
        <f>SUM(S272:S273)</f>
        <v>0</v>
      </c>
    </row>
    <row r="272" spans="1:19" ht="60" hidden="1" x14ac:dyDescent="0.2">
      <c r="A272" s="1294">
        <v>1</v>
      </c>
      <c r="B272" s="1292" t="s">
        <v>1930</v>
      </c>
      <c r="C272" s="510"/>
      <c r="D272" s="502" t="s">
        <v>4391</v>
      </c>
      <c r="E272" s="889" t="s">
        <v>85</v>
      </c>
      <c r="F272" s="1343" t="s">
        <v>4925</v>
      </c>
      <c r="G272" s="2575"/>
      <c r="H272" s="2240"/>
      <c r="I272" s="2240"/>
      <c r="J272" s="2240"/>
      <c r="K272" s="2240"/>
      <c r="L272" s="2576"/>
      <c r="M272" s="2575"/>
      <c r="N272" s="308"/>
      <c r="O272" s="2575"/>
      <c r="P272" s="1323">
        <f>O272*N272</f>
        <v>0</v>
      </c>
      <c r="Q272" s="1323"/>
      <c r="R272" s="975">
        <f>'Abs20. PMNDP'!Q13</f>
        <v>0</v>
      </c>
      <c r="S272" s="1333">
        <f>'Abs20. PMNDP'!R13</f>
        <v>0</v>
      </c>
    </row>
    <row r="273" spans="1:19" ht="114" x14ac:dyDescent="0.2">
      <c r="A273" s="1294">
        <v>2</v>
      </c>
      <c r="B273" s="1292" t="s">
        <v>1932</v>
      </c>
      <c r="C273" s="510"/>
      <c r="D273" s="502" t="s">
        <v>4392</v>
      </c>
      <c r="E273" s="889" t="s">
        <v>85</v>
      </c>
      <c r="F273" s="1343" t="s">
        <v>4925</v>
      </c>
      <c r="G273" s="2575"/>
      <c r="H273" s="2240"/>
      <c r="I273" s="2240"/>
      <c r="J273" s="2240"/>
      <c r="K273" s="2240"/>
      <c r="L273" s="2576" t="s">
        <v>5736</v>
      </c>
      <c r="M273" s="2575">
        <v>5100000</v>
      </c>
      <c r="N273" s="308">
        <f>+M273/100000</f>
        <v>51</v>
      </c>
      <c r="O273" s="2575">
        <v>10</v>
      </c>
      <c r="P273" s="1323">
        <f>O273*N273</f>
        <v>510</v>
      </c>
      <c r="Q273" s="3688" t="s">
        <v>5961</v>
      </c>
      <c r="R273" s="975">
        <f>'Abs20. PMNDP'!Q12</f>
        <v>0</v>
      </c>
      <c r="S273" s="1333">
        <f>'Abs20. PMNDP'!R14</f>
        <v>0</v>
      </c>
    </row>
    <row r="274" spans="1:19" hidden="1" x14ac:dyDescent="0.2">
      <c r="A274" s="1316" t="s">
        <v>4674</v>
      </c>
      <c r="B274" s="1347" t="s">
        <v>1821</v>
      </c>
      <c r="C274" s="1348"/>
      <c r="D274" s="1349" t="s">
        <v>1822</v>
      </c>
      <c r="E274" s="1350"/>
      <c r="F274" s="916"/>
      <c r="G274" s="324"/>
      <c r="H274" s="324"/>
      <c r="I274" s="1352"/>
      <c r="J274" s="1352"/>
      <c r="K274" s="1352"/>
      <c r="L274" s="179"/>
      <c r="M274" s="324"/>
      <c r="N274" s="1352"/>
      <c r="O274" s="324"/>
      <c r="P274" s="1352">
        <f>P275</f>
        <v>0</v>
      </c>
      <c r="Q274" s="1352"/>
      <c r="R274" s="974"/>
      <c r="S274" s="1225">
        <f>S275</f>
        <v>0</v>
      </c>
    </row>
    <row r="275" spans="1:19" hidden="1" x14ac:dyDescent="0.2">
      <c r="A275" s="1294">
        <v>1</v>
      </c>
      <c r="B275" s="1292" t="s">
        <v>1823</v>
      </c>
      <c r="C275" s="1293" t="s">
        <v>1824</v>
      </c>
      <c r="D275" s="1293" t="s">
        <v>1825</v>
      </c>
      <c r="E275" s="889" t="s">
        <v>85</v>
      </c>
      <c r="F275" s="1250" t="s">
        <v>312</v>
      </c>
      <c r="G275" s="2575"/>
      <c r="H275" s="2240"/>
      <c r="I275" s="2589"/>
      <c r="J275" s="2240"/>
      <c r="K275" s="2240"/>
      <c r="L275" s="2583"/>
      <c r="M275" s="2575"/>
      <c r="N275" s="308"/>
      <c r="O275" s="304"/>
      <c r="P275" s="1323">
        <f>O275*N275</f>
        <v>0</v>
      </c>
      <c r="Q275" s="1323"/>
      <c r="R275" s="975">
        <f>'Abs24. NOHP'!Q11</f>
        <v>0</v>
      </c>
      <c r="S275" s="1333">
        <f>'Abs24. NOHP'!R11</f>
        <v>0</v>
      </c>
    </row>
    <row r="276" spans="1:19" hidden="1" x14ac:dyDescent="0.2">
      <c r="A276" s="3903" t="s">
        <v>4939</v>
      </c>
      <c r="B276" s="3903"/>
      <c r="C276" s="3903"/>
      <c r="D276" s="3903"/>
      <c r="E276" s="1165"/>
      <c r="F276" s="1165"/>
      <c r="G276" s="340"/>
      <c r="H276" s="340"/>
      <c r="I276" s="340"/>
      <c r="J276" s="340"/>
      <c r="K276" s="340"/>
      <c r="L276" s="340"/>
      <c r="M276" s="340"/>
      <c r="N276" s="1313"/>
      <c r="O276" s="580"/>
      <c r="P276" s="1313"/>
      <c r="Q276" s="1313"/>
      <c r="R276" s="1144"/>
      <c r="S276" s="1126"/>
    </row>
    <row r="277" spans="1:19" hidden="1" x14ac:dyDescent="0.2">
      <c r="A277" s="1316" t="s">
        <v>4358</v>
      </c>
      <c r="B277" s="1266">
        <v>6.5</v>
      </c>
      <c r="C277" s="1267"/>
      <c r="D277" s="1266" t="s">
        <v>43</v>
      </c>
      <c r="E277" s="908"/>
      <c r="F277" s="908"/>
      <c r="G277" s="109"/>
      <c r="H277" s="109"/>
      <c r="I277" s="1107"/>
      <c r="J277" s="1107"/>
      <c r="K277" s="1107"/>
      <c r="L277" s="109"/>
      <c r="M277" s="109"/>
      <c r="N277" s="1107"/>
      <c r="O277" s="359"/>
      <c r="P277" s="1107">
        <f>SUM(P278:P280)</f>
        <v>0</v>
      </c>
      <c r="Q277" s="1107"/>
      <c r="R277" s="971"/>
      <c r="S277" s="1220">
        <f>SUM(S278:S280)</f>
        <v>0</v>
      </c>
    </row>
    <row r="278" spans="1:19" hidden="1" x14ac:dyDescent="0.2">
      <c r="A278" s="1294">
        <v>1</v>
      </c>
      <c r="B278" s="1292" t="s">
        <v>2544</v>
      </c>
      <c r="C278" s="502" t="s">
        <v>1936</v>
      </c>
      <c r="D278" s="502" t="s">
        <v>4894</v>
      </c>
      <c r="E278" s="980" t="s">
        <v>4366</v>
      </c>
      <c r="F278" s="1250" t="s">
        <v>4683</v>
      </c>
      <c r="G278" s="2575"/>
      <c r="H278" s="2240"/>
      <c r="I278" s="2589"/>
      <c r="J278" s="2240"/>
      <c r="K278" s="2240"/>
      <c r="L278" s="2576"/>
      <c r="M278" s="2575"/>
      <c r="N278" s="308"/>
      <c r="O278" s="2575"/>
      <c r="P278" s="1323">
        <f>O278*N278</f>
        <v>0</v>
      </c>
      <c r="Q278" s="1323"/>
      <c r="R278" s="975">
        <f>'Abs11. NTEP'!Q26</f>
        <v>0</v>
      </c>
      <c r="S278" s="1333">
        <f>'Abs11. NTEP'!R26</f>
        <v>0</v>
      </c>
    </row>
    <row r="279" spans="1:19" ht="30" hidden="1" x14ac:dyDescent="0.2">
      <c r="A279" s="1294">
        <v>2</v>
      </c>
      <c r="B279" s="1292" t="s">
        <v>2545</v>
      </c>
      <c r="C279" s="502" t="s">
        <v>2290</v>
      </c>
      <c r="D279" s="502" t="s">
        <v>2362</v>
      </c>
      <c r="E279" s="980" t="s">
        <v>4366</v>
      </c>
      <c r="F279" s="1250" t="s">
        <v>4683</v>
      </c>
      <c r="G279" s="2575"/>
      <c r="H279" s="2259"/>
      <c r="I279" s="2589"/>
      <c r="J279" s="2259"/>
      <c r="K279" s="2240"/>
      <c r="L279" s="2576"/>
      <c r="M279" s="2575"/>
      <c r="N279" s="308"/>
      <c r="O279" s="2575"/>
      <c r="P279" s="1323">
        <f>O279*N279</f>
        <v>0</v>
      </c>
      <c r="Q279" s="1323"/>
      <c r="R279" s="975">
        <f>'Abs11. NTEP'!Q27</f>
        <v>0</v>
      </c>
      <c r="S279" s="1333">
        <f>'Abs11. NTEP'!R27</f>
        <v>0</v>
      </c>
    </row>
    <row r="280" spans="1:19" hidden="1" x14ac:dyDescent="0.2">
      <c r="A280" s="1294">
        <v>3</v>
      </c>
      <c r="B280" s="1292" t="s">
        <v>2546</v>
      </c>
      <c r="C280" s="510"/>
      <c r="D280" s="502" t="s">
        <v>1310</v>
      </c>
      <c r="E280" s="980" t="s">
        <v>4366</v>
      </c>
      <c r="F280" s="1250" t="s">
        <v>4683</v>
      </c>
      <c r="G280" s="2575"/>
      <c r="H280" s="2240"/>
      <c r="I280" s="2589"/>
      <c r="J280" s="2240"/>
      <c r="K280" s="2240"/>
      <c r="L280" s="2576"/>
      <c r="M280" s="2575"/>
      <c r="N280" s="308"/>
      <c r="O280" s="304"/>
      <c r="P280" s="1323">
        <f>O280*N280</f>
        <v>0</v>
      </c>
      <c r="Q280" s="1323"/>
      <c r="R280" s="975">
        <f>'Abs11. NTEP'!Q28</f>
        <v>0</v>
      </c>
      <c r="S280" s="1333">
        <f>'Abs11. NTEP'!R28</f>
        <v>0</v>
      </c>
    </row>
    <row r="281" spans="1:19" x14ac:dyDescent="0.2">
      <c r="G281" s="1279"/>
      <c r="H281" s="1279"/>
      <c r="I281" s="1279"/>
      <c r="J281" s="1279"/>
      <c r="K281" s="1279"/>
      <c r="N281" s="1362"/>
      <c r="P281" s="1362"/>
    </row>
    <row r="283" spans="1:19" x14ac:dyDescent="0.2">
      <c r="O283" s="178"/>
    </row>
    <row r="284" spans="1:19" x14ac:dyDescent="0.2">
      <c r="O284" s="178"/>
    </row>
  </sheetData>
  <sheetProtection formatCells="0" formatColumns="0" formatRows="0" autoFilter="0"/>
  <autoFilter ref="A4:BC280">
    <filterColumn colId="1" showButton="0"/>
    <filterColumn colId="15">
      <filters>
        <filter val="12.00"/>
        <filter val="128.08"/>
        <filter val="135.00"/>
        <filter val="2025.00"/>
        <filter val="27.65"/>
        <filter val="2885.26"/>
        <filter val="3301.28"/>
        <filter val="416.02"/>
        <filter val="510.00"/>
      </filters>
    </filterColumn>
  </autoFilter>
  <mergeCells count="20">
    <mergeCell ref="A213:D213"/>
    <mergeCell ref="A249:D249"/>
    <mergeCell ref="A276:D276"/>
    <mergeCell ref="A64:D64"/>
    <mergeCell ref="A135:D135"/>
    <mergeCell ref="A72:D72"/>
    <mergeCell ref="A92:D92"/>
    <mergeCell ref="A145:D145"/>
    <mergeCell ref="A190:D190"/>
    <mergeCell ref="A6:D6"/>
    <mergeCell ref="A41:D41"/>
    <mergeCell ref="A1:D1"/>
    <mergeCell ref="A3:A4"/>
    <mergeCell ref="B3:C4"/>
    <mergeCell ref="L3:Q3"/>
    <mergeCell ref="R3:S3"/>
    <mergeCell ref="G3:K3"/>
    <mergeCell ref="D3:D4"/>
    <mergeCell ref="E3:E4"/>
    <mergeCell ref="F3:F4"/>
  </mergeCells>
  <phoneticPr fontId="57" type="noConversion"/>
  <pageMargins left="0.7" right="0.7" top="0.75" bottom="0.75" header="0.3" footer="0.3"/>
  <pageSetup orientation="portrait"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BA33"/>
  <sheetViews>
    <sheetView zoomScale="70" zoomScaleNormal="70" zoomScaleSheetLayoutView="80" workbookViewId="0">
      <pane xSplit="5" ySplit="7" topLeftCell="F8" activePane="bottomRight" state="frozen"/>
      <selection activeCell="A2" sqref="A2:A4"/>
      <selection pane="topRight" activeCell="A2" sqref="A2:A4"/>
      <selection pane="bottomLeft" activeCell="A2" sqref="A2:A4"/>
      <selection pane="bottomRight" activeCell="R16" sqref="R16"/>
    </sheetView>
  </sheetViews>
  <sheetFormatPr defaultColWidth="9.140625" defaultRowHeight="15" x14ac:dyDescent="0.2"/>
  <cols>
    <col min="1" max="1" width="10.5703125" style="1400" bestFit="1" customWidth="1"/>
    <col min="2" max="2" width="18.28515625" style="1368" customWidth="1"/>
    <col min="3" max="3" width="52" style="1160" bestFit="1" customWidth="1"/>
    <col min="4" max="4" width="10.42578125" style="1088" customWidth="1"/>
    <col min="5" max="5" width="13" style="1088" customWidth="1"/>
    <col min="6" max="6" width="14.140625" style="1401" customWidth="1"/>
    <col min="7" max="7" width="20" style="1401" customWidth="1"/>
    <col min="8" max="10" width="14.140625" style="1401" customWidth="1"/>
    <col min="11" max="11" width="10.85546875" style="1366" customWidth="1"/>
    <col min="12" max="12" width="10.5703125" style="1366" customWidth="1"/>
    <col min="13" max="13" width="13" style="1366" customWidth="1"/>
    <col min="14" max="14" width="12.42578125" style="1366" customWidth="1"/>
    <col min="15" max="15" width="12.140625" style="1366" customWidth="1"/>
    <col min="16" max="16" width="42.5703125" style="1400" customWidth="1"/>
    <col min="17" max="17" width="39.42578125" style="1400" customWidth="1"/>
    <col min="18" max="18" width="14.140625" style="1366" customWidth="1"/>
    <col min="19" max="19" width="14" style="1366" customWidth="1"/>
    <col min="20" max="16384" width="9.140625" style="1366"/>
  </cols>
  <sheetData>
    <row r="1" spans="1:53" ht="12.6" customHeight="1" x14ac:dyDescent="0.2">
      <c r="A1" s="3852" t="s">
        <v>400</v>
      </c>
      <c r="B1" s="3853"/>
      <c r="C1" s="3854"/>
      <c r="D1" s="1191"/>
      <c r="E1" s="3825" t="s">
        <v>4719</v>
      </c>
      <c r="F1" s="3894" t="s">
        <v>4717</v>
      </c>
      <c r="G1" s="3895"/>
      <c r="H1" s="3895"/>
      <c r="I1" s="3895"/>
      <c r="J1" s="3895"/>
      <c r="K1" s="3895"/>
      <c r="L1" s="3895"/>
      <c r="M1" s="3895"/>
      <c r="N1" s="3896"/>
      <c r="O1" s="3830" t="s">
        <v>70</v>
      </c>
      <c r="P1" s="3831"/>
      <c r="Q1" s="3831"/>
      <c r="R1" s="3831"/>
      <c r="S1" s="3831"/>
      <c r="T1" s="3831"/>
      <c r="U1" s="3831"/>
      <c r="V1" s="3831"/>
      <c r="W1" s="3831"/>
      <c r="X1" s="3831"/>
      <c r="Y1" s="3831"/>
      <c r="Z1" s="3831"/>
      <c r="AA1" s="3831"/>
      <c r="AB1" s="3831"/>
      <c r="AC1" s="3831"/>
      <c r="AD1" s="3831"/>
      <c r="AE1" s="3831"/>
      <c r="AF1" s="3831"/>
      <c r="AG1" s="3831"/>
      <c r="AH1" s="3831"/>
      <c r="AI1" s="3885" t="s">
        <v>4366</v>
      </c>
      <c r="AJ1" s="3886"/>
      <c r="AK1" s="3886"/>
      <c r="AL1" s="3886"/>
      <c r="AM1" s="3886"/>
      <c r="AN1" s="3886"/>
      <c r="AO1" s="3887"/>
      <c r="AP1" s="3872" t="s">
        <v>85</v>
      </c>
      <c r="AQ1" s="3873"/>
      <c r="AR1" s="3873"/>
      <c r="AS1" s="3873"/>
      <c r="AT1" s="3873"/>
      <c r="AU1" s="3873"/>
      <c r="AV1" s="3873"/>
      <c r="AW1" s="3873"/>
      <c r="AX1" s="3873"/>
      <c r="AY1" s="3873"/>
      <c r="AZ1" s="3873"/>
      <c r="BA1" s="3874"/>
    </row>
    <row r="2" spans="1:53" s="1368" customFormat="1" ht="30" x14ac:dyDescent="0.2">
      <c r="A2" s="3811" t="str">
        <f>HYPERLINK("#Index!A4", "Index Pg")</f>
        <v>Index Pg</v>
      </c>
      <c r="B2" s="1367" t="str">
        <f>HYPERLINK("#'Summary of Abstracts'!A2", "Summary of Abst.")</f>
        <v>Summary of Abst.</v>
      </c>
      <c r="C2" s="836"/>
      <c r="D2" s="1193"/>
      <c r="E2" s="3825"/>
      <c r="F2" s="884" t="s">
        <v>118</v>
      </c>
      <c r="G2" s="884" t="s">
        <v>131</v>
      </c>
      <c r="H2" s="884" t="s">
        <v>91</v>
      </c>
      <c r="I2" s="884" t="s">
        <v>4715</v>
      </c>
      <c r="J2" s="884" t="s">
        <v>96</v>
      </c>
      <c r="K2" s="1194" t="s">
        <v>4071</v>
      </c>
      <c r="L2" s="885" t="s">
        <v>4716</v>
      </c>
      <c r="M2" s="884" t="s">
        <v>4720</v>
      </c>
      <c r="N2" s="885" t="s">
        <v>208</v>
      </c>
      <c r="O2" s="886" t="s">
        <v>4365</v>
      </c>
      <c r="P2" s="887" t="s">
        <v>3855</v>
      </c>
      <c r="Q2" s="887" t="s">
        <v>4729</v>
      </c>
      <c r="R2" s="887" t="s">
        <v>4726</v>
      </c>
      <c r="S2" s="887"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307</v>
      </c>
      <c r="AI2" s="888" t="s">
        <v>293</v>
      </c>
      <c r="AJ2" s="888" t="s">
        <v>114</v>
      </c>
      <c r="AK2" s="888" t="s">
        <v>146</v>
      </c>
      <c r="AL2" s="888" t="s">
        <v>4683</v>
      </c>
      <c r="AM2" s="888" t="s">
        <v>3323</v>
      </c>
      <c r="AN2" s="888" t="s">
        <v>3993</v>
      </c>
      <c r="AO2" s="888" t="s">
        <v>4553</v>
      </c>
      <c r="AP2" s="889" t="s">
        <v>86</v>
      </c>
      <c r="AQ2" s="889" t="s">
        <v>150</v>
      </c>
      <c r="AR2" s="889" t="s">
        <v>399</v>
      </c>
      <c r="AS2" s="889" t="s">
        <v>152</v>
      </c>
      <c r="AT2" s="889" t="s">
        <v>415</v>
      </c>
      <c r="AU2" s="889" t="s">
        <v>4607</v>
      </c>
      <c r="AV2" s="889" t="s">
        <v>4132</v>
      </c>
      <c r="AW2" s="889" t="s">
        <v>312</v>
      </c>
      <c r="AX2" s="889" t="s">
        <v>314</v>
      </c>
      <c r="AY2" s="889" t="s">
        <v>1034</v>
      </c>
      <c r="AZ2" s="889" t="s">
        <v>1020</v>
      </c>
      <c r="BA2" s="889" t="s">
        <v>4718</v>
      </c>
    </row>
    <row r="3" spans="1:53" s="1368" customFormat="1" x14ac:dyDescent="0.25">
      <c r="A3" s="3812"/>
      <c r="B3" s="831" t="str">
        <f>HYPERLINK("#'Budget Summary I'!A1:AL1", "Budget Summary I")</f>
        <v>Budget Summary I</v>
      </c>
      <c r="C3" s="832" t="s">
        <v>4608</v>
      </c>
      <c r="D3" s="1193"/>
      <c r="E3" s="1195">
        <f>R7</f>
        <v>0</v>
      </c>
      <c r="F3" s="177">
        <f>R8</f>
        <v>0</v>
      </c>
      <c r="G3" s="177">
        <f>R9</f>
        <v>0</v>
      </c>
      <c r="H3" s="177">
        <f>R10</f>
        <v>0</v>
      </c>
      <c r="I3" s="177"/>
      <c r="J3" s="177"/>
      <c r="K3" s="961"/>
      <c r="L3" s="177"/>
      <c r="M3" s="177"/>
      <c r="N3" s="961"/>
      <c r="O3" s="961"/>
      <c r="P3" s="961"/>
      <c r="Q3" s="961"/>
      <c r="R3" s="961">
        <f>R13+R15+R16+R17+R18+R20+R21+R29</f>
        <v>0</v>
      </c>
      <c r="S3" s="961"/>
      <c r="T3" s="961"/>
      <c r="U3" s="961"/>
      <c r="V3" s="961"/>
      <c r="W3" s="961"/>
      <c r="X3" s="961"/>
      <c r="Y3" s="961"/>
      <c r="Z3" s="961"/>
      <c r="AA3" s="961"/>
      <c r="AB3" s="961"/>
      <c r="AC3" s="961"/>
      <c r="AD3" s="961"/>
      <c r="AE3" s="961"/>
      <c r="AF3" s="961"/>
      <c r="AG3" s="961"/>
      <c r="AH3" s="961"/>
      <c r="AI3" s="961"/>
      <c r="AJ3" s="961"/>
      <c r="AK3" s="961"/>
      <c r="AL3" s="961">
        <f>R23+R24</f>
        <v>0</v>
      </c>
      <c r="AM3" s="961"/>
      <c r="AN3" s="961"/>
      <c r="AO3" s="961"/>
      <c r="AP3" s="961"/>
      <c r="AQ3" s="961">
        <f>R28</f>
        <v>0</v>
      </c>
      <c r="AR3" s="961"/>
      <c r="AS3" s="961"/>
      <c r="AT3" s="961">
        <f>R26+R27</f>
        <v>0</v>
      </c>
      <c r="AU3" s="961"/>
      <c r="AV3" s="961"/>
      <c r="AW3" s="961"/>
      <c r="AX3" s="961"/>
      <c r="AY3" s="961"/>
      <c r="AZ3" s="961"/>
      <c r="BA3" s="961"/>
    </row>
    <row r="4" spans="1:53" s="1368" customFormat="1" x14ac:dyDescent="0.25">
      <c r="A4" s="3813"/>
      <c r="B4" s="831" t="str">
        <f>HYPERLINK("#'Budget Summary II'!A3:B5", "Budget Summary II")</f>
        <v>Budget Summary II</v>
      </c>
      <c r="C4" s="832" t="s">
        <v>4609</v>
      </c>
      <c r="D4" s="1193"/>
      <c r="E4" s="1195">
        <f>O7</f>
        <v>0</v>
      </c>
      <c r="F4" s="177">
        <f>O8</f>
        <v>0</v>
      </c>
      <c r="G4" s="177">
        <f>O9</f>
        <v>0</v>
      </c>
      <c r="H4" s="177">
        <f>O10</f>
        <v>0</v>
      </c>
      <c r="I4" s="177"/>
      <c r="J4" s="177"/>
      <c r="K4" s="961"/>
      <c r="L4" s="177"/>
      <c r="M4" s="177"/>
      <c r="N4" s="961"/>
      <c r="O4" s="961"/>
      <c r="P4" s="961"/>
      <c r="Q4" s="961"/>
      <c r="R4" s="961">
        <f>O13+O15+O16+O17+O18+O20+O21+O29</f>
        <v>0</v>
      </c>
      <c r="S4" s="961"/>
      <c r="T4" s="961"/>
      <c r="U4" s="961"/>
      <c r="V4" s="961"/>
      <c r="W4" s="961"/>
      <c r="X4" s="961"/>
      <c r="Y4" s="961"/>
      <c r="Z4" s="961"/>
      <c r="AA4" s="961"/>
      <c r="AB4" s="961"/>
      <c r="AC4" s="961"/>
      <c r="AD4" s="961"/>
      <c r="AE4" s="961"/>
      <c r="AF4" s="961"/>
      <c r="AG4" s="961"/>
      <c r="AH4" s="961"/>
      <c r="AI4" s="961"/>
      <c r="AJ4" s="961"/>
      <c r="AK4" s="961"/>
      <c r="AL4" s="961">
        <f>O23+O24</f>
        <v>0</v>
      </c>
      <c r="AM4" s="961"/>
      <c r="AN4" s="961"/>
      <c r="AO4" s="961"/>
      <c r="AP4" s="961"/>
      <c r="AQ4" s="961">
        <f>O28</f>
        <v>0</v>
      </c>
      <c r="AR4" s="961"/>
      <c r="AS4" s="961"/>
      <c r="AT4" s="961">
        <f>O26+O27</f>
        <v>0</v>
      </c>
      <c r="AU4" s="961"/>
      <c r="AV4" s="961"/>
      <c r="AW4" s="961"/>
      <c r="AX4" s="961"/>
      <c r="AY4" s="961"/>
      <c r="AZ4" s="961"/>
      <c r="BA4" s="961"/>
    </row>
    <row r="5" spans="1:53" s="1088" customFormat="1" ht="12.75" customHeight="1" x14ac:dyDescent="0.2">
      <c r="A5" s="3823" t="s">
        <v>53</v>
      </c>
      <c r="B5" s="3823" t="s">
        <v>54</v>
      </c>
      <c r="C5" s="3823" t="s">
        <v>55</v>
      </c>
      <c r="D5" s="3823" t="s">
        <v>56</v>
      </c>
      <c r="E5" s="3823" t="s">
        <v>57</v>
      </c>
      <c r="F5" s="3876" t="s">
        <v>4629</v>
      </c>
      <c r="G5" s="3876"/>
      <c r="H5" s="3876"/>
      <c r="I5" s="3876"/>
      <c r="J5" s="3876"/>
      <c r="K5" s="3877" t="s">
        <v>4640</v>
      </c>
      <c r="L5" s="3888"/>
      <c r="M5" s="3888"/>
      <c r="N5" s="3888"/>
      <c r="O5" s="3888"/>
      <c r="P5" s="3889"/>
      <c r="Q5" s="3890" t="s">
        <v>4670</v>
      </c>
      <c r="R5" s="3891"/>
    </row>
    <row r="6" spans="1:53" s="1088" customFormat="1" ht="60" x14ac:dyDescent="0.2">
      <c r="A6" s="3823"/>
      <c r="B6" s="3823"/>
      <c r="C6" s="3823"/>
      <c r="D6" s="3823"/>
      <c r="E6" s="3823"/>
      <c r="F6" s="896" t="s">
        <v>4630</v>
      </c>
      <c r="G6" s="896" t="s">
        <v>4638</v>
      </c>
      <c r="H6" s="896" t="s">
        <v>4631</v>
      </c>
      <c r="I6" s="896" t="s">
        <v>4639</v>
      </c>
      <c r="J6" s="896" t="s">
        <v>2538</v>
      </c>
      <c r="K6" s="897" t="s">
        <v>58</v>
      </c>
      <c r="L6" s="897" t="s">
        <v>59</v>
      </c>
      <c r="M6" s="1197" t="s">
        <v>60</v>
      </c>
      <c r="N6" s="897" t="s">
        <v>61</v>
      </c>
      <c r="O6" s="1197" t="s">
        <v>62</v>
      </c>
      <c r="P6" s="897" t="s">
        <v>5547</v>
      </c>
      <c r="Q6" s="899" t="s">
        <v>2540</v>
      </c>
      <c r="R6" s="1198" t="s">
        <v>4671</v>
      </c>
      <c r="S6" s="3449" t="s">
        <v>4724</v>
      </c>
    </row>
    <row r="7" spans="1:53" x14ac:dyDescent="0.2">
      <c r="A7" s="234">
        <v>7</v>
      </c>
      <c r="B7" s="965"/>
      <c r="C7" s="234" t="s">
        <v>20</v>
      </c>
      <c r="D7" s="234"/>
      <c r="E7" s="234"/>
      <c r="F7" s="234"/>
      <c r="G7" s="234"/>
      <c r="H7" s="439">
        <f>H8+H9+H10+H11+H22+H25+H28+H29</f>
        <v>0</v>
      </c>
      <c r="I7" s="439">
        <f t="shared" ref="I7" si="0">I8+I9+I10+I11+I22+I25+I28+I29</f>
        <v>0</v>
      </c>
      <c r="J7" s="439">
        <f>J8+J9+J10+J11+J22+J25+J28+J29</f>
        <v>0</v>
      </c>
      <c r="K7" s="234"/>
      <c r="L7" s="234"/>
      <c r="M7" s="234"/>
      <c r="N7" s="234"/>
      <c r="O7" s="439">
        <f>O8+O9+O10+O11+O22+O25+O28+O29</f>
        <v>0</v>
      </c>
      <c r="P7" s="234"/>
      <c r="Q7" s="234"/>
      <c r="R7" s="439">
        <f>R8+R9+R10+R11+R22+R25+R28+R29</f>
        <v>0</v>
      </c>
      <c r="S7" s="1366">
        <f>SUM(S8:S29)</f>
        <v>0</v>
      </c>
    </row>
    <row r="8" spans="1:53" x14ac:dyDescent="0.2">
      <c r="A8" s="879">
        <v>7.1</v>
      </c>
      <c r="B8" s="1043" t="s">
        <v>401</v>
      </c>
      <c r="C8" s="1035" t="s">
        <v>402</v>
      </c>
      <c r="D8" s="977" t="s">
        <v>90</v>
      </c>
      <c r="E8" s="986" t="s">
        <v>118</v>
      </c>
      <c r="F8" s="2470"/>
      <c r="G8" s="2471"/>
      <c r="H8" s="2472"/>
      <c r="I8" s="2471"/>
      <c r="J8" s="2471"/>
      <c r="K8" s="2471"/>
      <c r="L8" s="2471"/>
      <c r="M8" s="1369"/>
      <c r="N8" s="2470"/>
      <c r="O8" s="1370">
        <f>M8*N8</f>
        <v>0</v>
      </c>
      <c r="P8" s="2476"/>
      <c r="Q8" s="248">
        <f>'Ab1. RMNCH+A'!Q55</f>
        <v>0</v>
      </c>
      <c r="R8" s="619">
        <f>'Ab1. RMNCH+A'!R55</f>
        <v>0</v>
      </c>
    </row>
    <row r="9" spans="1:53" x14ac:dyDescent="0.2">
      <c r="A9" s="879">
        <v>7.2</v>
      </c>
      <c r="B9" s="1043" t="s">
        <v>403</v>
      </c>
      <c r="C9" s="1035" t="s">
        <v>404</v>
      </c>
      <c r="D9" s="977" t="s">
        <v>90</v>
      </c>
      <c r="E9" s="986" t="s">
        <v>131</v>
      </c>
      <c r="F9" s="2473"/>
      <c r="G9" s="2471"/>
      <c r="H9" s="2472"/>
      <c r="I9" s="2471"/>
      <c r="J9" s="2471"/>
      <c r="K9" s="2471"/>
      <c r="L9" s="2471"/>
      <c r="M9" s="1369"/>
      <c r="N9" s="2473"/>
      <c r="O9" s="1370">
        <f>M9*N9</f>
        <v>0</v>
      </c>
      <c r="P9" s="2476"/>
      <c r="Q9" s="248">
        <f>'Ab1. RMNCH+A'!Q145</f>
        <v>0</v>
      </c>
      <c r="R9" s="619">
        <f>'Ab1. RMNCH+A'!R145</f>
        <v>0</v>
      </c>
    </row>
    <row r="10" spans="1:53" x14ac:dyDescent="0.2">
      <c r="A10" s="879">
        <v>7.3</v>
      </c>
      <c r="B10" s="248" t="s">
        <v>409</v>
      </c>
      <c r="C10" s="879" t="s">
        <v>410</v>
      </c>
      <c r="D10" s="977" t="s">
        <v>90</v>
      </c>
      <c r="E10" s="986" t="s">
        <v>91</v>
      </c>
      <c r="F10" s="2474"/>
      <c r="G10" s="2475"/>
      <c r="H10" s="2475"/>
      <c r="I10" s="2475"/>
      <c r="J10" s="2475"/>
      <c r="K10" s="2475"/>
      <c r="L10" s="2473"/>
      <c r="M10" s="1369"/>
      <c r="N10" s="2474"/>
      <c r="O10" s="1371">
        <f>M10*N10</f>
        <v>0</v>
      </c>
      <c r="P10" s="2477"/>
      <c r="Q10" s="248">
        <f>'Ab1. RMNCH+A'!Q235</f>
        <v>0</v>
      </c>
      <c r="R10" s="619">
        <f>'Ab1. RMNCH+A'!R235</f>
        <v>0</v>
      </c>
    </row>
    <row r="11" spans="1:53" x14ac:dyDescent="0.2">
      <c r="A11" s="356">
        <v>7.4</v>
      </c>
      <c r="B11" s="1163" t="s">
        <v>407</v>
      </c>
      <c r="C11" s="1016" t="s">
        <v>408</v>
      </c>
      <c r="D11" s="1215"/>
      <c r="E11" s="1215"/>
      <c r="F11" s="347"/>
      <c r="G11" s="347"/>
      <c r="H11" s="466"/>
      <c r="I11" s="466"/>
      <c r="J11" s="466"/>
      <c r="K11" s="347"/>
      <c r="L11" s="347"/>
      <c r="M11" s="1372"/>
      <c r="N11" s="384"/>
      <c r="O11" s="466">
        <f>O12+O19+O21</f>
        <v>0</v>
      </c>
      <c r="P11" s="112"/>
      <c r="Q11" s="448"/>
      <c r="R11" s="660">
        <f>R12+R19+R21</f>
        <v>0</v>
      </c>
    </row>
    <row r="12" spans="1:53" x14ac:dyDescent="0.2">
      <c r="A12" s="1373" t="s">
        <v>2549</v>
      </c>
      <c r="B12" s="1374"/>
      <c r="C12" s="1375" t="s">
        <v>4614</v>
      </c>
      <c r="D12" s="1376"/>
      <c r="E12" s="1376"/>
      <c r="F12" s="385"/>
      <c r="G12" s="385"/>
      <c r="H12" s="1378"/>
      <c r="I12" s="1378"/>
      <c r="J12" s="1378"/>
      <c r="K12" s="385"/>
      <c r="L12" s="385"/>
      <c r="M12" s="1377"/>
      <c r="N12" s="386"/>
      <c r="O12" s="1378">
        <f>O13+O14+O17+O18</f>
        <v>0</v>
      </c>
      <c r="P12" s="385"/>
      <c r="Q12" s="1379"/>
      <c r="R12" s="1380">
        <f>R13+R14+R17+R18</f>
        <v>0</v>
      </c>
    </row>
    <row r="13" spans="1:53" x14ac:dyDescent="0.2">
      <c r="A13" s="474" t="s">
        <v>4455</v>
      </c>
      <c r="B13" s="510"/>
      <c r="C13" s="502" t="s">
        <v>4465</v>
      </c>
      <c r="D13" s="886" t="s">
        <v>70</v>
      </c>
      <c r="E13" s="1078" t="s">
        <v>70</v>
      </c>
      <c r="F13" s="2478"/>
      <c r="G13" s="2479"/>
      <c r="H13" s="2478"/>
      <c r="I13" s="2471"/>
      <c r="J13" s="2479"/>
      <c r="K13" s="2479"/>
      <c r="L13" s="2479"/>
      <c r="M13" s="308"/>
      <c r="N13" s="304"/>
      <c r="O13" s="1382">
        <f>M13*N13</f>
        <v>0</v>
      </c>
      <c r="P13" s="2440"/>
      <c r="Q13" s="388"/>
      <c r="R13" s="389"/>
    </row>
    <row r="14" spans="1:53" x14ac:dyDescent="0.2">
      <c r="A14" s="1383" t="s">
        <v>4456</v>
      </c>
      <c r="B14" s="1384"/>
      <c r="C14" s="1384" t="s">
        <v>4466</v>
      </c>
      <c r="D14" s="1385" t="s">
        <v>70</v>
      </c>
      <c r="E14" s="1385"/>
      <c r="F14" s="390"/>
      <c r="G14" s="390"/>
      <c r="H14" s="1386"/>
      <c r="I14" s="1386"/>
      <c r="J14" s="1386"/>
      <c r="K14" s="390"/>
      <c r="L14" s="390"/>
      <c r="M14" s="1386"/>
      <c r="N14" s="391"/>
      <c r="O14" s="1386">
        <f>O15+O16</f>
        <v>0</v>
      </c>
      <c r="P14" s="390"/>
      <c r="Q14" s="1387"/>
      <c r="R14" s="1388">
        <f>R15+R16</f>
        <v>0</v>
      </c>
    </row>
    <row r="15" spans="1:53" x14ac:dyDescent="0.2">
      <c r="A15" s="474" t="s">
        <v>4457</v>
      </c>
      <c r="B15" s="510"/>
      <c r="C15" s="502" t="s">
        <v>4467</v>
      </c>
      <c r="D15" s="886" t="s">
        <v>70</v>
      </c>
      <c r="E15" s="1078" t="s">
        <v>70</v>
      </c>
      <c r="F15" s="2480"/>
      <c r="G15" s="2481"/>
      <c r="H15" s="2482"/>
      <c r="I15" s="2483"/>
      <c r="J15" s="2481"/>
      <c r="K15" s="2481"/>
      <c r="L15" s="2481"/>
      <c r="M15" s="308"/>
      <c r="N15" s="2480"/>
      <c r="O15" s="1382">
        <f>M15*N15</f>
        <v>0</v>
      </c>
      <c r="P15" s="3042"/>
      <c r="Q15" s="3311"/>
      <c r="R15" s="389"/>
    </row>
    <row r="16" spans="1:53" x14ac:dyDescent="0.2">
      <c r="A16" s="474" t="s">
        <v>4458</v>
      </c>
      <c r="B16" s="510"/>
      <c r="C16" s="502" t="s">
        <v>4468</v>
      </c>
      <c r="D16" s="886" t="s">
        <v>70</v>
      </c>
      <c r="E16" s="1078" t="s">
        <v>70</v>
      </c>
      <c r="F16" s="2480"/>
      <c r="G16" s="2481"/>
      <c r="H16" s="2482"/>
      <c r="I16" s="2483"/>
      <c r="J16" s="2481"/>
      <c r="K16" s="2481"/>
      <c r="L16" s="2481"/>
      <c r="M16" s="308"/>
      <c r="N16" s="2480"/>
      <c r="O16" s="1382">
        <f>M16*N16</f>
        <v>0</v>
      </c>
      <c r="P16" s="3042"/>
      <c r="Q16" s="3311"/>
      <c r="R16" s="389"/>
    </row>
    <row r="17" spans="1:19" x14ac:dyDescent="0.2">
      <c r="A17" s="474" t="s">
        <v>4461</v>
      </c>
      <c r="B17" s="510"/>
      <c r="C17" s="2862" t="s">
        <v>4464</v>
      </c>
      <c r="D17" s="886" t="s">
        <v>70</v>
      </c>
      <c r="E17" s="1078" t="s">
        <v>70</v>
      </c>
      <c r="F17" s="357"/>
      <c r="G17" s="260"/>
      <c r="H17" s="392"/>
      <c r="I17" s="392"/>
      <c r="J17" s="357"/>
      <c r="K17" s="357"/>
      <c r="L17" s="304"/>
      <c r="M17" s="308"/>
      <c r="N17" s="304"/>
      <c r="O17" s="1382">
        <f>M17*N17</f>
        <v>0</v>
      </c>
      <c r="P17" s="357"/>
      <c r="Q17" s="388"/>
      <c r="R17" s="389"/>
    </row>
    <row r="18" spans="1:19" x14ac:dyDescent="0.2">
      <c r="A18" s="474" t="s">
        <v>4462</v>
      </c>
      <c r="B18" s="510"/>
      <c r="C18" s="502" t="s">
        <v>4463</v>
      </c>
      <c r="D18" s="886" t="s">
        <v>70</v>
      </c>
      <c r="E18" s="1078" t="s">
        <v>70</v>
      </c>
      <c r="F18" s="357"/>
      <c r="G18" s="260"/>
      <c r="H18" s="392"/>
      <c r="I18" s="392"/>
      <c r="J18" s="357"/>
      <c r="K18" s="357"/>
      <c r="L18" s="304"/>
      <c r="M18" s="308"/>
      <c r="N18" s="304"/>
      <c r="O18" s="1382">
        <f>M18*N18</f>
        <v>0</v>
      </c>
      <c r="P18" s="357"/>
      <c r="Q18" s="388"/>
      <c r="R18" s="389"/>
    </row>
    <row r="19" spans="1:19" s="1061" customFormat="1" x14ac:dyDescent="0.2">
      <c r="A19" s="1373" t="s">
        <v>2550</v>
      </c>
      <c r="B19" s="1375"/>
      <c r="C19" s="1375" t="s">
        <v>4459</v>
      </c>
      <c r="D19" s="1389"/>
      <c r="E19" s="1389"/>
      <c r="F19" s="393"/>
      <c r="G19" s="394"/>
      <c r="H19" s="1378"/>
      <c r="I19" s="1378"/>
      <c r="J19" s="1378"/>
      <c r="K19" s="393"/>
      <c r="L19" s="393"/>
      <c r="M19" s="1378"/>
      <c r="N19" s="395"/>
      <c r="O19" s="1378">
        <f>O20</f>
        <v>0</v>
      </c>
      <c r="P19" s="393"/>
      <c r="Q19" s="1390"/>
      <c r="R19" s="1391">
        <f>R20</f>
        <v>0</v>
      </c>
    </row>
    <row r="20" spans="1:19" x14ac:dyDescent="0.2">
      <c r="A20" s="474" t="s">
        <v>4460</v>
      </c>
      <c r="B20" s="510"/>
      <c r="C20" s="510" t="s">
        <v>4486</v>
      </c>
      <c r="D20" s="886" t="s">
        <v>70</v>
      </c>
      <c r="E20" s="1078" t="s">
        <v>70</v>
      </c>
      <c r="F20" s="387"/>
      <c r="G20" s="387"/>
      <c r="H20" s="387"/>
      <c r="I20" s="2883"/>
      <c r="J20" s="387"/>
      <c r="K20" s="387"/>
      <c r="L20" s="304"/>
      <c r="M20" s="308"/>
      <c r="N20" s="304"/>
      <c r="O20" s="1382">
        <f>M20*N20</f>
        <v>0</v>
      </c>
      <c r="P20" s="387"/>
      <c r="Q20" s="388"/>
      <c r="R20" s="389"/>
    </row>
    <row r="21" spans="1:19" s="1368" customFormat="1" ht="45" x14ac:dyDescent="0.2">
      <c r="A21" s="1392" t="s">
        <v>2551</v>
      </c>
      <c r="B21" s="510"/>
      <c r="C21" s="510" t="s">
        <v>4632</v>
      </c>
      <c r="D21" s="886" t="s">
        <v>70</v>
      </c>
      <c r="E21" s="1078" t="s">
        <v>70</v>
      </c>
      <c r="F21" s="433"/>
      <c r="G21" s="433"/>
      <c r="H21" s="433"/>
      <c r="I21" s="2884"/>
      <c r="J21" s="433"/>
      <c r="K21" s="433"/>
      <c r="L21" s="591"/>
      <c r="M21" s="1393"/>
      <c r="N21" s="591"/>
      <c r="O21" s="1393">
        <f>M21*N21</f>
        <v>0</v>
      </c>
      <c r="P21" s="433"/>
      <c r="Q21" s="388"/>
      <c r="R21" s="389"/>
    </row>
    <row r="22" spans="1:19" x14ac:dyDescent="0.2">
      <c r="A22" s="356">
        <v>7.5</v>
      </c>
      <c r="B22" s="1163" t="s">
        <v>411</v>
      </c>
      <c r="C22" s="1016" t="s">
        <v>412</v>
      </c>
      <c r="D22" s="1215" t="s">
        <v>113</v>
      </c>
      <c r="E22" s="1215"/>
      <c r="F22" s="396"/>
      <c r="G22" s="396"/>
      <c r="H22" s="1395"/>
      <c r="I22" s="1395"/>
      <c r="J22" s="1395"/>
      <c r="K22" s="396"/>
      <c r="L22" s="396"/>
      <c r="M22" s="1394"/>
      <c r="N22" s="397"/>
      <c r="O22" s="1395">
        <f>SUM(O23:O24)</f>
        <v>0</v>
      </c>
      <c r="P22" s="398"/>
      <c r="Q22" s="448"/>
      <c r="R22" s="1395">
        <f>SUM(R23:R24)</f>
        <v>0</v>
      </c>
    </row>
    <row r="23" spans="1:19" s="1368" customFormat="1" x14ac:dyDescent="0.25">
      <c r="A23" s="248" t="s">
        <v>4067</v>
      </c>
      <c r="B23" s="1043" t="s">
        <v>4555</v>
      </c>
      <c r="C23" s="1396" t="s">
        <v>4069</v>
      </c>
      <c r="D23" s="980" t="s">
        <v>4366</v>
      </c>
      <c r="E23" s="986" t="s">
        <v>4683</v>
      </c>
      <c r="F23" s="2478"/>
      <c r="G23" s="2471"/>
      <c r="H23" s="2472"/>
      <c r="I23" s="2471"/>
      <c r="J23" s="2471"/>
      <c r="K23" s="2471"/>
      <c r="L23" s="2471"/>
      <c r="M23" s="308"/>
      <c r="N23" s="304"/>
      <c r="O23" s="1382">
        <f>M23*N23</f>
        <v>0</v>
      </c>
      <c r="P23" s="2476"/>
      <c r="Q23" s="248">
        <f>'Abs11. NTEP'!Q30</f>
        <v>0</v>
      </c>
      <c r="R23" s="249">
        <f>'Abs11. NTEP'!R30</f>
        <v>0</v>
      </c>
    </row>
    <row r="24" spans="1:19" s="1368" customFormat="1" x14ac:dyDescent="0.2">
      <c r="A24" s="248" t="s">
        <v>4068</v>
      </c>
      <c r="B24" s="1043"/>
      <c r="C24" s="1043" t="s">
        <v>5574</v>
      </c>
      <c r="D24" s="980" t="s">
        <v>4366</v>
      </c>
      <c r="E24" s="986" t="s">
        <v>4683</v>
      </c>
      <c r="F24" s="352"/>
      <c r="G24" s="352"/>
      <c r="H24" s="352"/>
      <c r="I24" s="352"/>
      <c r="J24" s="352"/>
      <c r="K24" s="352"/>
      <c r="L24" s="304"/>
      <c r="M24" s="308"/>
      <c r="N24" s="304"/>
      <c r="O24" s="1382">
        <f>M24*N24</f>
        <v>0</v>
      </c>
      <c r="P24" s="399"/>
      <c r="Q24" s="248">
        <f>'Abs11. NTEP'!Q31</f>
        <v>0</v>
      </c>
      <c r="R24" s="249">
        <f>'Abs11. NTEP'!R31</f>
        <v>0</v>
      </c>
    </row>
    <row r="25" spans="1:19" x14ac:dyDescent="0.2">
      <c r="A25" s="356">
        <v>7.6</v>
      </c>
      <c r="B25" s="1163" t="s">
        <v>413</v>
      </c>
      <c r="C25" s="1016" t="s">
        <v>414</v>
      </c>
      <c r="D25" s="1215"/>
      <c r="E25" s="1215"/>
      <c r="F25" s="347"/>
      <c r="G25" s="347"/>
      <c r="H25" s="347"/>
      <c r="I25" s="347"/>
      <c r="J25" s="347"/>
      <c r="K25" s="347"/>
      <c r="L25" s="347"/>
      <c r="M25" s="1372"/>
      <c r="N25" s="384"/>
      <c r="O25" s="466">
        <f>SUM(O26:O27)</f>
        <v>0</v>
      </c>
      <c r="P25" s="112"/>
      <c r="Q25" s="448"/>
      <c r="R25" s="660">
        <f>R26+R27</f>
        <v>0</v>
      </c>
    </row>
    <row r="26" spans="1:19" x14ac:dyDescent="0.2">
      <c r="A26" s="474" t="s">
        <v>2552</v>
      </c>
      <c r="B26" s="1397" t="s">
        <v>416</v>
      </c>
      <c r="C26" s="409" t="s">
        <v>417</v>
      </c>
      <c r="D26" s="889" t="s">
        <v>85</v>
      </c>
      <c r="E26" s="1078" t="s">
        <v>415</v>
      </c>
      <c r="F26" s="299"/>
      <c r="G26" s="299"/>
      <c r="H26" s="299"/>
      <c r="I26" s="2882"/>
      <c r="J26" s="299"/>
      <c r="K26" s="299"/>
      <c r="L26" s="304"/>
      <c r="M26" s="308"/>
      <c r="N26" s="304"/>
      <c r="O26" s="1398">
        <f>M26*N26</f>
        <v>0</v>
      </c>
      <c r="P26" s="299"/>
      <c r="Q26" s="409">
        <f>'Abs19. NPCDCS'!Q33</f>
        <v>0</v>
      </c>
      <c r="R26" s="1398">
        <f>'Abs19. NPCDCS'!R33</f>
        <v>0</v>
      </c>
    </row>
    <row r="27" spans="1:19" x14ac:dyDescent="0.2">
      <c r="A27" s="474" t="s">
        <v>2553</v>
      </c>
      <c r="B27" s="1397" t="s">
        <v>418</v>
      </c>
      <c r="C27" s="409" t="s">
        <v>419</v>
      </c>
      <c r="D27" s="889" t="s">
        <v>85</v>
      </c>
      <c r="E27" s="1078" t="s">
        <v>415</v>
      </c>
      <c r="F27" s="299"/>
      <c r="G27" s="299"/>
      <c r="H27" s="299"/>
      <c r="I27" s="2882"/>
      <c r="J27" s="299"/>
      <c r="K27" s="299"/>
      <c r="L27" s="304"/>
      <c r="M27" s="308"/>
      <c r="N27" s="304"/>
      <c r="O27" s="1398">
        <f>M27*N27</f>
        <v>0</v>
      </c>
      <c r="P27" s="299"/>
      <c r="Q27" s="409">
        <f>'Abs19. NPCDCS'!Q34</f>
        <v>0</v>
      </c>
      <c r="R27" s="1398">
        <f>'Abs19. NPCDCS'!R34</f>
        <v>0</v>
      </c>
    </row>
    <row r="28" spans="1:19" x14ac:dyDescent="0.2">
      <c r="A28" s="879">
        <v>7.7</v>
      </c>
      <c r="B28" s="1043" t="s">
        <v>2384</v>
      </c>
      <c r="C28" s="1035" t="s">
        <v>2385</v>
      </c>
      <c r="D28" s="1165" t="s">
        <v>85</v>
      </c>
      <c r="E28" s="1129" t="s">
        <v>150</v>
      </c>
      <c r="F28" s="313"/>
      <c r="G28" s="313"/>
      <c r="H28" s="313"/>
      <c r="I28" s="313"/>
      <c r="J28" s="313"/>
      <c r="K28" s="592"/>
      <c r="L28" s="382"/>
      <c r="M28" s="1369"/>
      <c r="N28" s="382"/>
      <c r="O28" s="1370">
        <f>M28*N28</f>
        <v>0</v>
      </c>
      <c r="P28" s="593"/>
      <c r="Q28" s="976">
        <f>'Abs16. NMHP'!Q17</f>
        <v>0</v>
      </c>
      <c r="R28" s="1399">
        <f>'Abs16. NMHP'!R17</f>
        <v>0</v>
      </c>
    </row>
    <row r="29" spans="1:19" s="989" customFormat="1" x14ac:dyDescent="0.2">
      <c r="A29" s="879">
        <v>7.8</v>
      </c>
      <c r="B29" s="1043"/>
      <c r="C29" s="1035" t="s">
        <v>2554</v>
      </c>
      <c r="D29" s="886" t="s">
        <v>70</v>
      </c>
      <c r="E29" s="986" t="s">
        <v>70</v>
      </c>
      <c r="F29" s="2484"/>
      <c r="G29" s="2469"/>
      <c r="H29" s="2809"/>
      <c r="I29" s="2471"/>
      <c r="J29" s="2471"/>
      <c r="K29" s="2471"/>
      <c r="L29" s="2471"/>
      <c r="M29" s="1369"/>
      <c r="N29" s="382"/>
      <c r="O29" s="1371">
        <f>M29*N29</f>
        <v>0</v>
      </c>
      <c r="P29" s="2874"/>
      <c r="Q29" s="3445"/>
      <c r="R29" s="3444">
        <v>0</v>
      </c>
      <c r="S29" s="1366"/>
    </row>
    <row r="30" spans="1:19" x14ac:dyDescent="0.2">
      <c r="M30" s="1402"/>
      <c r="N30" s="1402"/>
      <c r="O30" s="1402"/>
    </row>
    <row r="32" spans="1:19" x14ac:dyDescent="0.2">
      <c r="N32" s="956"/>
      <c r="O32" s="2841">
        <f>O7-O33</f>
        <v>0</v>
      </c>
      <c r="R32" s="2841">
        <f>R7-R33</f>
        <v>0</v>
      </c>
    </row>
    <row r="33" spans="14:18" x14ac:dyDescent="0.2">
      <c r="N33" s="956"/>
      <c r="O33" s="2841">
        <f>O29</f>
        <v>0</v>
      </c>
      <c r="R33" s="2841">
        <f>R29</f>
        <v>0</v>
      </c>
    </row>
  </sheetData>
  <sheetProtection formatCells="0" formatColumns="0" formatRows="0" autoFilter="0"/>
  <autoFilter ref="A6:S29"/>
  <mergeCells count="15">
    <mergeCell ref="AI1:AO1"/>
    <mergeCell ref="AP1:BA1"/>
    <mergeCell ref="K5:P5"/>
    <mergeCell ref="Q5:R5"/>
    <mergeCell ref="A1:C1"/>
    <mergeCell ref="F5:J5"/>
    <mergeCell ref="A5:A6"/>
    <mergeCell ref="B5:B6"/>
    <mergeCell ref="C5:C6"/>
    <mergeCell ref="D5:D6"/>
    <mergeCell ref="E5:E6"/>
    <mergeCell ref="E1:E2"/>
    <mergeCell ref="F1:N1"/>
    <mergeCell ref="A2:A4"/>
    <mergeCell ref="O1:AH1"/>
  </mergeCells>
  <phoneticPr fontId="57" type="noConversion"/>
  <pageMargins left="0.7" right="0.7" top="0.75" bottom="0.75" header="0.3" footer="0.3"/>
  <pageSetup orientation="portrait" horizontalDpi="4294967295" verticalDpi="4294967295"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BA179"/>
  <sheetViews>
    <sheetView tabSelected="1" zoomScale="90" zoomScaleNormal="90" workbookViewId="0">
      <pane xSplit="5" ySplit="7" topLeftCell="J89" activePane="bottomRight" state="frozen"/>
      <selection activeCell="A2" sqref="A2:A4"/>
      <selection pane="topRight" activeCell="A2" sqref="A2:A4"/>
      <selection pane="bottomLeft" activeCell="A2" sqref="A2:A4"/>
      <selection pane="bottomRight" activeCell="R102" sqref="R102"/>
    </sheetView>
  </sheetViews>
  <sheetFormatPr defaultColWidth="9.140625" defaultRowHeight="15" x14ac:dyDescent="0.2"/>
  <cols>
    <col min="1" max="1" width="11.140625" style="1401" customWidth="1"/>
    <col min="2" max="2" width="17.42578125" style="1433" customWidth="1"/>
    <col min="3" max="3" width="35.42578125" style="1401" customWidth="1"/>
    <col min="4" max="4" width="7.42578125" style="1404" customWidth="1"/>
    <col min="5" max="5" width="12.42578125" style="1404" customWidth="1"/>
    <col min="6" max="6" width="15.28515625" style="1404" customWidth="1"/>
    <col min="7" max="7" width="9.42578125" style="1404" customWidth="1"/>
    <col min="8" max="8" width="17.7109375" style="1404" customWidth="1"/>
    <col min="9" max="9" width="19.5703125" style="1404" customWidth="1"/>
    <col min="10" max="10" width="16.140625" style="1404" customWidth="1"/>
    <col min="11" max="12" width="9.42578125" style="1404" customWidth="1"/>
    <col min="13" max="13" width="14.28515625" style="1404" customWidth="1"/>
    <col min="14" max="14" width="9.42578125" style="1434" customWidth="1"/>
    <col min="15" max="15" width="18.7109375" style="1404" customWidth="1"/>
    <col min="16" max="16" width="15" style="1434" bestFit="1" customWidth="1"/>
    <col min="17" max="17" width="37.85546875" style="1401" customWidth="1"/>
    <col min="18" max="18" width="42.28515625" style="1401" customWidth="1"/>
    <col min="19" max="19" width="13.5703125" style="3489" customWidth="1"/>
    <col min="20" max="20" width="8.5703125" style="1160" customWidth="1"/>
    <col min="21" max="21" width="4.140625" style="1160" bestFit="1" customWidth="1"/>
    <col min="22" max="22" width="7.5703125" style="1160" bestFit="1" customWidth="1"/>
    <col min="23" max="23" width="3.85546875" style="1160" bestFit="1" customWidth="1"/>
    <col min="24" max="24" width="4.5703125" style="1160" bestFit="1" customWidth="1"/>
    <col min="25" max="25" width="6.140625" style="1160" bestFit="1" customWidth="1"/>
    <col min="26" max="26" width="7.140625" style="1160" bestFit="1" customWidth="1"/>
    <col min="27" max="27" width="15.28515625" style="1160" customWidth="1"/>
    <col min="28" max="28" width="8.140625" style="1160" bestFit="1" customWidth="1"/>
    <col min="29" max="30" width="4.140625" style="1160" bestFit="1" customWidth="1"/>
    <col min="31" max="31" width="7.42578125" style="1160" bestFit="1" customWidth="1"/>
    <col min="32" max="32" width="3.7109375" style="1160" bestFit="1" customWidth="1"/>
    <col min="33" max="33" width="7.42578125" style="1160" bestFit="1" customWidth="1"/>
    <col min="34" max="34" width="7" style="1160" bestFit="1" customWidth="1"/>
    <col min="35" max="35" width="4.85546875" style="1160" bestFit="1" customWidth="1"/>
    <col min="36" max="36" width="8" style="1160" bestFit="1" customWidth="1"/>
    <col min="37" max="37" width="5.140625" style="1160" bestFit="1" customWidth="1"/>
    <col min="38" max="38" width="5.42578125" style="1160" bestFit="1" customWidth="1"/>
    <col min="39" max="39" width="6.85546875" style="1160" bestFit="1" customWidth="1"/>
    <col min="40" max="40" width="5.5703125" style="1160" bestFit="1" customWidth="1"/>
    <col min="41" max="41" width="4.85546875" style="1160" bestFit="1" customWidth="1"/>
    <col min="42" max="42" width="5.5703125" style="1160" bestFit="1" customWidth="1"/>
    <col min="43" max="43" width="6.42578125" style="1160" bestFit="1" customWidth="1"/>
    <col min="44" max="44" width="6.7109375" style="1160" bestFit="1" customWidth="1"/>
    <col min="45" max="45" width="5.42578125" style="1160" bestFit="1" customWidth="1"/>
    <col min="46" max="46" width="7.7109375" style="1160" bestFit="1" customWidth="1"/>
    <col min="47" max="47" width="7.42578125" style="1160" bestFit="1" customWidth="1"/>
    <col min="48" max="48" width="8" style="1160" bestFit="1" customWidth="1"/>
    <col min="49" max="49" width="6" style="1160" bestFit="1" customWidth="1"/>
    <col min="50" max="50" width="5.42578125" style="1160" bestFit="1" customWidth="1"/>
    <col min="51" max="51" width="6.42578125" style="1160" bestFit="1" customWidth="1"/>
    <col min="52" max="52" width="6.7109375" style="1160" bestFit="1" customWidth="1"/>
    <col min="53" max="53" width="7.7109375" style="1160" bestFit="1" customWidth="1"/>
    <col min="54" max="56" width="9.42578125" style="1160" customWidth="1"/>
    <col min="57" max="16384" width="9.140625" style="1160"/>
  </cols>
  <sheetData>
    <row r="1" spans="1:53" s="1404" customFormat="1" ht="14.45" customHeight="1" x14ac:dyDescent="0.2">
      <c r="A1" s="3852" t="s">
        <v>420</v>
      </c>
      <c r="B1" s="3853"/>
      <c r="C1" s="3854"/>
      <c r="D1" s="1403"/>
      <c r="E1" s="3825" t="s">
        <v>4719</v>
      </c>
      <c r="F1" s="3894" t="s">
        <v>4717</v>
      </c>
      <c r="G1" s="3895"/>
      <c r="H1" s="3895"/>
      <c r="I1" s="3895"/>
      <c r="J1" s="3895"/>
      <c r="K1" s="3895"/>
      <c r="L1" s="3895"/>
      <c r="M1" s="3895"/>
      <c r="N1" s="3896"/>
      <c r="O1" s="3830" t="s">
        <v>70</v>
      </c>
      <c r="P1" s="3831"/>
      <c r="Q1" s="3831"/>
      <c r="R1" s="3831"/>
      <c r="S1" s="3831"/>
      <c r="T1" s="3831"/>
      <c r="U1" s="3831"/>
      <c r="V1" s="3831"/>
      <c r="W1" s="3831"/>
      <c r="X1" s="3831"/>
      <c r="Y1" s="3831"/>
      <c r="Z1" s="3831"/>
      <c r="AA1" s="3831"/>
      <c r="AB1" s="3831"/>
      <c r="AC1" s="3831"/>
      <c r="AD1" s="3831"/>
      <c r="AE1" s="3831"/>
      <c r="AF1" s="3831"/>
      <c r="AG1" s="3831"/>
      <c r="AH1" s="3831"/>
      <c r="AI1" s="3885" t="s">
        <v>4366</v>
      </c>
      <c r="AJ1" s="3886"/>
      <c r="AK1" s="3886"/>
      <c r="AL1" s="3886"/>
      <c r="AM1" s="3886"/>
      <c r="AN1" s="3886"/>
      <c r="AO1" s="3887"/>
      <c r="AP1" s="3872" t="s">
        <v>85</v>
      </c>
      <c r="AQ1" s="3873"/>
      <c r="AR1" s="3873"/>
      <c r="AS1" s="3873"/>
      <c r="AT1" s="3873"/>
      <c r="AU1" s="3873"/>
      <c r="AV1" s="3873"/>
      <c r="AW1" s="3873"/>
      <c r="AX1" s="3873"/>
      <c r="AY1" s="3873"/>
      <c r="AZ1" s="3873"/>
      <c r="BA1" s="3874"/>
    </row>
    <row r="2" spans="1:53" s="1406" customFormat="1" ht="30" x14ac:dyDescent="0.2">
      <c r="A2" s="3811" t="str">
        <f>HYPERLINK("#Index!A4", "Index Pg")</f>
        <v>Index Pg</v>
      </c>
      <c r="B2" s="1405" t="str">
        <f>HYPERLINK("#'Summary of Abstracts'!A2", "Summary of Abst.")</f>
        <v>Summary of Abst.</v>
      </c>
      <c r="C2" s="836"/>
      <c r="D2" s="959"/>
      <c r="E2" s="3825"/>
      <c r="F2" s="884" t="s">
        <v>118</v>
      </c>
      <c r="G2" s="884" t="s">
        <v>131</v>
      </c>
      <c r="H2" s="884" t="s">
        <v>91</v>
      </c>
      <c r="I2" s="884" t="s">
        <v>4715</v>
      </c>
      <c r="J2" s="884" t="s">
        <v>96</v>
      </c>
      <c r="K2" s="1194" t="s">
        <v>4071</v>
      </c>
      <c r="L2" s="885" t="s">
        <v>4716</v>
      </c>
      <c r="M2" s="884" t="s">
        <v>4720</v>
      </c>
      <c r="N2" s="885" t="s">
        <v>208</v>
      </c>
      <c r="O2" s="886" t="s">
        <v>4365</v>
      </c>
      <c r="P2" s="887" t="s">
        <v>3855</v>
      </c>
      <c r="Q2" s="887" t="s">
        <v>4729</v>
      </c>
      <c r="R2" s="887" t="s">
        <v>4726</v>
      </c>
      <c r="S2" s="3474"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307</v>
      </c>
      <c r="AI2" s="888" t="s">
        <v>293</v>
      </c>
      <c r="AJ2" s="888" t="s">
        <v>114</v>
      </c>
      <c r="AK2" s="888" t="s">
        <v>146</v>
      </c>
      <c r="AL2" s="888" t="s">
        <v>4683</v>
      </c>
      <c r="AM2" s="888" t="s">
        <v>3323</v>
      </c>
      <c r="AN2" s="888" t="s">
        <v>3993</v>
      </c>
      <c r="AO2" s="888" t="s">
        <v>4553</v>
      </c>
      <c r="AP2" s="889" t="s">
        <v>86</v>
      </c>
      <c r="AQ2" s="889" t="s">
        <v>150</v>
      </c>
      <c r="AR2" s="889" t="s">
        <v>399</v>
      </c>
      <c r="AS2" s="889" t="s">
        <v>152</v>
      </c>
      <c r="AT2" s="889" t="s">
        <v>415</v>
      </c>
      <c r="AU2" s="889" t="s">
        <v>4607</v>
      </c>
      <c r="AV2" s="889" t="s">
        <v>4132</v>
      </c>
      <c r="AW2" s="889" t="s">
        <v>312</v>
      </c>
      <c r="AX2" s="889" t="s">
        <v>314</v>
      </c>
      <c r="AY2" s="889" t="s">
        <v>1034</v>
      </c>
      <c r="AZ2" s="889" t="s">
        <v>1020</v>
      </c>
      <c r="BA2" s="889" t="s">
        <v>4718</v>
      </c>
    </row>
    <row r="3" spans="1:53" s="1406" customFormat="1" x14ac:dyDescent="0.2">
      <c r="A3" s="3812"/>
      <c r="B3" s="1407" t="str">
        <f>HYPERLINK("#'Budget Summary I'!A1:AL1", "Budget Summary I")</f>
        <v>Budget Summary I</v>
      </c>
      <c r="C3" s="832" t="s">
        <v>4608</v>
      </c>
      <c r="D3" s="959"/>
      <c r="E3" s="1408">
        <f>S7</f>
        <v>0</v>
      </c>
      <c r="F3" s="177"/>
      <c r="G3" s="177"/>
      <c r="H3" s="177">
        <f>S168+S169+S170+S171</f>
        <v>0</v>
      </c>
      <c r="I3" s="177">
        <f>S167</f>
        <v>0</v>
      </c>
      <c r="J3" s="177">
        <f>S166</f>
        <v>0</v>
      </c>
      <c r="K3" s="177"/>
      <c r="L3" s="177"/>
      <c r="M3" s="177"/>
      <c r="N3" s="177"/>
      <c r="O3" s="177">
        <f>S106+S107+S172+S173</f>
        <v>0</v>
      </c>
      <c r="P3" s="177"/>
      <c r="Q3" s="177"/>
      <c r="R3" s="177"/>
      <c r="S3" s="3475"/>
      <c r="T3" s="177"/>
      <c r="U3" s="177"/>
      <c r="V3" s="177"/>
      <c r="W3" s="177"/>
      <c r="X3" s="177"/>
      <c r="Y3" s="177"/>
      <c r="Z3" s="177"/>
      <c r="AA3" s="177">
        <f>S10+S28+S35+S46+S54+S57+S62+S68+S81+S88+S95+S100+S109+S132+S138+S150+S152+S154+S159+S160+S161+S162+S164+S165+S175+S174</f>
        <v>0</v>
      </c>
      <c r="AB3" s="177"/>
      <c r="AC3" s="177"/>
      <c r="AD3" s="177"/>
      <c r="AE3" s="177"/>
      <c r="AF3" s="177"/>
      <c r="AG3" s="177"/>
      <c r="AH3" s="177"/>
      <c r="AI3" s="177"/>
      <c r="AJ3" s="177"/>
      <c r="AK3" s="177"/>
      <c r="AL3" s="177"/>
      <c r="AM3" s="177"/>
      <c r="AN3" s="177"/>
      <c r="AO3" s="177"/>
      <c r="AP3" s="177"/>
      <c r="AQ3" s="177"/>
      <c r="AR3" s="177"/>
      <c r="AS3" s="177"/>
      <c r="AT3" s="177"/>
      <c r="AU3" s="177"/>
      <c r="AV3" s="177"/>
      <c r="AW3" s="177"/>
      <c r="AX3" s="177"/>
      <c r="AY3" s="177"/>
      <c r="AZ3" s="177"/>
      <c r="BA3" s="177"/>
    </row>
    <row r="4" spans="1:53" s="1406" customFormat="1" x14ac:dyDescent="0.2">
      <c r="A4" s="3813"/>
      <c r="B4" s="1407" t="str">
        <f>HYPERLINK("#'Budget Summary II'!A3:B5", "Budget Summary II")</f>
        <v>Budget Summary II</v>
      </c>
      <c r="C4" s="832" t="s">
        <v>4609</v>
      </c>
      <c r="D4" s="959"/>
      <c r="E4" s="1408">
        <f>P7</f>
        <v>527.33000000000004</v>
      </c>
      <c r="F4" s="177"/>
      <c r="G4" s="177"/>
      <c r="H4" s="177">
        <f>P168+P169+P170+P171</f>
        <v>0</v>
      </c>
      <c r="I4" s="177">
        <f>P167</f>
        <v>0</v>
      </c>
      <c r="J4" s="177">
        <f>P166</f>
        <v>0</v>
      </c>
      <c r="K4" s="177"/>
      <c r="L4" s="177"/>
      <c r="M4" s="177"/>
      <c r="N4" s="177"/>
      <c r="O4" s="177">
        <f>P106+P107+P172+P173</f>
        <v>300</v>
      </c>
      <c r="P4" s="177"/>
      <c r="Q4" s="177"/>
      <c r="R4" s="177"/>
      <c r="S4" s="3475"/>
      <c r="T4" s="177"/>
      <c r="U4" s="177"/>
      <c r="V4" s="177"/>
      <c r="W4" s="177"/>
      <c r="X4" s="177"/>
      <c r="Y4" s="177"/>
      <c r="Z4" s="177"/>
      <c r="AA4" s="177">
        <f>P10+P28+P35+P46+P54+P57+P62+P68+P81+P88+P95+P100+P109+P132+P138+P150+P152+P154+P159+P160+P161+P162+P164+P165+P175+P174</f>
        <v>227.33</v>
      </c>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row>
    <row r="5" spans="1:53" s="1404" customFormat="1" ht="12.75" customHeight="1" x14ac:dyDescent="0.2">
      <c r="A5" s="3823" t="s">
        <v>53</v>
      </c>
      <c r="B5" s="3823" t="s">
        <v>54</v>
      </c>
      <c r="C5" s="3823" t="s">
        <v>55</v>
      </c>
      <c r="D5" s="3823" t="s">
        <v>56</v>
      </c>
      <c r="E5" s="3823" t="s">
        <v>57</v>
      </c>
      <c r="F5" s="3876" t="s">
        <v>4629</v>
      </c>
      <c r="G5" s="3876"/>
      <c r="H5" s="3876"/>
      <c r="I5" s="3876"/>
      <c r="J5" s="3876"/>
      <c r="K5" s="3877" t="s">
        <v>4640</v>
      </c>
      <c r="L5" s="3888"/>
      <c r="M5" s="3888"/>
      <c r="N5" s="3888"/>
      <c r="O5" s="3888"/>
      <c r="P5" s="3888"/>
      <c r="Q5" s="3889"/>
      <c r="R5" s="3890" t="s">
        <v>4670</v>
      </c>
      <c r="S5" s="3891"/>
    </row>
    <row r="6" spans="1:53" s="1404" customFormat="1" ht="75" x14ac:dyDescent="0.2">
      <c r="A6" s="3823"/>
      <c r="B6" s="3823"/>
      <c r="C6" s="3823"/>
      <c r="D6" s="3823"/>
      <c r="E6" s="3823"/>
      <c r="F6" s="896" t="s">
        <v>4630</v>
      </c>
      <c r="G6" s="896" t="s">
        <v>4638</v>
      </c>
      <c r="H6" s="896" t="s">
        <v>4631</v>
      </c>
      <c r="I6" s="896" t="s">
        <v>4639</v>
      </c>
      <c r="J6" s="896" t="s">
        <v>2538</v>
      </c>
      <c r="K6" s="897" t="s">
        <v>4677</v>
      </c>
      <c r="L6" s="897" t="s">
        <v>58</v>
      </c>
      <c r="M6" s="897" t="s">
        <v>59</v>
      </c>
      <c r="N6" s="898" t="s">
        <v>60</v>
      </c>
      <c r="O6" s="897" t="s">
        <v>61</v>
      </c>
      <c r="P6" s="898" t="s">
        <v>62</v>
      </c>
      <c r="Q6" s="897" t="s">
        <v>5547</v>
      </c>
      <c r="R6" s="899" t="s">
        <v>2540</v>
      </c>
      <c r="S6" s="3476" t="s">
        <v>4671</v>
      </c>
      <c r="T6" s="3471" t="s">
        <v>4724</v>
      </c>
    </row>
    <row r="7" spans="1:53" s="1087" customFormat="1" x14ac:dyDescent="0.2">
      <c r="A7" s="234">
        <v>8</v>
      </c>
      <c r="B7" s="965"/>
      <c r="C7" s="234" t="s">
        <v>41</v>
      </c>
      <c r="D7" s="966"/>
      <c r="E7" s="966"/>
      <c r="F7" s="966"/>
      <c r="G7" s="966"/>
      <c r="H7" s="176"/>
      <c r="I7" s="176"/>
      <c r="J7" s="966"/>
      <c r="K7" s="2810"/>
      <c r="L7" s="966"/>
      <c r="M7" s="966"/>
      <c r="N7" s="176"/>
      <c r="O7" s="176">
        <f>O8+O161+O162+O163</f>
        <v>94</v>
      </c>
      <c r="P7" s="176">
        <f>P8+P161+P162+P163</f>
        <v>527.33000000000004</v>
      </c>
      <c r="Q7" s="234"/>
      <c r="R7" s="234"/>
      <c r="S7" s="3477">
        <f>S8+S161+S162+S163</f>
        <v>0</v>
      </c>
      <c r="T7" s="1087">
        <f>SUM(T9:T175)</f>
        <v>20.25</v>
      </c>
    </row>
    <row r="8" spans="1:53" x14ac:dyDescent="0.2">
      <c r="A8" s="356">
        <v>8.1</v>
      </c>
      <c r="B8" s="906"/>
      <c r="C8" s="99" t="s">
        <v>41</v>
      </c>
      <c r="D8" s="1215" t="s">
        <v>70</v>
      </c>
      <c r="E8" s="1215" t="s">
        <v>3895</v>
      </c>
      <c r="F8" s="1215"/>
      <c r="G8" s="1215"/>
      <c r="H8" s="528"/>
      <c r="I8" s="528"/>
      <c r="J8" s="1215"/>
      <c r="K8" s="1409"/>
      <c r="L8" s="1215"/>
      <c r="M8" s="1215"/>
      <c r="N8" s="3050"/>
      <c r="O8" s="528">
        <f>O9+O27+O34+O45+O53+O56+O60+O80+O87+O94+O99+O108+O131+O137+O153+O105</f>
        <v>94</v>
      </c>
      <c r="P8" s="528">
        <f>P9+P27+P34+P45+P53+P56+P60+P80+P87+P94+P99+P108+P131+P137+P153+P105</f>
        <v>342.065</v>
      </c>
      <c r="Q8" s="448"/>
      <c r="R8" s="448"/>
      <c r="S8" s="3478">
        <f>S9+S27+S34+S45+S53+S56+S60+S80+S87+S94+S99+S108+S131+S137+S153+S105</f>
        <v>0</v>
      </c>
      <c r="V8" s="3472">
        <f>P8-S8</f>
        <v>342.065</v>
      </c>
    </row>
    <row r="9" spans="1:53" x14ac:dyDescent="0.2">
      <c r="A9" s="848" t="s">
        <v>421</v>
      </c>
      <c r="B9" s="914" t="s">
        <v>422</v>
      </c>
      <c r="C9" s="100" t="s">
        <v>423</v>
      </c>
      <c r="D9" s="973" t="s">
        <v>70</v>
      </c>
      <c r="E9" s="973" t="s">
        <v>3895</v>
      </c>
      <c r="F9" s="973"/>
      <c r="G9" s="973"/>
      <c r="H9" s="918"/>
      <c r="I9" s="918"/>
      <c r="J9" s="973"/>
      <c r="K9" s="2811"/>
      <c r="L9" s="973"/>
      <c r="M9" s="973"/>
      <c r="N9" s="3051"/>
      <c r="O9" s="918">
        <f>SUM(O10:O12)+SUM(O20:O26)+O16+O17</f>
        <v>52</v>
      </c>
      <c r="P9" s="918">
        <f>SUM(P10:P12)+SUM(P20:P26)+P16+P17</f>
        <v>9.3000000000000007</v>
      </c>
      <c r="Q9" s="446"/>
      <c r="R9" s="446"/>
      <c r="S9" s="3479">
        <f>SUM(S10:S12)+SUM(S20:S26)+S16+S17</f>
        <v>0</v>
      </c>
      <c r="V9" s="3472">
        <f>P9-S9</f>
        <v>9.3000000000000007</v>
      </c>
    </row>
    <row r="10" spans="1:53" x14ac:dyDescent="0.2">
      <c r="A10" s="409" t="s">
        <v>424</v>
      </c>
      <c r="B10" s="409" t="s">
        <v>425</v>
      </c>
      <c r="C10" s="409" t="s">
        <v>426</v>
      </c>
      <c r="D10" s="886" t="s">
        <v>70</v>
      </c>
      <c r="E10" s="1130" t="s">
        <v>3895</v>
      </c>
      <c r="F10" s="2711"/>
      <c r="G10" s="2534"/>
      <c r="H10" s="3914"/>
      <c r="I10" s="3914"/>
      <c r="J10" s="3914"/>
      <c r="K10" s="2711"/>
      <c r="L10" s="3914"/>
      <c r="M10" s="3914">
        <v>15000</v>
      </c>
      <c r="N10" s="3920">
        <f>+M10/100000</f>
        <v>0.15</v>
      </c>
      <c r="O10" s="3914">
        <f>2+50</f>
        <v>52</v>
      </c>
      <c r="P10" s="3917">
        <f>+(0.18*50)+(0.15*2)</f>
        <v>9.3000000000000007</v>
      </c>
      <c r="Q10" s="2532"/>
      <c r="R10" s="3420"/>
      <c r="S10" s="3926"/>
      <c r="V10" s="3472">
        <f>P10-S10</f>
        <v>9.3000000000000007</v>
      </c>
    </row>
    <row r="11" spans="1:53" ht="85.5" x14ac:dyDescent="0.2">
      <c r="A11" s="2863" t="s">
        <v>427</v>
      </c>
      <c r="B11" s="409" t="s">
        <v>428</v>
      </c>
      <c r="C11" s="409" t="s">
        <v>429</v>
      </c>
      <c r="D11" s="886" t="s">
        <v>70</v>
      </c>
      <c r="E11" s="1130" t="s">
        <v>3895</v>
      </c>
      <c r="F11" s="2713"/>
      <c r="G11" s="2534"/>
      <c r="H11" s="3915"/>
      <c r="I11" s="3915"/>
      <c r="J11" s="3915"/>
      <c r="K11" s="2713"/>
      <c r="L11" s="3915"/>
      <c r="M11" s="3915"/>
      <c r="N11" s="3921"/>
      <c r="O11" s="3915"/>
      <c r="P11" s="3918"/>
      <c r="Q11" s="3719" t="s">
        <v>6021</v>
      </c>
      <c r="R11" s="3463"/>
      <c r="S11" s="3927"/>
    </row>
    <row r="12" spans="1:53" s="982" customFormat="1" x14ac:dyDescent="0.2">
      <c r="A12" s="1412" t="s">
        <v>430</v>
      </c>
      <c r="B12" s="1412"/>
      <c r="C12" s="1412" t="s">
        <v>2428</v>
      </c>
      <c r="D12" s="1413" t="s">
        <v>70</v>
      </c>
      <c r="E12" s="1413" t="s">
        <v>3895</v>
      </c>
      <c r="F12" s="594"/>
      <c r="G12" s="594"/>
      <c r="H12" s="3915"/>
      <c r="I12" s="3915"/>
      <c r="J12" s="3915"/>
      <c r="K12" s="1435"/>
      <c r="L12" s="3915"/>
      <c r="M12" s="3915"/>
      <c r="N12" s="3921"/>
      <c r="O12" s="3915"/>
      <c r="P12" s="3918"/>
      <c r="Q12" s="599"/>
      <c r="R12" s="400"/>
      <c r="S12" s="3927"/>
    </row>
    <row r="13" spans="1:53" x14ac:dyDescent="0.2">
      <c r="A13" s="2863" t="s">
        <v>4306</v>
      </c>
      <c r="B13" s="410"/>
      <c r="C13" s="409" t="s">
        <v>2426</v>
      </c>
      <c r="D13" s="886" t="s">
        <v>70</v>
      </c>
      <c r="E13" s="1130" t="s">
        <v>3895</v>
      </c>
      <c r="F13" s="2752"/>
      <c r="G13" s="2753"/>
      <c r="H13" s="3915"/>
      <c r="I13" s="3915"/>
      <c r="J13" s="3915"/>
      <c r="K13" s="2755"/>
      <c r="L13" s="3915"/>
      <c r="M13" s="3915"/>
      <c r="N13" s="3921"/>
      <c r="O13" s="3915"/>
      <c r="P13" s="3918"/>
      <c r="Q13" s="2532"/>
      <c r="R13" s="3420"/>
      <c r="S13" s="3927"/>
    </row>
    <row r="14" spans="1:53" ht="30" x14ac:dyDescent="0.2">
      <c r="A14" s="409" t="s">
        <v>4307</v>
      </c>
      <c r="B14" s="410"/>
      <c r="C14" s="409" t="s">
        <v>2427</v>
      </c>
      <c r="D14" s="886" t="s">
        <v>70</v>
      </c>
      <c r="E14" s="1130" t="s">
        <v>3895</v>
      </c>
      <c r="F14" s="2534"/>
      <c r="G14" s="2531"/>
      <c r="H14" s="3915"/>
      <c r="I14" s="3915"/>
      <c r="J14" s="3915"/>
      <c r="K14" s="2713"/>
      <c r="L14" s="3915"/>
      <c r="M14" s="3915"/>
      <c r="N14" s="3921"/>
      <c r="O14" s="3915"/>
      <c r="P14" s="3918"/>
      <c r="Q14" s="2532"/>
      <c r="R14" s="299"/>
      <c r="S14" s="3927"/>
    </row>
    <row r="15" spans="1:53" x14ac:dyDescent="0.2">
      <c r="A15" s="409" t="s">
        <v>4308</v>
      </c>
      <c r="B15" s="410"/>
      <c r="C15" s="409" t="s">
        <v>2429</v>
      </c>
      <c r="D15" s="886" t="s">
        <v>70</v>
      </c>
      <c r="E15" s="1130" t="s">
        <v>3895</v>
      </c>
      <c r="F15" s="2534"/>
      <c r="G15" s="2531"/>
      <c r="H15" s="3915"/>
      <c r="I15" s="3915"/>
      <c r="J15" s="3915"/>
      <c r="K15" s="2713"/>
      <c r="L15" s="3915"/>
      <c r="M15" s="3915"/>
      <c r="N15" s="3921"/>
      <c r="O15" s="3915"/>
      <c r="P15" s="3918"/>
      <c r="Q15" s="2532"/>
      <c r="R15" s="299"/>
      <c r="S15" s="3927"/>
    </row>
    <row r="16" spans="1:53" ht="30" x14ac:dyDescent="0.2">
      <c r="A16" s="409" t="s">
        <v>433</v>
      </c>
      <c r="B16" s="409" t="s">
        <v>431</v>
      </c>
      <c r="C16" s="409" t="s">
        <v>432</v>
      </c>
      <c r="D16" s="886" t="s">
        <v>70</v>
      </c>
      <c r="E16" s="1130" t="s">
        <v>3895</v>
      </c>
      <c r="F16" s="2534"/>
      <c r="G16" s="2531"/>
      <c r="H16" s="3915"/>
      <c r="I16" s="3915"/>
      <c r="J16" s="3915"/>
      <c r="K16" s="2713"/>
      <c r="L16" s="3915"/>
      <c r="M16" s="3915"/>
      <c r="N16" s="3921"/>
      <c r="O16" s="3915"/>
      <c r="P16" s="3918"/>
      <c r="Q16" s="2532"/>
      <c r="R16" s="299"/>
      <c r="S16" s="3927"/>
    </row>
    <row r="17" spans="1:22" x14ac:dyDescent="0.2">
      <c r="A17" s="1414" t="s">
        <v>435</v>
      </c>
      <c r="B17" s="1414" t="s">
        <v>434</v>
      </c>
      <c r="C17" s="1415" t="s">
        <v>4644</v>
      </c>
      <c r="D17" s="1416" t="s">
        <v>70</v>
      </c>
      <c r="E17" s="1416" t="s">
        <v>3895</v>
      </c>
      <c r="F17" s="595"/>
      <c r="G17" s="595"/>
      <c r="H17" s="3915"/>
      <c r="I17" s="3915"/>
      <c r="J17" s="3915"/>
      <c r="K17" s="1436"/>
      <c r="L17" s="3915"/>
      <c r="M17" s="3915"/>
      <c r="N17" s="3921"/>
      <c r="O17" s="3915"/>
      <c r="P17" s="3918"/>
      <c r="Q17" s="401"/>
      <c r="R17" s="401"/>
      <c r="S17" s="3927"/>
    </row>
    <row r="18" spans="1:22" ht="85.5" x14ac:dyDescent="0.2">
      <c r="A18" s="409" t="s">
        <v>4642</v>
      </c>
      <c r="B18" s="409" t="s">
        <v>434</v>
      </c>
      <c r="C18" s="441" t="s">
        <v>575</v>
      </c>
      <c r="D18" s="886" t="s">
        <v>70</v>
      </c>
      <c r="E18" s="1136" t="s">
        <v>3895</v>
      </c>
      <c r="F18" s="2752"/>
      <c r="G18" s="2753"/>
      <c r="H18" s="3915"/>
      <c r="I18" s="3915"/>
      <c r="J18" s="3915"/>
      <c r="K18" s="2755"/>
      <c r="L18" s="3915"/>
      <c r="M18" s="3915"/>
      <c r="N18" s="3921"/>
      <c r="O18" s="3915"/>
      <c r="P18" s="3918"/>
      <c r="Q18" s="2866" t="s">
        <v>5955</v>
      </c>
      <c r="R18" s="251"/>
      <c r="S18" s="3927"/>
    </row>
    <row r="19" spans="1:22" ht="60" x14ac:dyDescent="0.2">
      <c r="A19" s="409" t="s">
        <v>4643</v>
      </c>
      <c r="B19" s="409" t="s">
        <v>434</v>
      </c>
      <c r="C19" s="441" t="s">
        <v>4645</v>
      </c>
      <c r="D19" s="886" t="s">
        <v>70</v>
      </c>
      <c r="E19" s="1136" t="s">
        <v>3895</v>
      </c>
      <c r="F19" s="596"/>
      <c r="G19" s="596"/>
      <c r="H19" s="3915"/>
      <c r="I19" s="3915"/>
      <c r="J19" s="3915"/>
      <c r="K19" s="2812"/>
      <c r="L19" s="3915"/>
      <c r="M19" s="3915"/>
      <c r="N19" s="3921"/>
      <c r="O19" s="3915"/>
      <c r="P19" s="3918"/>
      <c r="Q19" s="317"/>
      <c r="R19" s="251"/>
      <c r="S19" s="3927"/>
    </row>
    <row r="20" spans="1:22" x14ac:dyDescent="0.2">
      <c r="A20" s="409" t="s">
        <v>438</v>
      </c>
      <c r="B20" s="409" t="s">
        <v>436</v>
      </c>
      <c r="C20" s="409" t="s">
        <v>437</v>
      </c>
      <c r="D20" s="886" t="s">
        <v>70</v>
      </c>
      <c r="E20" s="1130" t="s">
        <v>3895</v>
      </c>
      <c r="F20" s="2754"/>
      <c r="G20" s="2531"/>
      <c r="H20" s="3915"/>
      <c r="I20" s="3915"/>
      <c r="J20" s="3915"/>
      <c r="K20" s="2754"/>
      <c r="L20" s="3915"/>
      <c r="M20" s="3915"/>
      <c r="N20" s="3921"/>
      <c r="O20" s="3915"/>
      <c r="P20" s="3918"/>
      <c r="Q20" s="2532"/>
      <c r="R20" s="299"/>
      <c r="S20" s="3927"/>
    </row>
    <row r="21" spans="1:22" ht="30" x14ac:dyDescent="0.2">
      <c r="A21" s="409" t="s">
        <v>441</v>
      </c>
      <c r="B21" s="409" t="s">
        <v>439</v>
      </c>
      <c r="C21" s="409" t="s">
        <v>440</v>
      </c>
      <c r="D21" s="886" t="s">
        <v>70</v>
      </c>
      <c r="E21" s="1130" t="s">
        <v>3895</v>
      </c>
      <c r="F21" s="2755"/>
      <c r="G21" s="2753"/>
      <c r="H21" s="3915"/>
      <c r="I21" s="3915"/>
      <c r="J21" s="3915"/>
      <c r="K21" s="2755"/>
      <c r="L21" s="3915"/>
      <c r="M21" s="3915"/>
      <c r="N21" s="3921"/>
      <c r="O21" s="3915"/>
      <c r="P21" s="3918"/>
      <c r="Q21" s="2532"/>
      <c r="R21" s="299"/>
      <c r="S21" s="3927"/>
    </row>
    <row r="22" spans="1:22" x14ac:dyDescent="0.2">
      <c r="A22" s="409" t="s">
        <v>444</v>
      </c>
      <c r="B22" s="409" t="s">
        <v>442</v>
      </c>
      <c r="C22" s="409" t="s">
        <v>443</v>
      </c>
      <c r="D22" s="886" t="s">
        <v>70</v>
      </c>
      <c r="E22" s="1130" t="s">
        <v>3895</v>
      </c>
      <c r="F22" s="2755"/>
      <c r="G22" s="2753"/>
      <c r="H22" s="3915"/>
      <c r="I22" s="3915"/>
      <c r="J22" s="3915"/>
      <c r="K22" s="2755"/>
      <c r="L22" s="3915"/>
      <c r="M22" s="3915"/>
      <c r="N22" s="3921"/>
      <c r="O22" s="3915"/>
      <c r="P22" s="3918"/>
      <c r="Q22" s="2532"/>
      <c r="R22" s="299"/>
      <c r="S22" s="3927"/>
    </row>
    <row r="23" spans="1:22" x14ac:dyDescent="0.2">
      <c r="A23" s="409" t="s">
        <v>446</v>
      </c>
      <c r="B23" s="409" t="s">
        <v>445</v>
      </c>
      <c r="C23" s="409" t="s">
        <v>2431</v>
      </c>
      <c r="D23" s="886" t="s">
        <v>70</v>
      </c>
      <c r="E23" s="1130" t="s">
        <v>3895</v>
      </c>
      <c r="F23" s="2711"/>
      <c r="G23" s="2531"/>
      <c r="H23" s="3915"/>
      <c r="I23" s="3915"/>
      <c r="J23" s="3915"/>
      <c r="K23" s="2711"/>
      <c r="L23" s="3915"/>
      <c r="M23" s="3915"/>
      <c r="N23" s="3921"/>
      <c r="O23" s="3915"/>
      <c r="P23" s="3918"/>
      <c r="Q23" s="2532"/>
      <c r="R23" s="299"/>
      <c r="S23" s="3927"/>
    </row>
    <row r="24" spans="1:22" ht="30" x14ac:dyDescent="0.2">
      <c r="A24" s="409" t="s">
        <v>449</v>
      </c>
      <c r="B24" s="409" t="s">
        <v>447</v>
      </c>
      <c r="C24" s="409" t="s">
        <v>448</v>
      </c>
      <c r="D24" s="886" t="s">
        <v>70</v>
      </c>
      <c r="E24" s="1130" t="s">
        <v>3895</v>
      </c>
      <c r="F24" s="2755"/>
      <c r="G24" s="2753"/>
      <c r="H24" s="3915"/>
      <c r="I24" s="3915"/>
      <c r="J24" s="3915"/>
      <c r="K24" s="2755"/>
      <c r="L24" s="3915"/>
      <c r="M24" s="3915"/>
      <c r="N24" s="3921"/>
      <c r="O24" s="3915"/>
      <c r="P24" s="3918"/>
      <c r="Q24" s="2532"/>
      <c r="R24" s="299"/>
      <c r="S24" s="3927"/>
    </row>
    <row r="25" spans="1:22" x14ac:dyDescent="0.2">
      <c r="A25" s="409" t="s">
        <v>452</v>
      </c>
      <c r="B25" s="409" t="s">
        <v>450</v>
      </c>
      <c r="C25" s="409" t="s">
        <v>451</v>
      </c>
      <c r="D25" s="886" t="s">
        <v>70</v>
      </c>
      <c r="E25" s="1130" t="s">
        <v>3895</v>
      </c>
      <c r="F25" s="2754"/>
      <c r="G25" s="2531"/>
      <c r="H25" s="3915"/>
      <c r="I25" s="3915"/>
      <c r="J25" s="3915"/>
      <c r="K25" s="2754"/>
      <c r="L25" s="3915"/>
      <c r="M25" s="3915"/>
      <c r="N25" s="3921"/>
      <c r="O25" s="3915"/>
      <c r="P25" s="3918"/>
      <c r="Q25" s="2532"/>
      <c r="R25" s="299"/>
      <c r="S25" s="3927"/>
    </row>
    <row r="26" spans="1:22" ht="30" x14ac:dyDescent="0.2">
      <c r="A26" s="409" t="s">
        <v>2430</v>
      </c>
      <c r="B26" s="409" t="s">
        <v>453</v>
      </c>
      <c r="C26" s="409" t="s">
        <v>2441</v>
      </c>
      <c r="D26" s="886" t="s">
        <v>70</v>
      </c>
      <c r="E26" s="1130" t="s">
        <v>3895</v>
      </c>
      <c r="F26" s="2754"/>
      <c r="G26" s="2531"/>
      <c r="H26" s="3916"/>
      <c r="I26" s="3916"/>
      <c r="J26" s="3916"/>
      <c r="K26" s="2754"/>
      <c r="L26" s="3916"/>
      <c r="M26" s="3916"/>
      <c r="N26" s="3922"/>
      <c r="O26" s="3916"/>
      <c r="P26" s="3919"/>
      <c r="Q26" s="2532"/>
      <c r="R26" s="299"/>
      <c r="S26" s="3928"/>
    </row>
    <row r="27" spans="1:22" x14ac:dyDescent="0.2">
      <c r="A27" s="848" t="s">
        <v>454</v>
      </c>
      <c r="B27" s="914" t="s">
        <v>455</v>
      </c>
      <c r="C27" s="100" t="s">
        <v>456</v>
      </c>
      <c r="D27" s="973" t="s">
        <v>70</v>
      </c>
      <c r="E27" s="973" t="s">
        <v>3895</v>
      </c>
      <c r="F27" s="597"/>
      <c r="G27" s="597"/>
      <c r="H27" s="1438"/>
      <c r="I27" s="1438"/>
      <c r="J27" s="597"/>
      <c r="K27" s="1437"/>
      <c r="L27" s="597"/>
      <c r="M27" s="597"/>
      <c r="N27" s="3052"/>
      <c r="O27" s="1438">
        <f>SUM(O28:O33)</f>
        <v>42</v>
      </c>
      <c r="P27" s="1438">
        <f>SUM(P28:P33)</f>
        <v>29.4</v>
      </c>
      <c r="Q27" s="600"/>
      <c r="R27" s="113"/>
      <c r="S27" s="3480">
        <f>SUM(S28:S33)</f>
        <v>0</v>
      </c>
      <c r="V27" s="3472">
        <f t="shared" ref="V27:V28" si="0">P27-S27</f>
        <v>29.4</v>
      </c>
    </row>
    <row r="28" spans="1:22" ht="142.5" customHeight="1" x14ac:dyDescent="0.2">
      <c r="A28" s="409" t="s">
        <v>457</v>
      </c>
      <c r="B28" s="409" t="s">
        <v>458</v>
      </c>
      <c r="C28" s="409" t="s">
        <v>459</v>
      </c>
      <c r="D28" s="886" t="s">
        <v>70</v>
      </c>
      <c r="E28" s="1130" t="s">
        <v>3895</v>
      </c>
      <c r="F28" s="2534"/>
      <c r="G28" s="2531"/>
      <c r="H28" s="3929"/>
      <c r="I28" s="3929"/>
      <c r="J28" s="3929"/>
      <c r="K28" s="2713"/>
      <c r="L28" s="3929"/>
      <c r="M28" s="3914">
        <v>70000</v>
      </c>
      <c r="N28" s="3932">
        <f>+M28/100000</f>
        <v>0.7</v>
      </c>
      <c r="O28" s="3914">
        <f>22+12+8</f>
        <v>42</v>
      </c>
      <c r="P28" s="3917">
        <f>N28*O28</f>
        <v>29.4</v>
      </c>
      <c r="Q28" s="3944" t="s">
        <v>6018</v>
      </c>
      <c r="R28" s="299"/>
      <c r="S28" s="3909"/>
      <c r="V28" s="3472">
        <f t="shared" si="0"/>
        <v>29.4</v>
      </c>
    </row>
    <row r="29" spans="1:22" x14ac:dyDescent="0.2">
      <c r="A29" s="409" t="s">
        <v>460</v>
      </c>
      <c r="B29" s="409" t="s">
        <v>461</v>
      </c>
      <c r="C29" s="409" t="s">
        <v>462</v>
      </c>
      <c r="D29" s="886" t="s">
        <v>70</v>
      </c>
      <c r="E29" s="1130" t="s">
        <v>3895</v>
      </c>
      <c r="F29" s="2534"/>
      <c r="G29" s="2531"/>
      <c r="H29" s="3930"/>
      <c r="I29" s="3930"/>
      <c r="J29" s="3930"/>
      <c r="K29" s="2713"/>
      <c r="L29" s="3930"/>
      <c r="M29" s="3915"/>
      <c r="N29" s="3933"/>
      <c r="O29" s="3915"/>
      <c r="P29" s="3918"/>
      <c r="Q29" s="3945"/>
      <c r="R29" s="299"/>
      <c r="S29" s="3910"/>
    </row>
    <row r="30" spans="1:22" x14ac:dyDescent="0.2">
      <c r="A30" s="409" t="s">
        <v>463</v>
      </c>
      <c r="B30" s="409" t="s">
        <v>464</v>
      </c>
      <c r="C30" s="409" t="s">
        <v>465</v>
      </c>
      <c r="D30" s="886" t="s">
        <v>70</v>
      </c>
      <c r="E30" s="1130" t="s">
        <v>3895</v>
      </c>
      <c r="F30" s="2534"/>
      <c r="G30" s="2531"/>
      <c r="H30" s="3930"/>
      <c r="I30" s="3930"/>
      <c r="J30" s="3930"/>
      <c r="K30" s="2713"/>
      <c r="L30" s="3930"/>
      <c r="M30" s="3915"/>
      <c r="N30" s="3933"/>
      <c r="O30" s="3915"/>
      <c r="P30" s="3918"/>
      <c r="Q30" s="3946"/>
      <c r="R30" s="299"/>
      <c r="S30" s="3910"/>
    </row>
    <row r="31" spans="1:22" x14ac:dyDescent="0.2">
      <c r="A31" s="409" t="s">
        <v>466</v>
      </c>
      <c r="B31" s="409" t="s">
        <v>468</v>
      </c>
      <c r="C31" s="409" t="s">
        <v>469</v>
      </c>
      <c r="D31" s="886" t="s">
        <v>70</v>
      </c>
      <c r="E31" s="1130" t="s">
        <v>3895</v>
      </c>
      <c r="F31" s="2534"/>
      <c r="G31" s="2531"/>
      <c r="H31" s="3930"/>
      <c r="I31" s="3930"/>
      <c r="J31" s="3930"/>
      <c r="K31" s="2713"/>
      <c r="L31" s="3930"/>
      <c r="M31" s="3915"/>
      <c r="N31" s="3933"/>
      <c r="O31" s="3915"/>
      <c r="P31" s="3918"/>
      <c r="Q31" s="2532"/>
      <c r="R31" s="299"/>
      <c r="S31" s="3910"/>
    </row>
    <row r="32" spans="1:22" x14ac:dyDescent="0.2">
      <c r="A32" s="409" t="s">
        <v>467</v>
      </c>
      <c r="B32" s="409" t="s">
        <v>471</v>
      </c>
      <c r="C32" s="409" t="s">
        <v>472</v>
      </c>
      <c r="D32" s="886" t="s">
        <v>70</v>
      </c>
      <c r="E32" s="1130" t="s">
        <v>3895</v>
      </c>
      <c r="F32" s="2534"/>
      <c r="G32" s="2531"/>
      <c r="H32" s="3930"/>
      <c r="I32" s="3930"/>
      <c r="J32" s="3930"/>
      <c r="K32" s="2713"/>
      <c r="L32" s="3930"/>
      <c r="M32" s="3915"/>
      <c r="N32" s="3933"/>
      <c r="O32" s="3915"/>
      <c r="P32" s="3918"/>
      <c r="Q32" s="2532"/>
      <c r="R32" s="299"/>
      <c r="S32" s="3910"/>
    </row>
    <row r="33" spans="1:22" x14ac:dyDescent="0.2">
      <c r="A33" s="409" t="s">
        <v>470</v>
      </c>
      <c r="B33" s="409" t="s">
        <v>473</v>
      </c>
      <c r="C33" s="409" t="s">
        <v>4106</v>
      </c>
      <c r="D33" s="886" t="s">
        <v>70</v>
      </c>
      <c r="E33" s="1130" t="s">
        <v>3895</v>
      </c>
      <c r="F33" s="2752"/>
      <c r="G33" s="2752"/>
      <c r="H33" s="3931"/>
      <c r="I33" s="3931"/>
      <c r="J33" s="3931"/>
      <c r="K33" s="2755"/>
      <c r="L33" s="3931"/>
      <c r="M33" s="3916"/>
      <c r="N33" s="3934"/>
      <c r="O33" s="3916"/>
      <c r="P33" s="3919"/>
      <c r="Q33" s="2532"/>
      <c r="R33" s="299"/>
      <c r="S33" s="3911"/>
    </row>
    <row r="34" spans="1:22" x14ac:dyDescent="0.2">
      <c r="A34" s="848" t="s">
        <v>476</v>
      </c>
      <c r="B34" s="914" t="s">
        <v>477</v>
      </c>
      <c r="C34" s="100" t="s">
        <v>478</v>
      </c>
      <c r="D34" s="973" t="s">
        <v>70</v>
      </c>
      <c r="E34" s="973" t="s">
        <v>3895</v>
      </c>
      <c r="F34" s="597"/>
      <c r="G34" s="597"/>
      <c r="H34" s="1438"/>
      <c r="I34" s="1438"/>
      <c r="J34" s="597"/>
      <c r="K34" s="2813"/>
      <c r="L34" s="597"/>
      <c r="M34" s="597"/>
      <c r="N34" s="3052"/>
      <c r="O34" s="1438">
        <f>SUM(O35:O44)</f>
        <v>0</v>
      </c>
      <c r="P34" s="1438">
        <f>SUM(P35:P44)</f>
        <v>0</v>
      </c>
      <c r="Q34" s="600"/>
      <c r="R34" s="113"/>
      <c r="S34" s="3480">
        <f>SUM(S35:S44)</f>
        <v>0</v>
      </c>
      <c r="V34" s="3472">
        <f t="shared" ref="V34:V35" si="1">P34-S34</f>
        <v>0</v>
      </c>
    </row>
    <row r="35" spans="1:22" x14ac:dyDescent="0.2">
      <c r="A35" s="409" t="s">
        <v>479</v>
      </c>
      <c r="B35" s="409" t="s">
        <v>2433</v>
      </c>
      <c r="C35" s="409" t="s">
        <v>2432</v>
      </c>
      <c r="D35" s="886" t="s">
        <v>70</v>
      </c>
      <c r="E35" s="1130" t="s">
        <v>3895</v>
      </c>
      <c r="F35" s="2757"/>
      <c r="G35" s="2753"/>
      <c r="H35" s="3929"/>
      <c r="I35" s="3929"/>
      <c r="J35" s="3929"/>
      <c r="K35" s="2814"/>
      <c r="L35" s="3929"/>
      <c r="M35" s="3914"/>
      <c r="N35" s="3932"/>
      <c r="O35" s="3914"/>
      <c r="P35" s="3917">
        <f>N35*O35</f>
        <v>0</v>
      </c>
      <c r="Q35" s="2532"/>
      <c r="R35" s="299"/>
      <c r="S35" s="3909"/>
      <c r="V35" s="3472">
        <f t="shared" si="1"/>
        <v>0</v>
      </c>
    </row>
    <row r="36" spans="1:22" x14ac:dyDescent="0.2">
      <c r="A36" s="409" t="s">
        <v>480</v>
      </c>
      <c r="B36" s="409" t="s">
        <v>481</v>
      </c>
      <c r="C36" s="409" t="s">
        <v>482</v>
      </c>
      <c r="D36" s="886" t="s">
        <v>70</v>
      </c>
      <c r="E36" s="1130" t="s">
        <v>3895</v>
      </c>
      <c r="F36" s="2757"/>
      <c r="G36" s="2753"/>
      <c r="H36" s="3930"/>
      <c r="I36" s="3930"/>
      <c r="J36" s="3930"/>
      <c r="K36" s="2814"/>
      <c r="L36" s="3930"/>
      <c r="M36" s="3915"/>
      <c r="N36" s="3933"/>
      <c r="O36" s="3915"/>
      <c r="P36" s="3918"/>
      <c r="Q36" s="2752"/>
      <c r="R36" s="299"/>
      <c r="S36" s="3910"/>
    </row>
    <row r="37" spans="1:22" x14ac:dyDescent="0.2">
      <c r="A37" s="409" t="s">
        <v>483</v>
      </c>
      <c r="B37" s="409" t="s">
        <v>484</v>
      </c>
      <c r="C37" s="409" t="s">
        <v>485</v>
      </c>
      <c r="D37" s="886" t="s">
        <v>70</v>
      </c>
      <c r="E37" s="1130" t="s">
        <v>3895</v>
      </c>
      <c r="F37" s="411"/>
      <c r="G37" s="411"/>
      <c r="H37" s="3930"/>
      <c r="I37" s="3930"/>
      <c r="J37" s="3930"/>
      <c r="K37" s="2812"/>
      <c r="L37" s="3930"/>
      <c r="M37" s="3915"/>
      <c r="N37" s="3933"/>
      <c r="O37" s="3915"/>
      <c r="P37" s="3918"/>
      <c r="Q37" s="387"/>
      <c r="R37" s="299"/>
      <c r="S37" s="3910"/>
    </row>
    <row r="38" spans="1:22" x14ac:dyDescent="0.2">
      <c r="A38" s="409" t="s">
        <v>486</v>
      </c>
      <c r="B38" s="409" t="s">
        <v>474</v>
      </c>
      <c r="C38" s="409" t="s">
        <v>475</v>
      </c>
      <c r="D38" s="886" t="s">
        <v>70</v>
      </c>
      <c r="E38" s="1130" t="s">
        <v>3895</v>
      </c>
      <c r="F38" s="411"/>
      <c r="G38" s="411"/>
      <c r="H38" s="3930"/>
      <c r="I38" s="3930"/>
      <c r="J38" s="3930"/>
      <c r="K38" s="2812"/>
      <c r="L38" s="3930"/>
      <c r="M38" s="3915"/>
      <c r="N38" s="3933"/>
      <c r="O38" s="3915"/>
      <c r="P38" s="3918"/>
      <c r="Q38" s="357"/>
      <c r="R38" s="299"/>
      <c r="S38" s="3910"/>
    </row>
    <row r="39" spans="1:22" x14ac:dyDescent="0.2">
      <c r="A39" s="409" t="s">
        <v>489</v>
      </c>
      <c r="B39" s="409" t="s">
        <v>487</v>
      </c>
      <c r="C39" s="409" t="s">
        <v>488</v>
      </c>
      <c r="D39" s="886" t="s">
        <v>70</v>
      </c>
      <c r="E39" s="1130" t="s">
        <v>3895</v>
      </c>
      <c r="F39" s="411"/>
      <c r="G39" s="411"/>
      <c r="H39" s="3930"/>
      <c r="I39" s="3930"/>
      <c r="J39" s="3930"/>
      <c r="K39" s="2812"/>
      <c r="L39" s="3930"/>
      <c r="M39" s="3915"/>
      <c r="N39" s="3933"/>
      <c r="O39" s="3915"/>
      <c r="P39" s="3918"/>
      <c r="Q39" s="387"/>
      <c r="R39" s="299"/>
      <c r="S39" s="3910"/>
    </row>
    <row r="40" spans="1:22" x14ac:dyDescent="0.2">
      <c r="A40" s="409" t="s">
        <v>492</v>
      </c>
      <c r="B40" s="409" t="s">
        <v>490</v>
      </c>
      <c r="C40" s="409" t="s">
        <v>491</v>
      </c>
      <c r="D40" s="886" t="s">
        <v>70</v>
      </c>
      <c r="E40" s="1130" t="s">
        <v>3895</v>
      </c>
      <c r="F40" s="411"/>
      <c r="G40" s="411"/>
      <c r="H40" s="3930"/>
      <c r="I40" s="3930"/>
      <c r="J40" s="3930"/>
      <c r="K40" s="2812"/>
      <c r="L40" s="3930"/>
      <c r="M40" s="3915"/>
      <c r="N40" s="3933"/>
      <c r="O40" s="3915"/>
      <c r="P40" s="3918"/>
      <c r="Q40" s="387"/>
      <c r="R40" s="299"/>
      <c r="S40" s="3910"/>
    </row>
    <row r="41" spans="1:22" x14ac:dyDescent="0.2">
      <c r="A41" s="409" t="s">
        <v>495</v>
      </c>
      <c r="B41" s="409" t="s">
        <v>493</v>
      </c>
      <c r="C41" s="409" t="s">
        <v>494</v>
      </c>
      <c r="D41" s="886" t="s">
        <v>70</v>
      </c>
      <c r="E41" s="1130" t="s">
        <v>3895</v>
      </c>
      <c r="F41" s="411"/>
      <c r="G41" s="411"/>
      <c r="H41" s="3930"/>
      <c r="I41" s="3930"/>
      <c r="J41" s="3930"/>
      <c r="K41" s="2812"/>
      <c r="L41" s="3930"/>
      <c r="M41" s="3915"/>
      <c r="N41" s="3933"/>
      <c r="O41" s="3915"/>
      <c r="P41" s="3918"/>
      <c r="Q41" s="257"/>
      <c r="R41" s="299"/>
      <c r="S41" s="3910"/>
    </row>
    <row r="42" spans="1:22" x14ac:dyDescent="0.2">
      <c r="A42" s="409" t="s">
        <v>498</v>
      </c>
      <c r="B42" s="409" t="s">
        <v>496</v>
      </c>
      <c r="C42" s="409" t="s">
        <v>2434</v>
      </c>
      <c r="D42" s="886" t="s">
        <v>70</v>
      </c>
      <c r="E42" s="1130" t="s">
        <v>3895</v>
      </c>
      <c r="F42" s="411"/>
      <c r="G42" s="411"/>
      <c r="H42" s="3930"/>
      <c r="I42" s="3930"/>
      <c r="J42" s="3930"/>
      <c r="K42" s="2812"/>
      <c r="L42" s="3930"/>
      <c r="M42" s="3915"/>
      <c r="N42" s="3933"/>
      <c r="O42" s="3915"/>
      <c r="P42" s="3918"/>
      <c r="Q42" s="257"/>
      <c r="R42" s="299"/>
      <c r="S42" s="3910"/>
    </row>
    <row r="43" spans="1:22" x14ac:dyDescent="0.2">
      <c r="A43" s="409" t="s">
        <v>501</v>
      </c>
      <c r="B43" s="409" t="s">
        <v>499</v>
      </c>
      <c r="C43" s="409" t="s">
        <v>500</v>
      </c>
      <c r="D43" s="886" t="s">
        <v>70</v>
      </c>
      <c r="E43" s="1130" t="s">
        <v>3895</v>
      </c>
      <c r="F43" s="411"/>
      <c r="G43" s="411"/>
      <c r="H43" s="3930"/>
      <c r="I43" s="3930"/>
      <c r="J43" s="3930"/>
      <c r="K43" s="2812"/>
      <c r="L43" s="3930"/>
      <c r="M43" s="3915"/>
      <c r="N43" s="3933"/>
      <c r="O43" s="3915"/>
      <c r="P43" s="3918"/>
      <c r="Q43" s="387"/>
      <c r="R43" s="299"/>
      <c r="S43" s="3910"/>
    </row>
    <row r="44" spans="1:22" x14ac:dyDescent="0.2">
      <c r="A44" s="409" t="s">
        <v>2435</v>
      </c>
      <c r="B44" s="409" t="s">
        <v>502</v>
      </c>
      <c r="C44" s="409" t="s">
        <v>478</v>
      </c>
      <c r="D44" s="886" t="s">
        <v>70</v>
      </c>
      <c r="E44" s="1130" t="s">
        <v>3895</v>
      </c>
      <c r="F44" s="2758"/>
      <c r="G44" s="2531"/>
      <c r="H44" s="3931"/>
      <c r="I44" s="3931"/>
      <c r="J44" s="3931"/>
      <c r="K44" s="2815"/>
      <c r="L44" s="3931"/>
      <c r="M44" s="3916"/>
      <c r="N44" s="3934"/>
      <c r="O44" s="3916"/>
      <c r="P44" s="3919"/>
      <c r="Q44" s="2247"/>
      <c r="R44" s="299"/>
      <c r="S44" s="3911"/>
    </row>
    <row r="45" spans="1:22" x14ac:dyDescent="0.2">
      <c r="A45" s="848" t="s">
        <v>503</v>
      </c>
      <c r="B45" s="914" t="s">
        <v>504</v>
      </c>
      <c r="C45" s="100" t="s">
        <v>505</v>
      </c>
      <c r="D45" s="973" t="s">
        <v>70</v>
      </c>
      <c r="E45" s="973" t="s">
        <v>3895</v>
      </c>
      <c r="F45" s="597"/>
      <c r="G45" s="597"/>
      <c r="H45" s="1438"/>
      <c r="I45" s="1438"/>
      <c r="J45" s="597"/>
      <c r="K45" s="2813"/>
      <c r="L45" s="597"/>
      <c r="M45" s="597"/>
      <c r="N45" s="3052"/>
      <c r="O45" s="1438">
        <f>SUM(O46:O48)</f>
        <v>0</v>
      </c>
      <c r="P45" s="1438">
        <f>SUM(P46:P48)</f>
        <v>0</v>
      </c>
      <c r="Q45" s="600"/>
      <c r="R45" s="113"/>
      <c r="S45" s="3480">
        <f>SUM(S46:S47)</f>
        <v>0</v>
      </c>
      <c r="V45" s="3472">
        <f t="shared" ref="V45:V46" si="2">P45-S45</f>
        <v>0</v>
      </c>
    </row>
    <row r="46" spans="1:22" x14ac:dyDescent="0.2">
      <c r="A46" s="409" t="s">
        <v>506</v>
      </c>
      <c r="B46" s="409" t="s">
        <v>507</v>
      </c>
      <c r="C46" s="409" t="s">
        <v>508</v>
      </c>
      <c r="D46" s="886" t="s">
        <v>70</v>
      </c>
      <c r="E46" s="1130" t="s">
        <v>3895</v>
      </c>
      <c r="F46" s="2711"/>
      <c r="G46" s="2531"/>
      <c r="H46" s="3929"/>
      <c r="I46" s="3929"/>
      <c r="J46" s="3929"/>
      <c r="K46" s="2711"/>
      <c r="L46" s="3929"/>
      <c r="M46" s="3914"/>
      <c r="N46" s="3932"/>
      <c r="O46" s="3914"/>
      <c r="P46" s="3917">
        <f>N46*O46</f>
        <v>0</v>
      </c>
      <c r="Q46" s="2532"/>
      <c r="R46" s="299"/>
      <c r="S46" s="3926"/>
      <c r="V46" s="3472">
        <f t="shared" si="2"/>
        <v>0</v>
      </c>
    </row>
    <row r="47" spans="1:22" x14ac:dyDescent="0.2">
      <c r="A47" s="409" t="s">
        <v>509</v>
      </c>
      <c r="B47" s="409" t="s">
        <v>510</v>
      </c>
      <c r="C47" s="409" t="s">
        <v>511</v>
      </c>
      <c r="D47" s="886" t="s">
        <v>70</v>
      </c>
      <c r="E47" s="1130" t="s">
        <v>3895</v>
      </c>
      <c r="F47" s="2711"/>
      <c r="G47" s="2531"/>
      <c r="H47" s="3930"/>
      <c r="I47" s="3930"/>
      <c r="J47" s="3930"/>
      <c r="K47" s="2711"/>
      <c r="L47" s="3930"/>
      <c r="M47" s="3915"/>
      <c r="N47" s="3933"/>
      <c r="O47" s="3915"/>
      <c r="P47" s="3918"/>
      <c r="Q47" s="2532"/>
      <c r="R47" s="299"/>
      <c r="S47" s="3927"/>
    </row>
    <row r="48" spans="1:22" x14ac:dyDescent="0.2">
      <c r="A48" s="1417" t="s">
        <v>512</v>
      </c>
      <c r="B48" s="1417" t="s">
        <v>513</v>
      </c>
      <c r="C48" s="1417" t="s">
        <v>514</v>
      </c>
      <c r="D48" s="1418" t="s">
        <v>70</v>
      </c>
      <c r="E48" s="1418" t="s">
        <v>3895</v>
      </c>
      <c r="F48" s="2759"/>
      <c r="G48" s="2760"/>
      <c r="H48" s="3930"/>
      <c r="I48" s="3930"/>
      <c r="J48" s="3930"/>
      <c r="K48" s="2816"/>
      <c r="L48" s="3930"/>
      <c r="M48" s="3915"/>
      <c r="N48" s="3933"/>
      <c r="O48" s="3915"/>
      <c r="P48" s="3918"/>
      <c r="Q48" s="2761"/>
      <c r="R48" s="125"/>
      <c r="S48" s="3927"/>
    </row>
    <row r="49" spans="1:22" x14ac:dyDescent="0.2">
      <c r="A49" s="409" t="s">
        <v>4309</v>
      </c>
      <c r="B49" s="409" t="s">
        <v>515</v>
      </c>
      <c r="C49" s="409" t="s">
        <v>516</v>
      </c>
      <c r="D49" s="886" t="s">
        <v>70</v>
      </c>
      <c r="E49" s="1130" t="s">
        <v>3895</v>
      </c>
      <c r="F49" s="2758"/>
      <c r="G49" s="2758"/>
      <c r="H49" s="3930"/>
      <c r="I49" s="3930"/>
      <c r="J49" s="3930"/>
      <c r="K49" s="2815"/>
      <c r="L49" s="3930"/>
      <c r="M49" s="3915"/>
      <c r="N49" s="3933"/>
      <c r="O49" s="3915"/>
      <c r="P49" s="3918"/>
      <c r="Q49" s="2762"/>
      <c r="R49" s="299"/>
      <c r="S49" s="3927"/>
    </row>
    <row r="50" spans="1:22" x14ac:dyDescent="0.2">
      <c r="A50" s="409" t="s">
        <v>4310</v>
      </c>
      <c r="B50" s="409" t="s">
        <v>517</v>
      </c>
      <c r="C50" s="409" t="s">
        <v>518</v>
      </c>
      <c r="D50" s="886" t="s">
        <v>70</v>
      </c>
      <c r="E50" s="1130" t="s">
        <v>3895</v>
      </c>
      <c r="F50" s="2758"/>
      <c r="G50" s="2758"/>
      <c r="H50" s="3930"/>
      <c r="I50" s="3930"/>
      <c r="J50" s="3930"/>
      <c r="K50" s="2815"/>
      <c r="L50" s="3930"/>
      <c r="M50" s="3915"/>
      <c r="N50" s="3933"/>
      <c r="O50" s="3915"/>
      <c r="P50" s="3918"/>
      <c r="Q50" s="2762"/>
      <c r="R50" s="299"/>
      <c r="S50" s="3927"/>
    </row>
    <row r="51" spans="1:22" x14ac:dyDescent="0.2">
      <c r="A51" s="409" t="s">
        <v>4311</v>
      </c>
      <c r="B51" s="409" t="s">
        <v>519</v>
      </c>
      <c r="C51" s="409" t="s">
        <v>520</v>
      </c>
      <c r="D51" s="886" t="s">
        <v>70</v>
      </c>
      <c r="E51" s="1130" t="s">
        <v>3895</v>
      </c>
      <c r="F51" s="2758"/>
      <c r="G51" s="2531"/>
      <c r="H51" s="3930"/>
      <c r="I51" s="3930"/>
      <c r="J51" s="3930"/>
      <c r="K51" s="2815"/>
      <c r="L51" s="3930"/>
      <c r="M51" s="3915"/>
      <c r="N51" s="3933"/>
      <c r="O51" s="3915"/>
      <c r="P51" s="3918"/>
      <c r="Q51" s="2532"/>
      <c r="R51" s="299"/>
      <c r="S51" s="3927"/>
    </row>
    <row r="52" spans="1:22" x14ac:dyDescent="0.2">
      <c r="A52" s="409" t="s">
        <v>4312</v>
      </c>
      <c r="B52" s="409" t="s">
        <v>521</v>
      </c>
      <c r="C52" s="409" t="s">
        <v>307</v>
      </c>
      <c r="D52" s="886" t="s">
        <v>70</v>
      </c>
      <c r="E52" s="1130" t="s">
        <v>3895</v>
      </c>
      <c r="F52" s="2758"/>
      <c r="G52" s="2758"/>
      <c r="H52" s="3931"/>
      <c r="I52" s="3931"/>
      <c r="J52" s="3931"/>
      <c r="K52" s="2815"/>
      <c r="L52" s="3931"/>
      <c r="M52" s="3916"/>
      <c r="N52" s="3934"/>
      <c r="O52" s="3916"/>
      <c r="P52" s="3919"/>
      <c r="Q52" s="387"/>
      <c r="R52" s="299"/>
      <c r="S52" s="3928"/>
    </row>
    <row r="53" spans="1:22" x14ac:dyDescent="0.2">
      <c r="A53" s="848" t="s">
        <v>522</v>
      </c>
      <c r="B53" s="914" t="s">
        <v>523</v>
      </c>
      <c r="C53" s="100" t="s">
        <v>524</v>
      </c>
      <c r="D53" s="973" t="s">
        <v>70</v>
      </c>
      <c r="E53" s="973" t="s">
        <v>3895</v>
      </c>
      <c r="F53" s="252"/>
      <c r="G53" s="252"/>
      <c r="H53" s="1438"/>
      <c r="I53" s="1438"/>
      <c r="J53" s="252"/>
      <c r="K53" s="2813"/>
      <c r="L53" s="252"/>
      <c r="M53" s="252"/>
      <c r="N53" s="1438"/>
      <c r="O53" s="1438">
        <f>SUM(O54:O55)</f>
        <v>0</v>
      </c>
      <c r="P53" s="1438">
        <f>SUM(P54:P55)</f>
        <v>0</v>
      </c>
      <c r="Q53" s="113"/>
      <c r="R53" s="113"/>
      <c r="S53" s="3481">
        <f>SUM(S54:S55)</f>
        <v>0</v>
      </c>
      <c r="V53" s="3472">
        <f t="shared" ref="V53:V54" si="3">P53-S53</f>
        <v>0</v>
      </c>
    </row>
    <row r="54" spans="1:22" x14ac:dyDescent="0.2">
      <c r="A54" s="1245" t="s">
        <v>3346</v>
      </c>
      <c r="B54" s="976"/>
      <c r="C54" s="441" t="s">
        <v>3339</v>
      </c>
      <c r="D54" s="886" t="s">
        <v>70</v>
      </c>
      <c r="E54" s="1136" t="s">
        <v>3895</v>
      </c>
      <c r="F54" s="2758"/>
      <c r="G54" s="2763"/>
      <c r="H54" s="3942"/>
      <c r="I54" s="3942"/>
      <c r="J54" s="3940"/>
      <c r="K54" s="2815"/>
      <c r="L54" s="3940"/>
      <c r="M54" s="3914"/>
      <c r="N54" s="3932"/>
      <c r="O54" s="3914"/>
      <c r="P54" s="3917">
        <f>N54*O54</f>
        <v>0</v>
      </c>
      <c r="Q54" s="2764"/>
      <c r="R54" s="114"/>
      <c r="S54" s="3912"/>
      <c r="V54" s="3472">
        <f t="shared" si="3"/>
        <v>0</v>
      </c>
    </row>
    <row r="55" spans="1:22" x14ac:dyDescent="0.2">
      <c r="A55" s="1245" t="s">
        <v>3347</v>
      </c>
      <c r="B55" s="976"/>
      <c r="C55" s="441" t="s">
        <v>3340</v>
      </c>
      <c r="D55" s="886" t="s">
        <v>70</v>
      </c>
      <c r="E55" s="1136" t="s">
        <v>3895</v>
      </c>
      <c r="F55" s="596"/>
      <c r="G55" s="596"/>
      <c r="H55" s="3943"/>
      <c r="I55" s="3943"/>
      <c r="J55" s="3941"/>
      <c r="K55" s="2812"/>
      <c r="L55" s="3941"/>
      <c r="M55" s="3916"/>
      <c r="N55" s="3934"/>
      <c r="O55" s="3916"/>
      <c r="P55" s="3919"/>
      <c r="Q55" s="257"/>
      <c r="R55" s="114"/>
      <c r="S55" s="3913"/>
    </row>
    <row r="56" spans="1:22" x14ac:dyDescent="0.2">
      <c r="A56" s="848" t="s">
        <v>525</v>
      </c>
      <c r="B56" s="914" t="s">
        <v>526</v>
      </c>
      <c r="C56" s="100" t="s">
        <v>527</v>
      </c>
      <c r="D56" s="973" t="s">
        <v>70</v>
      </c>
      <c r="E56" s="973" t="s">
        <v>3895</v>
      </c>
      <c r="F56" s="2765"/>
      <c r="G56" s="2766"/>
      <c r="H56" s="1438"/>
      <c r="I56" s="252"/>
      <c r="J56" s="252"/>
      <c r="K56" s="2817"/>
      <c r="L56" s="252"/>
      <c r="M56" s="252"/>
      <c r="N56" s="1438"/>
      <c r="O56" s="1438">
        <f>SUM(O57:O59)</f>
        <v>0</v>
      </c>
      <c r="P56" s="1438">
        <f>SUM(P57:P59)</f>
        <v>0</v>
      </c>
      <c r="Q56" s="113"/>
      <c r="R56" s="113"/>
      <c r="S56" s="3480">
        <f>SUM(S57:S59)</f>
        <v>0</v>
      </c>
      <c r="V56" s="3472">
        <f t="shared" ref="V56:V57" si="4">P56-S56</f>
        <v>0</v>
      </c>
    </row>
    <row r="57" spans="1:22" x14ac:dyDescent="0.2">
      <c r="A57" s="409" t="s">
        <v>528</v>
      </c>
      <c r="B57" s="409" t="s">
        <v>529</v>
      </c>
      <c r="C57" s="409" t="s">
        <v>530</v>
      </c>
      <c r="D57" s="886" t="s">
        <v>70</v>
      </c>
      <c r="E57" s="1130" t="s">
        <v>3895</v>
      </c>
      <c r="F57" s="2758"/>
      <c r="G57" s="2531"/>
      <c r="H57" s="3929"/>
      <c r="I57" s="3929"/>
      <c r="J57" s="3929"/>
      <c r="K57" s="2815"/>
      <c r="L57" s="3929"/>
      <c r="M57" s="3914"/>
      <c r="N57" s="3932"/>
      <c r="O57" s="3914"/>
      <c r="P57" s="3917">
        <f>N57*O57</f>
        <v>0</v>
      </c>
      <c r="Q57" s="2532"/>
      <c r="R57" s="299"/>
      <c r="S57" s="3909"/>
      <c r="V57" s="3472">
        <f t="shared" si="4"/>
        <v>0</v>
      </c>
    </row>
    <row r="58" spans="1:22" x14ac:dyDescent="0.2">
      <c r="A58" s="409" t="s">
        <v>531</v>
      </c>
      <c r="B58" s="409" t="s">
        <v>532</v>
      </c>
      <c r="C58" s="409" t="s">
        <v>533</v>
      </c>
      <c r="D58" s="886" t="s">
        <v>70</v>
      </c>
      <c r="E58" s="1130" t="s">
        <v>70</v>
      </c>
      <c r="F58" s="2758"/>
      <c r="G58" s="2531"/>
      <c r="H58" s="3930"/>
      <c r="I58" s="3930"/>
      <c r="J58" s="3930"/>
      <c r="K58" s="2815"/>
      <c r="L58" s="3930"/>
      <c r="M58" s="3915"/>
      <c r="N58" s="3933"/>
      <c r="O58" s="3915"/>
      <c r="P58" s="3918"/>
      <c r="Q58" s="2532"/>
      <c r="R58" s="299"/>
      <c r="S58" s="3910"/>
    </row>
    <row r="59" spans="1:22" x14ac:dyDescent="0.2">
      <c r="A59" s="409" t="s">
        <v>534</v>
      </c>
      <c r="B59" s="409" t="s">
        <v>535</v>
      </c>
      <c r="C59" s="409" t="s">
        <v>307</v>
      </c>
      <c r="D59" s="886" t="s">
        <v>70</v>
      </c>
      <c r="E59" s="1130" t="s">
        <v>70</v>
      </c>
      <c r="F59" s="2758"/>
      <c r="G59" s="2531"/>
      <c r="H59" s="3931"/>
      <c r="I59" s="3931"/>
      <c r="J59" s="3931"/>
      <c r="K59" s="2815"/>
      <c r="L59" s="3931"/>
      <c r="M59" s="3916"/>
      <c r="N59" s="3934"/>
      <c r="O59" s="3916"/>
      <c r="P59" s="3919"/>
      <c r="Q59" s="2532"/>
      <c r="R59" s="299"/>
      <c r="S59" s="3911"/>
    </row>
    <row r="60" spans="1:22" ht="30" x14ac:dyDescent="0.2">
      <c r="A60" s="848" t="s">
        <v>536</v>
      </c>
      <c r="B60" s="914" t="s">
        <v>537</v>
      </c>
      <c r="C60" s="100" t="s">
        <v>538</v>
      </c>
      <c r="D60" s="973" t="s">
        <v>70</v>
      </c>
      <c r="E60" s="973" t="s">
        <v>3895</v>
      </c>
      <c r="F60" s="2765"/>
      <c r="G60" s="2766"/>
      <c r="H60" s="1438"/>
      <c r="I60" s="1438"/>
      <c r="J60" s="252"/>
      <c r="K60" s="2817"/>
      <c r="L60" s="252"/>
      <c r="M60" s="252"/>
      <c r="N60" s="1438"/>
      <c r="O60" s="1438"/>
      <c r="P60" s="1438">
        <f>P61+P67</f>
        <v>0</v>
      </c>
      <c r="Q60" s="2770"/>
      <c r="R60" s="113"/>
      <c r="S60" s="3480">
        <f>S61+S67</f>
        <v>0</v>
      </c>
      <c r="V60" s="3472">
        <f t="shared" ref="V60:V62" si="5">P60-S60</f>
        <v>0</v>
      </c>
    </row>
    <row r="61" spans="1:22" x14ac:dyDescent="0.2">
      <c r="A61" s="1419" t="s">
        <v>539</v>
      </c>
      <c r="B61" s="1420" t="s">
        <v>540</v>
      </c>
      <c r="C61" s="1419" t="s">
        <v>541</v>
      </c>
      <c r="D61" s="1421" t="s">
        <v>70</v>
      </c>
      <c r="E61" s="1421" t="s">
        <v>96</v>
      </c>
      <c r="F61" s="2767"/>
      <c r="G61" s="2768"/>
      <c r="H61" s="1439"/>
      <c r="I61" s="1439"/>
      <c r="J61" s="305"/>
      <c r="K61" s="2818"/>
      <c r="L61" s="305"/>
      <c r="M61" s="305"/>
      <c r="N61" s="1439"/>
      <c r="O61" s="1439"/>
      <c r="P61" s="1439">
        <f>SUM(P62:P66)</f>
        <v>0</v>
      </c>
      <c r="Q61" s="2771"/>
      <c r="R61" s="403"/>
      <c r="S61" s="3482">
        <f>SUM(S62:S66)</f>
        <v>0</v>
      </c>
      <c r="V61" s="3472">
        <f t="shared" si="5"/>
        <v>0</v>
      </c>
    </row>
    <row r="62" spans="1:22" x14ac:dyDescent="0.2">
      <c r="A62" s="1424" t="s">
        <v>4313</v>
      </c>
      <c r="B62" s="409" t="s">
        <v>543</v>
      </c>
      <c r="C62" s="409" t="s">
        <v>544</v>
      </c>
      <c r="D62" s="886" t="s">
        <v>70</v>
      </c>
      <c r="E62" s="1130" t="s">
        <v>96</v>
      </c>
      <c r="F62" s="2758"/>
      <c r="G62" s="2769"/>
      <c r="H62" s="3929"/>
      <c r="I62" s="3929"/>
      <c r="J62" s="3929"/>
      <c r="K62" s="2815"/>
      <c r="L62" s="3929"/>
      <c r="M62" s="3914"/>
      <c r="N62" s="3932"/>
      <c r="O62" s="3914"/>
      <c r="P62" s="3917">
        <f>N62*O62</f>
        <v>0</v>
      </c>
      <c r="Q62" s="2762"/>
      <c r="R62" s="299"/>
      <c r="S62" s="3909"/>
      <c r="V62" s="3472">
        <f t="shared" si="5"/>
        <v>0</v>
      </c>
    </row>
    <row r="63" spans="1:22" x14ac:dyDescent="0.2">
      <c r="A63" s="1424" t="s">
        <v>4314</v>
      </c>
      <c r="B63" s="409" t="s">
        <v>545</v>
      </c>
      <c r="C63" s="409" t="s">
        <v>546</v>
      </c>
      <c r="D63" s="886" t="s">
        <v>70</v>
      </c>
      <c r="E63" s="1130" t="s">
        <v>96</v>
      </c>
      <c r="F63" s="2534"/>
      <c r="G63" s="2531"/>
      <c r="H63" s="3930"/>
      <c r="I63" s="3930"/>
      <c r="J63" s="3930"/>
      <c r="K63" s="2713"/>
      <c r="L63" s="3930"/>
      <c r="M63" s="3915"/>
      <c r="N63" s="3933"/>
      <c r="O63" s="3915"/>
      <c r="P63" s="3918"/>
      <c r="Q63" s="2764"/>
      <c r="R63" s="3421"/>
      <c r="S63" s="3910"/>
    </row>
    <row r="64" spans="1:22" x14ac:dyDescent="0.2">
      <c r="A64" s="1424" t="s">
        <v>4315</v>
      </c>
      <c r="B64" s="409" t="s">
        <v>547</v>
      </c>
      <c r="C64" s="409" t="s">
        <v>548</v>
      </c>
      <c r="D64" s="886" t="s">
        <v>70</v>
      </c>
      <c r="E64" s="1130" t="s">
        <v>96</v>
      </c>
      <c r="F64" s="2534"/>
      <c r="G64" s="2531"/>
      <c r="H64" s="3930"/>
      <c r="I64" s="3930"/>
      <c r="J64" s="3930"/>
      <c r="K64" s="2713"/>
      <c r="L64" s="3930"/>
      <c r="M64" s="3915"/>
      <c r="N64" s="3933"/>
      <c r="O64" s="3915"/>
      <c r="P64" s="3918"/>
      <c r="Q64" s="2764"/>
      <c r="R64" s="3421"/>
      <c r="S64" s="3910"/>
    </row>
    <row r="65" spans="1:22" x14ac:dyDescent="0.2">
      <c r="A65" s="1424" t="s">
        <v>4316</v>
      </c>
      <c r="B65" s="409" t="s">
        <v>549</v>
      </c>
      <c r="C65" s="409" t="s">
        <v>550</v>
      </c>
      <c r="D65" s="886" t="s">
        <v>70</v>
      </c>
      <c r="E65" s="1130" t="s">
        <v>96</v>
      </c>
      <c r="F65" s="2534"/>
      <c r="G65" s="2531"/>
      <c r="H65" s="3930"/>
      <c r="I65" s="3930"/>
      <c r="J65" s="3930"/>
      <c r="K65" s="2713"/>
      <c r="L65" s="3930"/>
      <c r="M65" s="3915"/>
      <c r="N65" s="3933"/>
      <c r="O65" s="3915"/>
      <c r="P65" s="3918"/>
      <c r="Q65" s="2764"/>
      <c r="R65" s="3421"/>
      <c r="S65" s="3910"/>
    </row>
    <row r="66" spans="1:22" x14ac:dyDescent="0.2">
      <c r="A66" s="1424" t="s">
        <v>4317</v>
      </c>
      <c r="B66" s="409" t="s">
        <v>551</v>
      </c>
      <c r="C66" s="409" t="s">
        <v>552</v>
      </c>
      <c r="D66" s="886" t="s">
        <v>70</v>
      </c>
      <c r="E66" s="1130" t="s">
        <v>96</v>
      </c>
      <c r="F66" s="2534"/>
      <c r="G66" s="2531"/>
      <c r="H66" s="3931"/>
      <c r="I66" s="3931"/>
      <c r="J66" s="3931"/>
      <c r="K66" s="2713"/>
      <c r="L66" s="3931"/>
      <c r="M66" s="3916"/>
      <c r="N66" s="3934"/>
      <c r="O66" s="3916"/>
      <c r="P66" s="3919"/>
      <c r="Q66" s="2764"/>
      <c r="R66" s="3421"/>
      <c r="S66" s="3911"/>
    </row>
    <row r="67" spans="1:22" x14ac:dyDescent="0.2">
      <c r="A67" s="1419" t="s">
        <v>542</v>
      </c>
      <c r="B67" s="1420" t="s">
        <v>553</v>
      </c>
      <c r="C67" s="1419" t="s">
        <v>554</v>
      </c>
      <c r="D67" s="1421" t="s">
        <v>70</v>
      </c>
      <c r="E67" s="1421" t="s">
        <v>96</v>
      </c>
      <c r="F67" s="2767"/>
      <c r="G67" s="2768"/>
      <c r="H67" s="1439"/>
      <c r="I67" s="1439"/>
      <c r="J67" s="305"/>
      <c r="K67" s="2818"/>
      <c r="L67" s="305"/>
      <c r="M67" s="305"/>
      <c r="N67" s="1439"/>
      <c r="O67" s="1439">
        <f>SUM(O68:O79)</f>
        <v>0</v>
      </c>
      <c r="P67" s="1439">
        <f>SUM(P68:P79)</f>
        <v>0</v>
      </c>
      <c r="Q67" s="2771"/>
      <c r="R67" s="403"/>
      <c r="S67" s="3482">
        <f>SUM(S68:S79)</f>
        <v>0</v>
      </c>
      <c r="V67" s="3472">
        <f t="shared" ref="V67:V68" si="6">P67-S67</f>
        <v>0</v>
      </c>
    </row>
    <row r="68" spans="1:22" x14ac:dyDescent="0.2">
      <c r="A68" s="1424" t="s">
        <v>4318</v>
      </c>
      <c r="B68" s="409" t="s">
        <v>555</v>
      </c>
      <c r="C68" s="409" t="s">
        <v>556</v>
      </c>
      <c r="D68" s="886" t="s">
        <v>70</v>
      </c>
      <c r="E68" s="1130" t="s">
        <v>96</v>
      </c>
      <c r="F68" s="2711"/>
      <c r="G68" s="2531"/>
      <c r="H68" s="3929"/>
      <c r="I68" s="3929"/>
      <c r="J68" s="3929"/>
      <c r="K68" s="2711"/>
      <c r="L68" s="3929"/>
      <c r="M68" s="3914"/>
      <c r="N68" s="3932"/>
      <c r="O68" s="3914"/>
      <c r="P68" s="3917">
        <f>N68*O68</f>
        <v>0</v>
      </c>
      <c r="Q68" s="2764"/>
      <c r="R68" s="3461"/>
      <c r="S68" s="3909"/>
      <c r="V68" s="3472">
        <f t="shared" si="6"/>
        <v>0</v>
      </c>
    </row>
    <row r="69" spans="1:22" x14ac:dyDescent="0.2">
      <c r="A69" s="1424" t="s">
        <v>4319</v>
      </c>
      <c r="B69" s="409" t="s">
        <v>557</v>
      </c>
      <c r="C69" s="409" t="s">
        <v>558</v>
      </c>
      <c r="D69" s="886" t="s">
        <v>70</v>
      </c>
      <c r="E69" s="1130" t="s">
        <v>96</v>
      </c>
      <c r="F69" s="2711"/>
      <c r="G69" s="2531"/>
      <c r="H69" s="3930"/>
      <c r="I69" s="3930"/>
      <c r="J69" s="3930"/>
      <c r="K69" s="2711"/>
      <c r="L69" s="3930"/>
      <c r="M69" s="3915"/>
      <c r="N69" s="3933"/>
      <c r="O69" s="3915"/>
      <c r="P69" s="3918"/>
      <c r="Q69" s="2764"/>
      <c r="R69" s="3461"/>
      <c r="S69" s="3910"/>
    </row>
    <row r="70" spans="1:22" x14ac:dyDescent="0.2">
      <c r="A70" s="1424" t="s">
        <v>4320</v>
      </c>
      <c r="B70" s="409" t="s">
        <v>559</v>
      </c>
      <c r="C70" s="409" t="s">
        <v>560</v>
      </c>
      <c r="D70" s="886" t="s">
        <v>70</v>
      </c>
      <c r="E70" s="1130" t="s">
        <v>96</v>
      </c>
      <c r="F70" s="2711"/>
      <c r="G70" s="2531"/>
      <c r="H70" s="3930"/>
      <c r="I70" s="3930"/>
      <c r="J70" s="3930"/>
      <c r="K70" s="2711"/>
      <c r="L70" s="3930"/>
      <c r="M70" s="3915"/>
      <c r="N70" s="3933"/>
      <c r="O70" s="3915"/>
      <c r="P70" s="3918"/>
      <c r="Q70" s="2764"/>
      <c r="R70" s="3461"/>
      <c r="S70" s="3910"/>
    </row>
    <row r="71" spans="1:22" x14ac:dyDescent="0.2">
      <c r="A71" s="1424" t="s">
        <v>4321</v>
      </c>
      <c r="B71" s="409" t="s">
        <v>561</v>
      </c>
      <c r="C71" s="409" t="s">
        <v>548</v>
      </c>
      <c r="D71" s="886" t="s">
        <v>70</v>
      </c>
      <c r="E71" s="1130" t="s">
        <v>96</v>
      </c>
      <c r="F71" s="2711"/>
      <c r="G71" s="2531"/>
      <c r="H71" s="3930"/>
      <c r="I71" s="3930"/>
      <c r="J71" s="3930"/>
      <c r="K71" s="2711"/>
      <c r="L71" s="3930"/>
      <c r="M71" s="3915"/>
      <c r="N71" s="3933"/>
      <c r="O71" s="3915"/>
      <c r="P71" s="3918"/>
      <c r="Q71" s="2764"/>
      <c r="R71" s="3460"/>
      <c r="S71" s="3910"/>
    </row>
    <row r="72" spans="1:22" x14ac:dyDescent="0.2">
      <c r="A72" s="1424" t="s">
        <v>4322</v>
      </c>
      <c r="B72" s="409" t="s">
        <v>562</v>
      </c>
      <c r="C72" s="409" t="s">
        <v>563</v>
      </c>
      <c r="D72" s="886" t="s">
        <v>70</v>
      </c>
      <c r="E72" s="1130" t="s">
        <v>96</v>
      </c>
      <c r="F72" s="2711"/>
      <c r="G72" s="2531"/>
      <c r="H72" s="3930"/>
      <c r="I72" s="3930"/>
      <c r="J72" s="3930"/>
      <c r="K72" s="2711"/>
      <c r="L72" s="3930"/>
      <c r="M72" s="3915"/>
      <c r="N72" s="3933"/>
      <c r="O72" s="3915"/>
      <c r="P72" s="3918"/>
      <c r="Q72" s="2764"/>
      <c r="R72" s="3461"/>
      <c r="S72" s="3910"/>
    </row>
    <row r="73" spans="1:22" x14ac:dyDescent="0.2">
      <c r="A73" s="1424" t="s">
        <v>4323</v>
      </c>
      <c r="B73" s="409" t="s">
        <v>564</v>
      </c>
      <c r="C73" s="409" t="s">
        <v>565</v>
      </c>
      <c r="D73" s="886" t="s">
        <v>70</v>
      </c>
      <c r="E73" s="1130" t="s">
        <v>96</v>
      </c>
      <c r="F73" s="2711"/>
      <c r="G73" s="2531"/>
      <c r="H73" s="3930"/>
      <c r="I73" s="3930"/>
      <c r="J73" s="3930"/>
      <c r="K73" s="2711"/>
      <c r="L73" s="3930"/>
      <c r="M73" s="3915"/>
      <c r="N73" s="3933"/>
      <c r="O73" s="3915"/>
      <c r="P73" s="3918"/>
      <c r="Q73" s="2764"/>
      <c r="R73" s="3461"/>
      <c r="S73" s="3910"/>
    </row>
    <row r="74" spans="1:22" x14ac:dyDescent="0.2">
      <c r="A74" s="1424" t="s">
        <v>4324</v>
      </c>
      <c r="B74" s="409" t="s">
        <v>566</v>
      </c>
      <c r="C74" s="409" t="s">
        <v>567</v>
      </c>
      <c r="D74" s="886" t="s">
        <v>70</v>
      </c>
      <c r="E74" s="1130" t="s">
        <v>96</v>
      </c>
      <c r="F74" s="2711"/>
      <c r="G74" s="2531"/>
      <c r="H74" s="3930"/>
      <c r="I74" s="3930"/>
      <c r="J74" s="3930"/>
      <c r="K74" s="2711"/>
      <c r="L74" s="3930"/>
      <c r="M74" s="3915"/>
      <c r="N74" s="3933"/>
      <c r="O74" s="3915"/>
      <c r="P74" s="3918"/>
      <c r="Q74" s="2764"/>
      <c r="R74" s="3473"/>
      <c r="S74" s="3910"/>
    </row>
    <row r="75" spans="1:22" x14ac:dyDescent="0.2">
      <c r="A75" s="1424" t="s">
        <v>4325</v>
      </c>
      <c r="B75" s="409" t="s">
        <v>568</v>
      </c>
      <c r="C75" s="409" t="s">
        <v>569</v>
      </c>
      <c r="D75" s="886" t="s">
        <v>70</v>
      </c>
      <c r="E75" s="1130" t="s">
        <v>96</v>
      </c>
      <c r="F75" s="2711"/>
      <c r="G75" s="2531"/>
      <c r="H75" s="3930"/>
      <c r="I75" s="3930"/>
      <c r="J75" s="3930"/>
      <c r="K75" s="2711"/>
      <c r="L75" s="3930"/>
      <c r="M75" s="3915"/>
      <c r="N75" s="3933"/>
      <c r="O75" s="3915"/>
      <c r="P75" s="3918"/>
      <c r="Q75" s="2764"/>
      <c r="R75" s="3461"/>
      <c r="S75" s="3910"/>
    </row>
    <row r="76" spans="1:22" ht="30" x14ac:dyDescent="0.2">
      <c r="A76" s="1424" t="s">
        <v>4326</v>
      </c>
      <c r="B76" s="409" t="s">
        <v>570</v>
      </c>
      <c r="C76" s="409" t="s">
        <v>571</v>
      </c>
      <c r="D76" s="886" t="s">
        <v>70</v>
      </c>
      <c r="E76" s="1130" t="s">
        <v>96</v>
      </c>
      <c r="F76" s="2711"/>
      <c r="G76" s="2531"/>
      <c r="H76" s="3930"/>
      <c r="I76" s="3930"/>
      <c r="J76" s="3930"/>
      <c r="K76" s="2711"/>
      <c r="L76" s="3930"/>
      <c r="M76" s="3915"/>
      <c r="N76" s="3933"/>
      <c r="O76" s="3915"/>
      <c r="P76" s="3918"/>
      <c r="Q76" s="2764"/>
      <c r="R76" s="3461"/>
      <c r="S76" s="3910"/>
    </row>
    <row r="77" spans="1:22" x14ac:dyDescent="0.2">
      <c r="A77" s="1424" t="s">
        <v>4327</v>
      </c>
      <c r="B77" s="409" t="s">
        <v>572</v>
      </c>
      <c r="C77" s="409" t="s">
        <v>573</v>
      </c>
      <c r="D77" s="886" t="s">
        <v>70</v>
      </c>
      <c r="E77" s="1130" t="s">
        <v>96</v>
      </c>
      <c r="F77" s="2711"/>
      <c r="G77" s="2531"/>
      <c r="H77" s="3930"/>
      <c r="I77" s="3930"/>
      <c r="J77" s="3930"/>
      <c r="K77" s="2711"/>
      <c r="L77" s="3930"/>
      <c r="M77" s="3915"/>
      <c r="N77" s="3933"/>
      <c r="O77" s="3915"/>
      <c r="P77" s="3918"/>
      <c r="Q77" s="2772"/>
      <c r="R77" s="3461"/>
      <c r="S77" s="3910"/>
    </row>
    <row r="78" spans="1:22" x14ac:dyDescent="0.2">
      <c r="A78" s="1424" t="s">
        <v>4328</v>
      </c>
      <c r="B78" s="409" t="s">
        <v>574</v>
      </c>
      <c r="C78" s="409" t="s">
        <v>575</v>
      </c>
      <c r="D78" s="886" t="s">
        <v>70</v>
      </c>
      <c r="E78" s="1130" t="s">
        <v>96</v>
      </c>
      <c r="F78" s="2711"/>
      <c r="G78" s="2531"/>
      <c r="H78" s="3930"/>
      <c r="I78" s="3930"/>
      <c r="J78" s="3930"/>
      <c r="K78" s="2711"/>
      <c r="L78" s="3930"/>
      <c r="M78" s="3915"/>
      <c r="N78" s="3933"/>
      <c r="O78" s="3915"/>
      <c r="P78" s="3918"/>
      <c r="Q78" s="2764"/>
      <c r="R78" s="3461"/>
      <c r="S78" s="3910"/>
    </row>
    <row r="79" spans="1:22" x14ac:dyDescent="0.2">
      <c r="A79" s="1424" t="s">
        <v>4329</v>
      </c>
      <c r="B79" s="409" t="s">
        <v>576</v>
      </c>
      <c r="C79" s="409" t="s">
        <v>577</v>
      </c>
      <c r="D79" s="886" t="s">
        <v>70</v>
      </c>
      <c r="E79" s="1130" t="s">
        <v>96</v>
      </c>
      <c r="F79" s="2711"/>
      <c r="G79" s="2531"/>
      <c r="H79" s="3931"/>
      <c r="I79" s="3931"/>
      <c r="J79" s="3931"/>
      <c r="K79" s="2711"/>
      <c r="L79" s="3931"/>
      <c r="M79" s="3916"/>
      <c r="N79" s="3934"/>
      <c r="O79" s="3916"/>
      <c r="P79" s="3919"/>
      <c r="Q79" s="2764"/>
      <c r="R79" s="3461"/>
      <c r="S79" s="3911"/>
    </row>
    <row r="80" spans="1:22" x14ac:dyDescent="0.2">
      <c r="A80" s="848" t="s">
        <v>578</v>
      </c>
      <c r="B80" s="914" t="s">
        <v>579</v>
      </c>
      <c r="C80" s="100" t="s">
        <v>580</v>
      </c>
      <c r="D80" s="973" t="s">
        <v>70</v>
      </c>
      <c r="E80" s="973" t="s">
        <v>3895</v>
      </c>
      <c r="F80" s="2765"/>
      <c r="G80" s="2766"/>
      <c r="H80" s="1438"/>
      <c r="I80" s="1438"/>
      <c r="J80" s="252"/>
      <c r="K80" s="2817"/>
      <c r="L80" s="252"/>
      <c r="M80" s="252"/>
      <c r="N80" s="1438"/>
      <c r="O80" s="1438"/>
      <c r="P80" s="1438">
        <f>SUM(P81:P86)</f>
        <v>0</v>
      </c>
      <c r="Q80" s="113"/>
      <c r="R80" s="113"/>
      <c r="S80" s="3480">
        <f>SUM(S81:S86)</f>
        <v>0</v>
      </c>
      <c r="V80" s="3472">
        <f t="shared" ref="V80:V81" si="7">P80-S80</f>
        <v>0</v>
      </c>
    </row>
    <row r="81" spans="1:22" x14ac:dyDescent="0.2">
      <c r="A81" s="409" t="s">
        <v>581</v>
      </c>
      <c r="B81" s="409" t="s">
        <v>582</v>
      </c>
      <c r="C81" s="409" t="s">
        <v>524</v>
      </c>
      <c r="D81" s="886" t="s">
        <v>70</v>
      </c>
      <c r="E81" s="1130" t="s">
        <v>3895</v>
      </c>
      <c r="F81" s="2711"/>
      <c r="G81" s="2531"/>
      <c r="H81" s="3914"/>
      <c r="I81" s="3914"/>
      <c r="J81" s="3914"/>
      <c r="K81" s="2711"/>
      <c r="L81" s="3914"/>
      <c r="M81" s="3914"/>
      <c r="N81" s="3932"/>
      <c r="O81" s="3914"/>
      <c r="P81" s="3917">
        <f>N81*O81</f>
        <v>0</v>
      </c>
      <c r="Q81" s="2532"/>
      <c r="R81" s="299"/>
      <c r="S81" s="3909"/>
      <c r="V81" s="3472">
        <f t="shared" si="7"/>
        <v>0</v>
      </c>
    </row>
    <row r="82" spans="1:22" x14ac:dyDescent="0.2">
      <c r="A82" s="409" t="s">
        <v>583</v>
      </c>
      <c r="B82" s="409" t="s">
        <v>584</v>
      </c>
      <c r="C82" s="409" t="s">
        <v>548</v>
      </c>
      <c r="D82" s="886" t="s">
        <v>70</v>
      </c>
      <c r="E82" s="1130" t="s">
        <v>3895</v>
      </c>
      <c r="F82" s="2711"/>
      <c r="G82" s="2531"/>
      <c r="H82" s="3915"/>
      <c r="I82" s="3915"/>
      <c r="J82" s="3915"/>
      <c r="K82" s="2711"/>
      <c r="L82" s="3915"/>
      <c r="M82" s="3915"/>
      <c r="N82" s="3933"/>
      <c r="O82" s="3915"/>
      <c r="P82" s="3918"/>
      <c r="Q82" s="2532"/>
      <c r="R82" s="3421"/>
      <c r="S82" s="3910"/>
    </row>
    <row r="83" spans="1:22" x14ac:dyDescent="0.2">
      <c r="A83" s="409" t="s">
        <v>585</v>
      </c>
      <c r="B83" s="409" t="s">
        <v>586</v>
      </c>
      <c r="C83" s="409" t="s">
        <v>587</v>
      </c>
      <c r="D83" s="886" t="s">
        <v>70</v>
      </c>
      <c r="E83" s="1130" t="s">
        <v>3895</v>
      </c>
      <c r="F83" s="2711"/>
      <c r="G83" s="2531"/>
      <c r="H83" s="3915"/>
      <c r="I83" s="3915"/>
      <c r="J83" s="3915"/>
      <c r="K83" s="2711"/>
      <c r="L83" s="3915"/>
      <c r="M83" s="3915"/>
      <c r="N83" s="3933"/>
      <c r="O83" s="3915"/>
      <c r="P83" s="3918"/>
      <c r="Q83" s="2532"/>
      <c r="R83" s="3421"/>
      <c r="S83" s="3910"/>
    </row>
    <row r="84" spans="1:22" x14ac:dyDescent="0.2">
      <c r="A84" s="405" t="s">
        <v>588</v>
      </c>
      <c r="B84" s="405" t="s">
        <v>589</v>
      </c>
      <c r="C84" s="405" t="s">
        <v>590</v>
      </c>
      <c r="D84" s="1425" t="s">
        <v>70</v>
      </c>
      <c r="E84" s="1425" t="s">
        <v>3895</v>
      </c>
      <c r="F84" s="2773"/>
      <c r="G84" s="2774"/>
      <c r="H84" s="3915"/>
      <c r="I84" s="3915"/>
      <c r="J84" s="3915"/>
      <c r="K84" s="2819"/>
      <c r="L84" s="3915"/>
      <c r="M84" s="3915"/>
      <c r="N84" s="3933"/>
      <c r="O84" s="3915"/>
      <c r="P84" s="3918"/>
      <c r="Q84" s="2778"/>
      <c r="R84" s="1444"/>
      <c r="S84" s="3910"/>
    </row>
    <row r="85" spans="1:22" x14ac:dyDescent="0.2">
      <c r="A85" s="409" t="s">
        <v>591</v>
      </c>
      <c r="B85" s="409" t="s">
        <v>592</v>
      </c>
      <c r="C85" s="409" t="s">
        <v>593</v>
      </c>
      <c r="D85" s="886" t="s">
        <v>70</v>
      </c>
      <c r="E85" s="1130" t="s">
        <v>3895</v>
      </c>
      <c r="F85" s="2531"/>
      <c r="G85" s="2531"/>
      <c r="H85" s="3915"/>
      <c r="I85" s="3915"/>
      <c r="J85" s="3915"/>
      <c r="K85" s="2820"/>
      <c r="L85" s="3915"/>
      <c r="M85" s="3915"/>
      <c r="N85" s="3933"/>
      <c r="O85" s="3915"/>
      <c r="P85" s="3918"/>
      <c r="Q85" s="2532"/>
      <c r="R85" s="3422"/>
      <c r="S85" s="3910"/>
    </row>
    <row r="86" spans="1:22" x14ac:dyDescent="0.2">
      <c r="A86" s="409" t="s">
        <v>594</v>
      </c>
      <c r="B86" s="409" t="s">
        <v>595</v>
      </c>
      <c r="C86" s="409" t="s">
        <v>307</v>
      </c>
      <c r="D86" s="886" t="s">
        <v>70</v>
      </c>
      <c r="E86" s="1130" t="s">
        <v>3895</v>
      </c>
      <c r="F86" s="2531"/>
      <c r="G86" s="2531"/>
      <c r="H86" s="3916"/>
      <c r="I86" s="3916"/>
      <c r="J86" s="3916"/>
      <c r="K86" s="2820"/>
      <c r="L86" s="3916"/>
      <c r="M86" s="3916"/>
      <c r="N86" s="3934"/>
      <c r="O86" s="3916"/>
      <c r="P86" s="3919"/>
      <c r="Q86" s="2532"/>
      <c r="R86" s="3421"/>
      <c r="S86" s="3911"/>
    </row>
    <row r="87" spans="1:22" ht="30" x14ac:dyDescent="0.2">
      <c r="A87" s="848" t="s">
        <v>596</v>
      </c>
      <c r="B87" s="914" t="s">
        <v>597</v>
      </c>
      <c r="C87" s="100" t="s">
        <v>3342</v>
      </c>
      <c r="D87" s="973" t="s">
        <v>70</v>
      </c>
      <c r="E87" s="973" t="s">
        <v>3895</v>
      </c>
      <c r="F87" s="2765"/>
      <c r="G87" s="2766"/>
      <c r="H87" s="1438"/>
      <c r="I87" s="1438"/>
      <c r="J87" s="252"/>
      <c r="K87" s="2817"/>
      <c r="L87" s="252"/>
      <c r="M87" s="252"/>
      <c r="N87" s="1438"/>
      <c r="O87" s="1438"/>
      <c r="P87" s="1438">
        <f>SUM(P88:P93)</f>
        <v>0</v>
      </c>
      <c r="Q87" s="2770"/>
      <c r="R87" s="113"/>
      <c r="S87" s="3480">
        <f>SUM(S88:S93)</f>
        <v>0</v>
      </c>
      <c r="V87" s="3472">
        <f t="shared" ref="V87:V88" si="8">P87-S87</f>
        <v>0</v>
      </c>
    </row>
    <row r="88" spans="1:22" x14ac:dyDescent="0.2">
      <c r="A88" s="409" t="s">
        <v>598</v>
      </c>
      <c r="B88" s="409" t="s">
        <v>599</v>
      </c>
      <c r="C88" s="409" t="s">
        <v>556</v>
      </c>
      <c r="D88" s="886" t="s">
        <v>70</v>
      </c>
      <c r="E88" s="1130" t="s">
        <v>3895</v>
      </c>
      <c r="F88" s="2758"/>
      <c r="G88" s="2758"/>
      <c r="H88" s="3929"/>
      <c r="I88" s="3929"/>
      <c r="J88" s="3929"/>
      <c r="K88" s="2815"/>
      <c r="L88" s="3929"/>
      <c r="M88" s="3914"/>
      <c r="N88" s="3932"/>
      <c r="O88" s="3914"/>
      <c r="P88" s="3917">
        <f>N88*O88</f>
        <v>0</v>
      </c>
      <c r="Q88" s="2762"/>
      <c r="R88" s="299"/>
      <c r="S88" s="3909"/>
      <c r="V88" s="3472">
        <f t="shared" si="8"/>
        <v>0</v>
      </c>
    </row>
    <row r="89" spans="1:22" x14ac:dyDescent="0.2">
      <c r="A89" s="409" t="s">
        <v>600</v>
      </c>
      <c r="B89" s="409" t="s">
        <v>601</v>
      </c>
      <c r="C89" s="409" t="s">
        <v>524</v>
      </c>
      <c r="D89" s="886" t="s">
        <v>70</v>
      </c>
      <c r="E89" s="1130" t="s">
        <v>3895</v>
      </c>
      <c r="F89" s="2758"/>
      <c r="G89" s="2531"/>
      <c r="H89" s="3930"/>
      <c r="I89" s="3930"/>
      <c r="J89" s="3930"/>
      <c r="K89" s="2815"/>
      <c r="L89" s="3930"/>
      <c r="M89" s="3915"/>
      <c r="N89" s="3933"/>
      <c r="O89" s="3915"/>
      <c r="P89" s="3918"/>
      <c r="Q89" s="2532"/>
      <c r="R89" s="3421"/>
      <c r="S89" s="3910"/>
    </row>
    <row r="90" spans="1:22" x14ac:dyDescent="0.2">
      <c r="A90" s="409" t="s">
        <v>602</v>
      </c>
      <c r="B90" s="409" t="s">
        <v>603</v>
      </c>
      <c r="C90" s="409" t="s">
        <v>548</v>
      </c>
      <c r="D90" s="886" t="s">
        <v>70</v>
      </c>
      <c r="E90" s="1130" t="s">
        <v>3895</v>
      </c>
      <c r="F90" s="2758"/>
      <c r="G90" s="2531"/>
      <c r="H90" s="3930"/>
      <c r="I90" s="3930"/>
      <c r="J90" s="3930"/>
      <c r="K90" s="2815"/>
      <c r="L90" s="3930"/>
      <c r="M90" s="3915"/>
      <c r="N90" s="3933"/>
      <c r="O90" s="3915"/>
      <c r="P90" s="3918"/>
      <c r="Q90" s="2532"/>
      <c r="R90" s="3422"/>
      <c r="S90" s="3910"/>
    </row>
    <row r="91" spans="1:22" ht="30" x14ac:dyDescent="0.2">
      <c r="A91" s="409" t="s">
        <v>604</v>
      </c>
      <c r="B91" s="410"/>
      <c r="C91" s="103" t="s">
        <v>3343</v>
      </c>
      <c r="D91" s="886" t="s">
        <v>70</v>
      </c>
      <c r="E91" s="174" t="s">
        <v>3341</v>
      </c>
      <c r="F91" s="2758"/>
      <c r="G91" s="2531"/>
      <c r="H91" s="3930"/>
      <c r="I91" s="3930"/>
      <c r="J91" s="3930"/>
      <c r="K91" s="2815"/>
      <c r="L91" s="3930"/>
      <c r="M91" s="3915"/>
      <c r="N91" s="3933"/>
      <c r="O91" s="3915"/>
      <c r="P91" s="3918"/>
      <c r="Q91" s="2752"/>
      <c r="R91" s="3422"/>
      <c r="S91" s="3910"/>
    </row>
    <row r="92" spans="1:22" ht="30" x14ac:dyDescent="0.2">
      <c r="A92" s="409" t="s">
        <v>3811</v>
      </c>
      <c r="B92" s="410"/>
      <c r="C92" s="103" t="s">
        <v>3344</v>
      </c>
      <c r="D92" s="886" t="s">
        <v>70</v>
      </c>
      <c r="E92" s="174" t="s">
        <v>3341</v>
      </c>
      <c r="F92" s="2758"/>
      <c r="G92" s="2758"/>
      <c r="H92" s="3930"/>
      <c r="I92" s="3930"/>
      <c r="J92" s="3930"/>
      <c r="K92" s="2815"/>
      <c r="L92" s="3930"/>
      <c r="M92" s="3915"/>
      <c r="N92" s="3933"/>
      <c r="O92" s="3915"/>
      <c r="P92" s="3918"/>
      <c r="Q92" s="2757"/>
      <c r="R92" s="3422"/>
      <c r="S92" s="3910"/>
    </row>
    <row r="93" spans="1:22" x14ac:dyDescent="0.2">
      <c r="A93" s="409" t="s">
        <v>3812</v>
      </c>
      <c r="B93" s="409" t="s">
        <v>605</v>
      </c>
      <c r="C93" s="409" t="s">
        <v>606</v>
      </c>
      <c r="D93" s="886" t="s">
        <v>70</v>
      </c>
      <c r="E93" s="1130" t="s">
        <v>3895</v>
      </c>
      <c r="F93" s="2531"/>
      <c r="G93" s="2531"/>
      <c r="H93" s="3931"/>
      <c r="I93" s="3931"/>
      <c r="J93" s="3931"/>
      <c r="K93" s="2820"/>
      <c r="L93" s="3931"/>
      <c r="M93" s="3916"/>
      <c r="N93" s="3934"/>
      <c r="O93" s="3916"/>
      <c r="P93" s="3919"/>
      <c r="Q93" s="2532"/>
      <c r="R93" s="3422"/>
      <c r="S93" s="3911"/>
    </row>
    <row r="94" spans="1:22" ht="30" x14ac:dyDescent="0.2">
      <c r="A94" s="848" t="s">
        <v>607</v>
      </c>
      <c r="B94" s="914"/>
      <c r="C94" s="100" t="s">
        <v>4789</v>
      </c>
      <c r="D94" s="973" t="s">
        <v>70</v>
      </c>
      <c r="E94" s="973" t="s">
        <v>3895</v>
      </c>
      <c r="F94" s="2775"/>
      <c r="G94" s="2766"/>
      <c r="H94" s="252"/>
      <c r="I94" s="252"/>
      <c r="J94" s="252"/>
      <c r="K94" s="2813"/>
      <c r="L94" s="252"/>
      <c r="M94" s="252"/>
      <c r="N94" s="1438"/>
      <c r="O94" s="1438"/>
      <c r="P94" s="1438">
        <f>SUM(P95:P98)</f>
        <v>0</v>
      </c>
      <c r="Q94" s="2770"/>
      <c r="R94" s="113"/>
      <c r="S94" s="3480">
        <f>SUM(S95:S98)</f>
        <v>0</v>
      </c>
    </row>
    <row r="95" spans="1:22" x14ac:dyDescent="0.2">
      <c r="A95" s="409" t="s">
        <v>610</v>
      </c>
      <c r="B95" s="410"/>
      <c r="C95" s="409" t="s">
        <v>465</v>
      </c>
      <c r="D95" s="886" t="s">
        <v>70</v>
      </c>
      <c r="E95" s="1130" t="s">
        <v>3895</v>
      </c>
      <c r="F95" s="2531"/>
      <c r="G95" s="2531"/>
      <c r="H95" s="3914"/>
      <c r="I95" s="3914"/>
      <c r="J95" s="3914"/>
      <c r="K95" s="2820"/>
      <c r="L95" s="3914"/>
      <c r="M95" s="3914"/>
      <c r="N95" s="3932"/>
      <c r="O95" s="3914"/>
      <c r="P95" s="3917">
        <f>N95*O95</f>
        <v>0</v>
      </c>
      <c r="Q95" s="2537"/>
      <c r="R95" s="299"/>
      <c r="S95" s="3909"/>
    </row>
    <row r="96" spans="1:22" x14ac:dyDescent="0.2">
      <c r="A96" s="409" t="s">
        <v>612</v>
      </c>
      <c r="B96" s="410"/>
      <c r="C96" s="409" t="s">
        <v>524</v>
      </c>
      <c r="D96" s="886" t="s">
        <v>70</v>
      </c>
      <c r="E96" s="1130" t="s">
        <v>3895</v>
      </c>
      <c r="F96" s="2531"/>
      <c r="G96" s="2531"/>
      <c r="H96" s="3915"/>
      <c r="I96" s="3915"/>
      <c r="J96" s="3915"/>
      <c r="K96" s="2820"/>
      <c r="L96" s="3915"/>
      <c r="M96" s="3915"/>
      <c r="N96" s="3933"/>
      <c r="O96" s="3915"/>
      <c r="P96" s="3918"/>
      <c r="Q96" s="2537"/>
      <c r="R96" s="299"/>
      <c r="S96" s="3910"/>
    </row>
    <row r="97" spans="1:22" x14ac:dyDescent="0.2">
      <c r="A97" s="409" t="s">
        <v>615</v>
      </c>
      <c r="B97" s="410"/>
      <c r="C97" s="409" t="s">
        <v>429</v>
      </c>
      <c r="D97" s="886" t="s">
        <v>70</v>
      </c>
      <c r="E97" s="1130" t="s">
        <v>3895</v>
      </c>
      <c r="F97" s="2531"/>
      <c r="G97" s="2531"/>
      <c r="H97" s="3915"/>
      <c r="I97" s="3915"/>
      <c r="J97" s="3915"/>
      <c r="K97" s="2820"/>
      <c r="L97" s="3915"/>
      <c r="M97" s="3915"/>
      <c r="N97" s="3933"/>
      <c r="O97" s="3915"/>
      <c r="P97" s="3918"/>
      <c r="Q97" s="2537"/>
      <c r="R97" s="299"/>
      <c r="S97" s="3910"/>
    </row>
    <row r="98" spans="1:22" x14ac:dyDescent="0.2">
      <c r="A98" s="409" t="s">
        <v>617</v>
      </c>
      <c r="B98" s="410"/>
      <c r="C98" s="409" t="s">
        <v>307</v>
      </c>
      <c r="D98" s="886" t="s">
        <v>70</v>
      </c>
      <c r="E98" s="1130" t="s">
        <v>3895</v>
      </c>
      <c r="F98" s="2531"/>
      <c r="G98" s="2531"/>
      <c r="H98" s="3916"/>
      <c r="I98" s="3916"/>
      <c r="J98" s="3916"/>
      <c r="K98" s="2820"/>
      <c r="L98" s="3916"/>
      <c r="M98" s="3916"/>
      <c r="N98" s="3934"/>
      <c r="O98" s="3916"/>
      <c r="P98" s="3919"/>
      <c r="Q98" s="2537"/>
      <c r="R98" s="299"/>
      <c r="S98" s="3911"/>
    </row>
    <row r="99" spans="1:22" x14ac:dyDescent="0.2">
      <c r="A99" s="100" t="s">
        <v>620</v>
      </c>
      <c r="B99" s="914" t="s">
        <v>608</v>
      </c>
      <c r="C99" s="100" t="s">
        <v>609</v>
      </c>
      <c r="D99" s="973" t="s">
        <v>70</v>
      </c>
      <c r="E99" s="973" t="s">
        <v>3895</v>
      </c>
      <c r="F99" s="2765"/>
      <c r="G99" s="2766"/>
      <c r="H99" s="1438"/>
      <c r="I99" s="1438"/>
      <c r="J99" s="252"/>
      <c r="K99" s="2817"/>
      <c r="L99" s="252"/>
      <c r="M99" s="252"/>
      <c r="N99" s="1438"/>
      <c r="O99" s="1438"/>
      <c r="P99" s="1438">
        <f>SUM(P100:P104)</f>
        <v>0</v>
      </c>
      <c r="Q99" s="2770"/>
      <c r="R99" s="113"/>
      <c r="S99" s="3480">
        <f>SUM(S100:S104)</f>
        <v>0</v>
      </c>
      <c r="V99" s="3472">
        <f t="shared" ref="V99:V100" si="9">P99-S99</f>
        <v>0</v>
      </c>
    </row>
    <row r="100" spans="1:22" x14ac:dyDescent="0.2">
      <c r="A100" s="409" t="s">
        <v>623</v>
      </c>
      <c r="B100" s="409" t="s">
        <v>611</v>
      </c>
      <c r="C100" s="409" t="s">
        <v>524</v>
      </c>
      <c r="D100" s="886" t="s">
        <v>70</v>
      </c>
      <c r="E100" s="1130" t="s">
        <v>3895</v>
      </c>
      <c r="F100" s="2711"/>
      <c r="G100" s="2531"/>
      <c r="H100" s="3914"/>
      <c r="I100" s="3914"/>
      <c r="J100" s="3914"/>
      <c r="K100" s="2711"/>
      <c r="L100" s="3914"/>
      <c r="M100" s="3914"/>
      <c r="N100" s="3932"/>
      <c r="O100" s="3914"/>
      <c r="P100" s="3917">
        <f>N100*O100</f>
        <v>0</v>
      </c>
      <c r="Q100" s="2532"/>
      <c r="R100" s="299"/>
      <c r="S100" s="3909"/>
      <c r="V100" s="3472">
        <f t="shared" si="9"/>
        <v>0</v>
      </c>
    </row>
    <row r="101" spans="1:22" x14ac:dyDescent="0.2">
      <c r="A101" s="409" t="s">
        <v>626</v>
      </c>
      <c r="B101" s="409" t="s">
        <v>613</v>
      </c>
      <c r="C101" s="409" t="s">
        <v>614</v>
      </c>
      <c r="D101" s="886" t="s">
        <v>70</v>
      </c>
      <c r="E101" s="1130" t="s">
        <v>3895</v>
      </c>
      <c r="F101" s="2711"/>
      <c r="G101" s="2531"/>
      <c r="H101" s="3915"/>
      <c r="I101" s="3915"/>
      <c r="J101" s="3915"/>
      <c r="K101" s="2711"/>
      <c r="L101" s="3915"/>
      <c r="M101" s="3915"/>
      <c r="N101" s="3933"/>
      <c r="O101" s="3915"/>
      <c r="P101" s="3918"/>
      <c r="Q101" s="2532"/>
      <c r="R101" s="299"/>
      <c r="S101" s="3910"/>
    </row>
    <row r="102" spans="1:22" x14ac:dyDescent="0.2">
      <c r="A102" s="409" t="s">
        <v>2877</v>
      </c>
      <c r="B102" s="409" t="s">
        <v>616</v>
      </c>
      <c r="C102" s="409" t="s">
        <v>443</v>
      </c>
      <c r="D102" s="886" t="s">
        <v>70</v>
      </c>
      <c r="E102" s="1130" t="s">
        <v>3895</v>
      </c>
      <c r="F102" s="2754"/>
      <c r="G102" s="2531"/>
      <c r="H102" s="3915"/>
      <c r="I102" s="3915"/>
      <c r="J102" s="3915"/>
      <c r="K102" s="2754"/>
      <c r="L102" s="3915"/>
      <c r="M102" s="3915"/>
      <c r="N102" s="3933"/>
      <c r="O102" s="3915"/>
      <c r="P102" s="3918"/>
      <c r="Q102" s="2532"/>
      <c r="R102" s="299"/>
      <c r="S102" s="3910"/>
    </row>
    <row r="103" spans="1:22" x14ac:dyDescent="0.2">
      <c r="A103" s="409" t="s">
        <v>2878</v>
      </c>
      <c r="B103" s="409" t="s">
        <v>618</v>
      </c>
      <c r="C103" s="409" t="s">
        <v>575</v>
      </c>
      <c r="D103" s="886" t="s">
        <v>70</v>
      </c>
      <c r="E103" s="1130" t="s">
        <v>3895</v>
      </c>
      <c r="F103" s="2711"/>
      <c r="G103" s="2531"/>
      <c r="H103" s="3915"/>
      <c r="I103" s="3915"/>
      <c r="J103" s="3915"/>
      <c r="K103" s="2711"/>
      <c r="L103" s="3915"/>
      <c r="M103" s="3915"/>
      <c r="N103" s="3933"/>
      <c r="O103" s="3915"/>
      <c r="P103" s="3918"/>
      <c r="Q103" s="2532"/>
      <c r="R103" s="299"/>
      <c r="S103" s="3910"/>
    </row>
    <row r="104" spans="1:22" x14ac:dyDescent="0.2">
      <c r="A104" s="409" t="s">
        <v>2879</v>
      </c>
      <c r="B104" s="409" t="s">
        <v>619</v>
      </c>
      <c r="C104" s="409" t="s">
        <v>307</v>
      </c>
      <c r="D104" s="886" t="s">
        <v>70</v>
      </c>
      <c r="E104" s="1130" t="s">
        <v>3895</v>
      </c>
      <c r="F104" s="2711"/>
      <c r="G104" s="2531"/>
      <c r="H104" s="3916"/>
      <c r="I104" s="3916"/>
      <c r="J104" s="3916"/>
      <c r="K104" s="2711"/>
      <c r="L104" s="3916"/>
      <c r="M104" s="3916"/>
      <c r="N104" s="3934"/>
      <c r="O104" s="3916"/>
      <c r="P104" s="3919"/>
      <c r="Q104" s="2532"/>
      <c r="R104" s="299"/>
      <c r="S104" s="3911"/>
    </row>
    <row r="105" spans="1:22" ht="30" x14ac:dyDescent="0.2">
      <c r="A105" s="848" t="s">
        <v>658</v>
      </c>
      <c r="B105" s="914" t="s">
        <v>608</v>
      </c>
      <c r="C105" s="100" t="s">
        <v>2421</v>
      </c>
      <c r="D105" s="973" t="s">
        <v>70</v>
      </c>
      <c r="E105" s="973" t="s">
        <v>3895</v>
      </c>
      <c r="F105" s="2765"/>
      <c r="G105" s="2766"/>
      <c r="H105" s="1438"/>
      <c r="I105" s="1438"/>
      <c r="J105" s="252"/>
      <c r="K105" s="2817"/>
      <c r="L105" s="252"/>
      <c r="M105" s="252"/>
      <c r="N105" s="1438"/>
      <c r="O105" s="1438"/>
      <c r="P105" s="1438">
        <f>SUM(P106:P107)</f>
        <v>300</v>
      </c>
      <c r="Q105" s="2770"/>
      <c r="R105" s="113"/>
      <c r="S105" s="3480">
        <f>SUM(S106:S107)</f>
        <v>0</v>
      </c>
      <c r="V105" s="3472"/>
    </row>
    <row r="106" spans="1:22" ht="30" x14ac:dyDescent="0.2">
      <c r="A106" s="409" t="s">
        <v>661</v>
      </c>
      <c r="B106" s="410"/>
      <c r="C106" s="409" t="s">
        <v>2422</v>
      </c>
      <c r="D106" s="886" t="s">
        <v>70</v>
      </c>
      <c r="E106" s="1426" t="s">
        <v>4365</v>
      </c>
      <c r="F106" s="2762"/>
      <c r="G106" s="2762"/>
      <c r="H106" s="2762"/>
      <c r="I106" s="3053"/>
      <c r="J106" s="3053"/>
      <c r="K106" s="2821"/>
      <c r="L106" s="3724" t="s">
        <v>5954</v>
      </c>
      <c r="M106" s="3054">
        <v>20000</v>
      </c>
      <c r="N106" s="3055">
        <f>+M106/100000</f>
        <v>0.2</v>
      </c>
      <c r="O106" s="3054">
        <v>1500</v>
      </c>
      <c r="P106" s="1440">
        <f>N106*O106</f>
        <v>300</v>
      </c>
      <c r="Q106" s="3011" t="s">
        <v>6023</v>
      </c>
      <c r="R106" s="409"/>
      <c r="S106" s="3483">
        <f>'Abs6. CPHC'!R18</f>
        <v>0</v>
      </c>
      <c r="V106" s="3472"/>
    </row>
    <row r="107" spans="1:22" ht="30" x14ac:dyDescent="0.2">
      <c r="A107" s="409" t="s">
        <v>664</v>
      </c>
      <c r="B107" s="410"/>
      <c r="C107" s="409" t="s">
        <v>2423</v>
      </c>
      <c r="D107" s="886" t="s">
        <v>70</v>
      </c>
      <c r="E107" s="1426" t="s">
        <v>4365</v>
      </c>
      <c r="F107" s="2537"/>
      <c r="G107" s="2537"/>
      <c r="H107" s="2537"/>
      <c r="I107" s="3054"/>
      <c r="J107" s="3054"/>
      <c r="K107" s="2821"/>
      <c r="L107" s="3054"/>
      <c r="M107" s="3054"/>
      <c r="N107" s="3055"/>
      <c r="O107" s="3054"/>
      <c r="P107" s="1440">
        <f>N107*O107</f>
        <v>0</v>
      </c>
      <c r="Q107" s="2866"/>
      <c r="R107" s="409"/>
      <c r="S107" s="3483">
        <f>'Abs6. CPHC'!R19</f>
        <v>0</v>
      </c>
      <c r="V107" s="3472"/>
    </row>
    <row r="108" spans="1:22" x14ac:dyDescent="0.2">
      <c r="A108" s="848" t="s">
        <v>671</v>
      </c>
      <c r="B108" s="914" t="s">
        <v>621</v>
      </c>
      <c r="C108" s="100" t="s">
        <v>622</v>
      </c>
      <c r="D108" s="973" t="s">
        <v>70</v>
      </c>
      <c r="E108" s="973" t="s">
        <v>3895</v>
      </c>
      <c r="F108" s="2765"/>
      <c r="G108" s="2766"/>
      <c r="H108" s="1438"/>
      <c r="I108" s="1438"/>
      <c r="J108" s="252"/>
      <c r="K108" s="2817"/>
      <c r="L108" s="252"/>
      <c r="M108" s="252"/>
      <c r="N108" s="3052"/>
      <c r="O108" s="1438"/>
      <c r="P108" s="1438">
        <f>SUM(P109:P130)</f>
        <v>1.2450000000000001</v>
      </c>
      <c r="Q108" s="2770"/>
      <c r="R108" s="113"/>
      <c r="S108" s="3480">
        <f>SUM(S109:S130)</f>
        <v>0</v>
      </c>
      <c r="V108" s="3472"/>
    </row>
    <row r="109" spans="1:22" x14ac:dyDescent="0.2">
      <c r="A109" s="409" t="s">
        <v>674</v>
      </c>
      <c r="B109" s="409" t="s">
        <v>624</v>
      </c>
      <c r="C109" s="409" t="s">
        <v>625</v>
      </c>
      <c r="D109" s="886" t="s">
        <v>70</v>
      </c>
      <c r="E109" s="1130" t="s">
        <v>3895</v>
      </c>
      <c r="F109" s="2534"/>
      <c r="G109" s="2531"/>
      <c r="H109" s="3929"/>
      <c r="I109" s="3929"/>
      <c r="J109" s="3929"/>
      <c r="K109" s="2713"/>
      <c r="L109" s="3935" t="s">
        <v>5954</v>
      </c>
      <c r="M109" s="3914">
        <v>25000</v>
      </c>
      <c r="N109" s="3932">
        <f>+M109/100000</f>
        <v>0.25</v>
      </c>
      <c r="O109" s="3914">
        <v>5</v>
      </c>
      <c r="P109" s="3932">
        <f>+(0.18*2)+(0.085)+0.8</f>
        <v>1.2450000000000001</v>
      </c>
      <c r="Q109" s="2764"/>
      <c r="R109" s="299"/>
      <c r="S109" s="3909"/>
      <c r="V109" s="3472"/>
    </row>
    <row r="110" spans="1:22" x14ac:dyDescent="0.2">
      <c r="A110" s="409" t="s">
        <v>677</v>
      </c>
      <c r="B110" s="409" t="s">
        <v>627</v>
      </c>
      <c r="C110" s="409" t="s">
        <v>567</v>
      </c>
      <c r="D110" s="886" t="s">
        <v>70</v>
      </c>
      <c r="E110" s="1130" t="s">
        <v>3895</v>
      </c>
      <c r="F110" s="2752"/>
      <c r="G110" s="2753"/>
      <c r="H110" s="3930"/>
      <c r="I110" s="3930"/>
      <c r="J110" s="3930"/>
      <c r="K110" s="2755"/>
      <c r="L110" s="3930"/>
      <c r="M110" s="3915"/>
      <c r="N110" s="3933"/>
      <c r="O110" s="3915"/>
      <c r="P110" s="3933"/>
      <c r="Q110" s="3037"/>
      <c r="R110" s="3614"/>
      <c r="S110" s="3910"/>
    </row>
    <row r="111" spans="1:22" ht="57" x14ac:dyDescent="0.2">
      <c r="A111" s="409" t="s">
        <v>680</v>
      </c>
      <c r="B111" s="409" t="s">
        <v>655</v>
      </c>
      <c r="C111" s="409" t="s">
        <v>656</v>
      </c>
      <c r="D111" s="886" t="s">
        <v>70</v>
      </c>
      <c r="E111" s="1130" t="s">
        <v>3895</v>
      </c>
      <c r="F111" s="2534"/>
      <c r="G111" s="2534"/>
      <c r="H111" s="3930"/>
      <c r="I111" s="3930"/>
      <c r="J111" s="3930"/>
      <c r="K111" s="2713"/>
      <c r="L111" s="3930"/>
      <c r="M111" s="3915"/>
      <c r="N111" s="3933"/>
      <c r="O111" s="3915"/>
      <c r="P111" s="3933"/>
      <c r="Q111" s="2866" t="s">
        <v>6019</v>
      </c>
      <c r="R111" s="299"/>
      <c r="S111" s="3910"/>
    </row>
    <row r="112" spans="1:22" x14ac:dyDescent="0.2">
      <c r="A112" s="409" t="s">
        <v>683</v>
      </c>
      <c r="B112" s="409" t="s">
        <v>496</v>
      </c>
      <c r="C112" s="409" t="s">
        <v>497</v>
      </c>
      <c r="D112" s="886" t="s">
        <v>70</v>
      </c>
      <c r="E112" s="1130" t="s">
        <v>3895</v>
      </c>
      <c r="F112" s="2752"/>
      <c r="G112" s="2753"/>
      <c r="H112" s="3930"/>
      <c r="I112" s="3930"/>
      <c r="J112" s="3930"/>
      <c r="K112" s="2755"/>
      <c r="L112" s="3930"/>
      <c r="M112" s="3915"/>
      <c r="N112" s="3933"/>
      <c r="O112" s="3915"/>
      <c r="P112" s="3933"/>
      <c r="Q112" s="2532"/>
      <c r="R112" s="3422"/>
      <c r="S112" s="3910"/>
    </row>
    <row r="113" spans="1:19" x14ac:dyDescent="0.2">
      <c r="A113" s="409" t="s">
        <v>685</v>
      </c>
      <c r="B113" s="409" t="s">
        <v>649</v>
      </c>
      <c r="C113" s="409" t="s">
        <v>650</v>
      </c>
      <c r="D113" s="886" t="s">
        <v>70</v>
      </c>
      <c r="E113" s="1130" t="s">
        <v>3895</v>
      </c>
      <c r="F113" s="2534"/>
      <c r="G113" s="2531"/>
      <c r="H113" s="3930"/>
      <c r="I113" s="3930"/>
      <c r="J113" s="3930"/>
      <c r="K113" s="2713"/>
      <c r="L113" s="3930"/>
      <c r="M113" s="3915"/>
      <c r="N113" s="3933"/>
      <c r="O113" s="3915"/>
      <c r="P113" s="3933"/>
      <c r="Q113" s="2532"/>
      <c r="R113" s="3421"/>
      <c r="S113" s="3910"/>
    </row>
    <row r="114" spans="1:19" x14ac:dyDescent="0.2">
      <c r="A114" s="409" t="s">
        <v>2880</v>
      </c>
      <c r="B114" s="409" t="s">
        <v>628</v>
      </c>
      <c r="C114" s="409" t="s">
        <v>629</v>
      </c>
      <c r="D114" s="886" t="s">
        <v>70</v>
      </c>
      <c r="E114" s="1130" t="s">
        <v>3895</v>
      </c>
      <c r="F114" s="2534"/>
      <c r="G114" s="2531"/>
      <c r="H114" s="3930"/>
      <c r="I114" s="3930"/>
      <c r="J114" s="3930"/>
      <c r="K114" s="2713"/>
      <c r="L114" s="3930"/>
      <c r="M114" s="3915"/>
      <c r="N114" s="3933"/>
      <c r="O114" s="3915"/>
      <c r="P114" s="3933"/>
      <c r="Q114" s="2532"/>
      <c r="R114" s="3422"/>
      <c r="S114" s="3910"/>
    </row>
    <row r="115" spans="1:19" x14ac:dyDescent="0.2">
      <c r="A115" s="409" t="s">
        <v>2881</v>
      </c>
      <c r="B115" s="409" t="s">
        <v>632</v>
      </c>
      <c r="C115" s="409" t="s">
        <v>633</v>
      </c>
      <c r="D115" s="886" t="s">
        <v>70</v>
      </c>
      <c r="E115" s="1130" t="s">
        <v>3895</v>
      </c>
      <c r="F115" s="2534"/>
      <c r="G115" s="2531"/>
      <c r="H115" s="3930"/>
      <c r="I115" s="3930"/>
      <c r="J115" s="3930"/>
      <c r="K115" s="2713"/>
      <c r="L115" s="3930"/>
      <c r="M115" s="3915"/>
      <c r="N115" s="3933"/>
      <c r="O115" s="3915"/>
      <c r="P115" s="3933"/>
      <c r="Q115" s="2532"/>
      <c r="R115" s="3421"/>
      <c r="S115" s="3910"/>
    </row>
    <row r="116" spans="1:19" x14ac:dyDescent="0.2">
      <c r="A116" s="409" t="s">
        <v>2882</v>
      </c>
      <c r="B116" s="409" t="s">
        <v>630</v>
      </c>
      <c r="C116" s="409" t="s">
        <v>631</v>
      </c>
      <c r="D116" s="886" t="s">
        <v>70</v>
      </c>
      <c r="E116" s="1130" t="s">
        <v>3895</v>
      </c>
      <c r="F116" s="2752"/>
      <c r="G116" s="2753"/>
      <c r="H116" s="3930"/>
      <c r="I116" s="3930"/>
      <c r="J116" s="3930"/>
      <c r="K116" s="2755"/>
      <c r="L116" s="3930"/>
      <c r="M116" s="3915"/>
      <c r="N116" s="3933"/>
      <c r="O116" s="3915"/>
      <c r="P116" s="3933"/>
      <c r="Q116" s="3037"/>
      <c r="R116" s="3462"/>
      <c r="S116" s="3910"/>
    </row>
    <row r="117" spans="1:19" x14ac:dyDescent="0.2">
      <c r="A117" s="409" t="s">
        <v>2883</v>
      </c>
      <c r="B117" s="409" t="s">
        <v>651</v>
      </c>
      <c r="C117" s="409" t="s">
        <v>652</v>
      </c>
      <c r="D117" s="886" t="s">
        <v>70</v>
      </c>
      <c r="E117" s="1130" t="s">
        <v>3895</v>
      </c>
      <c r="F117" s="2531"/>
      <c r="G117" s="2531"/>
      <c r="H117" s="3930"/>
      <c r="I117" s="3930"/>
      <c r="J117" s="3930"/>
      <c r="K117" s="2820"/>
      <c r="L117" s="3930"/>
      <c r="M117" s="3915"/>
      <c r="N117" s="3933"/>
      <c r="O117" s="3915"/>
      <c r="P117" s="3933"/>
      <c r="Q117" s="2532"/>
      <c r="R117" s="3422"/>
      <c r="S117" s="3910"/>
    </row>
    <row r="118" spans="1:19" x14ac:dyDescent="0.2">
      <c r="A118" s="409" t="s">
        <v>2884</v>
      </c>
      <c r="B118" s="409" t="s">
        <v>2145</v>
      </c>
      <c r="C118" s="409" t="s">
        <v>2363</v>
      </c>
      <c r="D118" s="886" t="s">
        <v>70</v>
      </c>
      <c r="E118" s="1130" t="s">
        <v>4683</v>
      </c>
      <c r="F118" s="2534"/>
      <c r="G118" s="2534"/>
      <c r="H118" s="3930"/>
      <c r="I118" s="3930"/>
      <c r="J118" s="3930"/>
      <c r="K118" s="2713"/>
      <c r="L118" s="3930"/>
      <c r="M118" s="3915"/>
      <c r="N118" s="3933"/>
      <c r="O118" s="3915"/>
      <c r="P118" s="3933"/>
      <c r="Q118" s="2764"/>
      <c r="R118" s="3422"/>
      <c r="S118" s="3910"/>
    </row>
    <row r="119" spans="1:19" ht="85.5" x14ac:dyDescent="0.2">
      <c r="A119" s="409" t="s">
        <v>2885</v>
      </c>
      <c r="B119" s="409" t="s">
        <v>636</v>
      </c>
      <c r="C119" s="409" t="s">
        <v>637</v>
      </c>
      <c r="D119" s="886" t="s">
        <v>70</v>
      </c>
      <c r="E119" s="1130" t="s">
        <v>3895</v>
      </c>
      <c r="F119" s="2752"/>
      <c r="G119" s="2753"/>
      <c r="H119" s="3930"/>
      <c r="I119" s="3930"/>
      <c r="J119" s="3930"/>
      <c r="K119" s="2755"/>
      <c r="L119" s="3930"/>
      <c r="M119" s="3915"/>
      <c r="N119" s="3933"/>
      <c r="O119" s="3915"/>
      <c r="P119" s="3933"/>
      <c r="Q119" s="2866" t="s">
        <v>5956</v>
      </c>
      <c r="R119" s="3422"/>
      <c r="S119" s="3910"/>
    </row>
    <row r="120" spans="1:19" x14ac:dyDescent="0.2">
      <c r="A120" s="409" t="s">
        <v>2886</v>
      </c>
      <c r="B120" s="409" t="s">
        <v>638</v>
      </c>
      <c r="C120" s="409" t="s">
        <v>639</v>
      </c>
      <c r="D120" s="886" t="s">
        <v>70</v>
      </c>
      <c r="E120" s="1130" t="s">
        <v>3895</v>
      </c>
      <c r="F120" s="2755"/>
      <c r="G120" s="2753"/>
      <c r="H120" s="3930"/>
      <c r="I120" s="3930"/>
      <c r="J120" s="3930"/>
      <c r="K120" s="2755"/>
      <c r="L120" s="3930"/>
      <c r="M120" s="3915"/>
      <c r="N120" s="3933"/>
      <c r="O120" s="3915"/>
      <c r="P120" s="3933"/>
      <c r="Q120" s="2532"/>
      <c r="R120" s="3421"/>
      <c r="S120" s="3910"/>
    </row>
    <row r="121" spans="1:19" x14ac:dyDescent="0.2">
      <c r="A121" s="409" t="s">
        <v>2887</v>
      </c>
      <c r="B121" s="409" t="s">
        <v>641</v>
      </c>
      <c r="C121" s="409" t="s">
        <v>642</v>
      </c>
      <c r="D121" s="886" t="s">
        <v>70</v>
      </c>
      <c r="E121" s="1130" t="s">
        <v>3895</v>
      </c>
      <c r="F121" s="2754"/>
      <c r="G121" s="2531"/>
      <c r="H121" s="3930"/>
      <c r="I121" s="3930"/>
      <c r="J121" s="3930"/>
      <c r="K121" s="2754"/>
      <c r="L121" s="3930"/>
      <c r="M121" s="3915"/>
      <c r="N121" s="3933"/>
      <c r="O121" s="3915"/>
      <c r="P121" s="3933"/>
      <c r="Q121" s="2537"/>
      <c r="R121" s="3422"/>
      <c r="S121" s="3910"/>
    </row>
    <row r="122" spans="1:19" x14ac:dyDescent="0.2">
      <c r="A122" s="409" t="s">
        <v>2888</v>
      </c>
      <c r="B122" s="409" t="s">
        <v>643</v>
      </c>
      <c r="C122" s="409" t="s">
        <v>644</v>
      </c>
      <c r="D122" s="886" t="s">
        <v>70</v>
      </c>
      <c r="E122" s="1130" t="s">
        <v>3895</v>
      </c>
      <c r="F122" s="2754"/>
      <c r="G122" s="2531"/>
      <c r="H122" s="3930"/>
      <c r="I122" s="3930"/>
      <c r="J122" s="3930"/>
      <c r="K122" s="2754"/>
      <c r="L122" s="3930"/>
      <c r="M122" s="3915"/>
      <c r="N122" s="3933"/>
      <c r="O122" s="3915"/>
      <c r="P122" s="3933"/>
      <c r="Q122" s="2537"/>
      <c r="R122" s="3422"/>
      <c r="S122" s="3910"/>
    </row>
    <row r="123" spans="1:19" ht="30" x14ac:dyDescent="0.2">
      <c r="A123" s="409" t="s">
        <v>2889</v>
      </c>
      <c r="B123" s="409" t="s">
        <v>645</v>
      </c>
      <c r="C123" s="409" t="s">
        <v>646</v>
      </c>
      <c r="D123" s="886" t="s">
        <v>70</v>
      </c>
      <c r="E123" s="1130" t="s">
        <v>3895</v>
      </c>
      <c r="F123" s="2754"/>
      <c r="G123" s="2531"/>
      <c r="H123" s="3930"/>
      <c r="I123" s="3930"/>
      <c r="J123" s="3930"/>
      <c r="K123" s="2754"/>
      <c r="L123" s="3930"/>
      <c r="M123" s="3915"/>
      <c r="N123" s="3933"/>
      <c r="O123" s="3915"/>
      <c r="P123" s="3933"/>
      <c r="Q123" s="2537"/>
      <c r="R123" s="3422"/>
      <c r="S123" s="3910"/>
    </row>
    <row r="124" spans="1:19" x14ac:dyDescent="0.2">
      <c r="A124" s="409" t="s">
        <v>2890</v>
      </c>
      <c r="B124" s="409" t="s">
        <v>647</v>
      </c>
      <c r="C124" s="409" t="s">
        <v>648</v>
      </c>
      <c r="D124" s="886" t="s">
        <v>70</v>
      </c>
      <c r="E124" s="1130" t="s">
        <v>3895</v>
      </c>
      <c r="F124" s="2711"/>
      <c r="G124" s="2531"/>
      <c r="H124" s="3930"/>
      <c r="I124" s="3930"/>
      <c r="J124" s="3930"/>
      <c r="K124" s="2711"/>
      <c r="L124" s="3930"/>
      <c r="M124" s="3915"/>
      <c r="N124" s="3933"/>
      <c r="O124" s="3915"/>
      <c r="P124" s="3933"/>
      <c r="Q124" s="2532"/>
      <c r="R124" s="3421"/>
      <c r="S124" s="3910"/>
    </row>
    <row r="125" spans="1:19" x14ac:dyDescent="0.2">
      <c r="A125" s="409" t="s">
        <v>2891</v>
      </c>
      <c r="B125" s="409" t="s">
        <v>653</v>
      </c>
      <c r="C125" s="409" t="s">
        <v>654</v>
      </c>
      <c r="D125" s="886" t="s">
        <v>70</v>
      </c>
      <c r="E125" s="1130" t="s">
        <v>3895</v>
      </c>
      <c r="F125" s="2754"/>
      <c r="G125" s="2531"/>
      <c r="H125" s="3930"/>
      <c r="I125" s="3930"/>
      <c r="J125" s="3930"/>
      <c r="K125" s="2754"/>
      <c r="L125" s="3930"/>
      <c r="M125" s="3915"/>
      <c r="N125" s="3933"/>
      <c r="O125" s="3915"/>
      <c r="P125" s="3933"/>
      <c r="Q125" s="2537"/>
      <c r="R125" s="3422"/>
      <c r="S125" s="3910"/>
    </row>
    <row r="126" spans="1:19" x14ac:dyDescent="0.2">
      <c r="A126" s="409" t="s">
        <v>2892</v>
      </c>
      <c r="B126" s="409" t="s">
        <v>657</v>
      </c>
      <c r="C126" s="409" t="s">
        <v>4107</v>
      </c>
      <c r="D126" s="886" t="s">
        <v>70</v>
      </c>
      <c r="E126" s="1130" t="s">
        <v>3895</v>
      </c>
      <c r="F126" s="2711"/>
      <c r="G126" s="2531"/>
      <c r="H126" s="3930"/>
      <c r="I126" s="3930"/>
      <c r="J126" s="3930"/>
      <c r="K126" s="2711"/>
      <c r="L126" s="3930"/>
      <c r="M126" s="3915"/>
      <c r="N126" s="3933"/>
      <c r="O126" s="3915"/>
      <c r="P126" s="3933"/>
      <c r="Q126" s="2532"/>
      <c r="R126" s="3421"/>
      <c r="S126" s="3910"/>
    </row>
    <row r="127" spans="1:19" ht="30" x14ac:dyDescent="0.2">
      <c r="A127" s="409" t="s">
        <v>2893</v>
      </c>
      <c r="B127" s="409" t="s">
        <v>657</v>
      </c>
      <c r="C127" s="409" t="s">
        <v>4108</v>
      </c>
      <c r="D127" s="886" t="s">
        <v>70</v>
      </c>
      <c r="E127" s="1130" t="s">
        <v>3895</v>
      </c>
      <c r="F127" s="2711"/>
      <c r="G127" s="2531"/>
      <c r="H127" s="3930"/>
      <c r="I127" s="3930"/>
      <c r="J127" s="3930"/>
      <c r="K127" s="2711"/>
      <c r="L127" s="3930"/>
      <c r="M127" s="3915"/>
      <c r="N127" s="3933"/>
      <c r="O127" s="3915"/>
      <c r="P127" s="3933"/>
      <c r="Q127" s="2532"/>
      <c r="R127" s="3421"/>
      <c r="S127" s="3910"/>
    </row>
    <row r="128" spans="1:19" x14ac:dyDescent="0.2">
      <c r="A128" s="409" t="s">
        <v>2894</v>
      </c>
      <c r="B128" s="409" t="s">
        <v>657</v>
      </c>
      <c r="C128" s="409" t="s">
        <v>2440</v>
      </c>
      <c r="D128" s="886" t="s">
        <v>70</v>
      </c>
      <c r="E128" s="1130" t="s">
        <v>3895</v>
      </c>
      <c r="F128" s="2754"/>
      <c r="G128" s="2531"/>
      <c r="H128" s="3930"/>
      <c r="I128" s="3930"/>
      <c r="J128" s="3930"/>
      <c r="K128" s="2754"/>
      <c r="L128" s="3930"/>
      <c r="M128" s="3915"/>
      <c r="N128" s="3933"/>
      <c r="O128" s="3915"/>
      <c r="P128" s="3933"/>
      <c r="Q128" s="2537"/>
      <c r="R128" s="3422"/>
      <c r="S128" s="3910"/>
    </row>
    <row r="129" spans="1:22" x14ac:dyDescent="0.2">
      <c r="A129" s="409" t="s">
        <v>2895</v>
      </c>
      <c r="B129" s="409" t="s">
        <v>634</v>
      </c>
      <c r="C129" s="409" t="s">
        <v>635</v>
      </c>
      <c r="D129" s="886" t="s">
        <v>70</v>
      </c>
      <c r="E129" s="1130" t="s">
        <v>3895</v>
      </c>
      <c r="F129" s="2754"/>
      <c r="G129" s="2531"/>
      <c r="H129" s="3930"/>
      <c r="I129" s="3930"/>
      <c r="J129" s="3930"/>
      <c r="K129" s="2754"/>
      <c r="L129" s="3930"/>
      <c r="M129" s="3915"/>
      <c r="N129" s="3933"/>
      <c r="O129" s="3915"/>
      <c r="P129" s="3933"/>
      <c r="Q129" s="2537"/>
      <c r="R129" s="3422"/>
      <c r="S129" s="3910"/>
    </row>
    <row r="130" spans="1:22" ht="85.5" x14ac:dyDescent="0.2">
      <c r="A130" s="409" t="s">
        <v>2896</v>
      </c>
      <c r="B130" s="409" t="s">
        <v>657</v>
      </c>
      <c r="C130" s="409" t="s">
        <v>606</v>
      </c>
      <c r="D130" s="886" t="s">
        <v>70</v>
      </c>
      <c r="E130" s="1130" t="s">
        <v>3895</v>
      </c>
      <c r="F130" s="2777"/>
      <c r="G130" s="2753"/>
      <c r="H130" s="3931"/>
      <c r="I130" s="3931"/>
      <c r="J130" s="3931"/>
      <c r="K130" s="2777"/>
      <c r="L130" s="3931"/>
      <c r="M130" s="3916"/>
      <c r="N130" s="3934"/>
      <c r="O130" s="3916"/>
      <c r="P130" s="3934"/>
      <c r="Q130" s="2866" t="s">
        <v>5957</v>
      </c>
      <c r="R130" s="3422"/>
      <c r="S130" s="3911"/>
    </row>
    <row r="131" spans="1:22" ht="30" x14ac:dyDescent="0.2">
      <c r="A131" s="848" t="s">
        <v>708</v>
      </c>
      <c r="B131" s="914" t="s">
        <v>659</v>
      </c>
      <c r="C131" s="100" t="s">
        <v>660</v>
      </c>
      <c r="D131" s="973" t="s">
        <v>70</v>
      </c>
      <c r="E131" s="973" t="s">
        <v>3895</v>
      </c>
      <c r="F131" s="2765"/>
      <c r="G131" s="2766"/>
      <c r="H131" s="252"/>
      <c r="I131" s="252"/>
      <c r="J131" s="252"/>
      <c r="K131" s="2817"/>
      <c r="L131" s="252"/>
      <c r="M131" s="252"/>
      <c r="N131" s="3052"/>
      <c r="O131" s="1438"/>
      <c r="P131" s="1438">
        <f>SUM(P132:P136)</f>
        <v>0</v>
      </c>
      <c r="Q131" s="113"/>
      <c r="R131" s="113"/>
      <c r="S131" s="3480">
        <f>SUM(S132:S136)</f>
        <v>0</v>
      </c>
      <c r="V131" s="3472">
        <f t="shared" ref="V131:V132" si="10">P131-S131</f>
        <v>0</v>
      </c>
    </row>
    <row r="132" spans="1:22" x14ac:dyDescent="0.2">
      <c r="A132" s="409" t="s">
        <v>711</v>
      </c>
      <c r="B132" s="409" t="s">
        <v>662</v>
      </c>
      <c r="C132" s="409" t="s">
        <v>663</v>
      </c>
      <c r="D132" s="886" t="s">
        <v>70</v>
      </c>
      <c r="E132" s="1130" t="s">
        <v>3895</v>
      </c>
      <c r="F132" s="2711"/>
      <c r="G132" s="2531"/>
      <c r="H132" s="3914"/>
      <c r="I132" s="3914"/>
      <c r="J132" s="3914"/>
      <c r="K132" s="2711"/>
      <c r="L132" s="3914"/>
      <c r="M132" s="3914"/>
      <c r="N132" s="3932"/>
      <c r="O132" s="3914"/>
      <c r="P132" s="3917">
        <f>N132*O132</f>
        <v>0</v>
      </c>
      <c r="Q132" s="2532"/>
      <c r="R132" s="299"/>
      <c r="S132" s="3909"/>
      <c r="V132" s="3472">
        <f t="shared" si="10"/>
        <v>0</v>
      </c>
    </row>
    <row r="133" spans="1:22" x14ac:dyDescent="0.2">
      <c r="A133" s="409" t="s">
        <v>712</v>
      </c>
      <c r="B133" s="409" t="s">
        <v>665</v>
      </c>
      <c r="C133" s="409" t="s">
        <v>548</v>
      </c>
      <c r="D133" s="886" t="s">
        <v>70</v>
      </c>
      <c r="E133" s="1130" t="s">
        <v>3895</v>
      </c>
      <c r="F133" s="2711"/>
      <c r="G133" s="2531"/>
      <c r="H133" s="3915"/>
      <c r="I133" s="3915"/>
      <c r="J133" s="3915"/>
      <c r="K133" s="2711"/>
      <c r="L133" s="3915"/>
      <c r="M133" s="3915"/>
      <c r="N133" s="3933"/>
      <c r="O133" s="3915"/>
      <c r="P133" s="3918"/>
      <c r="Q133" s="2532"/>
      <c r="R133" s="299"/>
      <c r="S133" s="3910"/>
    </row>
    <row r="134" spans="1:22" x14ac:dyDescent="0.2">
      <c r="A134" s="409" t="s">
        <v>713</v>
      </c>
      <c r="B134" s="409" t="s">
        <v>666</v>
      </c>
      <c r="C134" s="409" t="s">
        <v>667</v>
      </c>
      <c r="D134" s="886" t="s">
        <v>70</v>
      </c>
      <c r="E134" s="1130" t="s">
        <v>3895</v>
      </c>
      <c r="F134" s="2711"/>
      <c r="G134" s="2531"/>
      <c r="H134" s="3915"/>
      <c r="I134" s="3915"/>
      <c r="J134" s="3915"/>
      <c r="K134" s="2711"/>
      <c r="L134" s="3915"/>
      <c r="M134" s="3915"/>
      <c r="N134" s="3933"/>
      <c r="O134" s="3915"/>
      <c r="P134" s="3918"/>
      <c r="Q134" s="2532"/>
      <c r="R134" s="299"/>
      <c r="S134" s="3910"/>
    </row>
    <row r="135" spans="1:22" x14ac:dyDescent="0.2">
      <c r="A135" s="409" t="s">
        <v>2444</v>
      </c>
      <c r="B135" s="409" t="s">
        <v>668</v>
      </c>
      <c r="C135" s="409" t="s">
        <v>669</v>
      </c>
      <c r="D135" s="886" t="s">
        <v>70</v>
      </c>
      <c r="E135" s="1130" t="s">
        <v>3895</v>
      </c>
      <c r="F135" s="2711"/>
      <c r="G135" s="2531"/>
      <c r="H135" s="3915"/>
      <c r="I135" s="3915"/>
      <c r="J135" s="3915"/>
      <c r="K135" s="2711"/>
      <c r="L135" s="3915"/>
      <c r="M135" s="3915"/>
      <c r="N135" s="3933"/>
      <c r="O135" s="3915"/>
      <c r="P135" s="3918"/>
      <c r="Q135" s="2532"/>
      <c r="R135" s="299"/>
      <c r="S135" s="3910"/>
    </row>
    <row r="136" spans="1:22" x14ac:dyDescent="0.2">
      <c r="A136" s="409" t="s">
        <v>2445</v>
      </c>
      <c r="B136" s="409" t="s">
        <v>670</v>
      </c>
      <c r="C136" s="409" t="s">
        <v>307</v>
      </c>
      <c r="D136" s="886" t="s">
        <v>70</v>
      </c>
      <c r="E136" s="1130" t="s">
        <v>3895</v>
      </c>
      <c r="F136" s="2711"/>
      <c r="G136" s="2531"/>
      <c r="H136" s="3916"/>
      <c r="I136" s="3916"/>
      <c r="J136" s="3916"/>
      <c r="K136" s="2711"/>
      <c r="L136" s="3916"/>
      <c r="M136" s="3916"/>
      <c r="N136" s="3934"/>
      <c r="O136" s="3916"/>
      <c r="P136" s="3919"/>
      <c r="Q136" s="2532"/>
      <c r="R136" s="299"/>
      <c r="S136" s="3911"/>
    </row>
    <row r="137" spans="1:22" x14ac:dyDescent="0.2">
      <c r="A137" s="848" t="s">
        <v>2448</v>
      </c>
      <c r="B137" s="914" t="s">
        <v>672</v>
      </c>
      <c r="C137" s="100" t="s">
        <v>673</v>
      </c>
      <c r="D137" s="973" t="s">
        <v>70</v>
      </c>
      <c r="E137" s="973" t="s">
        <v>3895</v>
      </c>
      <c r="F137" s="2765"/>
      <c r="G137" s="2766"/>
      <c r="H137" s="1438"/>
      <c r="I137" s="1438"/>
      <c r="J137" s="252"/>
      <c r="K137" s="2817"/>
      <c r="L137" s="252"/>
      <c r="M137" s="252"/>
      <c r="N137" s="3052"/>
      <c r="O137" s="1438"/>
      <c r="P137" s="1438">
        <f>SUM(P138:P149)+P152</f>
        <v>0.3</v>
      </c>
      <c r="Q137" s="2770"/>
      <c r="R137" s="113"/>
      <c r="S137" s="3480">
        <f>SUM(S138:S149)+S152</f>
        <v>0</v>
      </c>
      <c r="V137" s="3472">
        <f t="shared" ref="V137:V138" si="11">P137-S137</f>
        <v>0.3</v>
      </c>
    </row>
    <row r="138" spans="1:22" x14ac:dyDescent="0.2">
      <c r="A138" s="409" t="s">
        <v>2449</v>
      </c>
      <c r="B138" s="409" t="s">
        <v>675</v>
      </c>
      <c r="C138" s="409" t="s">
        <v>676</v>
      </c>
      <c r="D138" s="886" t="s">
        <v>70</v>
      </c>
      <c r="E138" s="1130" t="s">
        <v>3895</v>
      </c>
      <c r="F138" s="2758"/>
      <c r="G138" s="2758"/>
      <c r="H138" s="3929"/>
      <c r="I138" s="3929"/>
      <c r="J138" s="3929"/>
      <c r="K138" s="2815"/>
      <c r="L138" s="3939" t="s">
        <v>5954</v>
      </c>
      <c r="M138" s="3914">
        <v>30000</v>
      </c>
      <c r="N138" s="3932">
        <f>+M138/100000</f>
        <v>0.3</v>
      </c>
      <c r="O138" s="3914">
        <v>1</v>
      </c>
      <c r="P138" s="3917">
        <f>N138*O138</f>
        <v>0.3</v>
      </c>
      <c r="Q138" s="2762"/>
      <c r="R138" s="299"/>
      <c r="S138" s="3909"/>
      <c r="V138" s="3472">
        <f t="shared" si="11"/>
        <v>0.3</v>
      </c>
    </row>
    <row r="139" spans="1:22" x14ac:dyDescent="0.2">
      <c r="A139" s="409" t="s">
        <v>2450</v>
      </c>
      <c r="B139" s="409" t="s">
        <v>678</v>
      </c>
      <c r="C139" s="409" t="s">
        <v>679</v>
      </c>
      <c r="D139" s="886" t="s">
        <v>70</v>
      </c>
      <c r="E139" s="1130" t="s">
        <v>3895</v>
      </c>
      <c r="F139" s="2758"/>
      <c r="G139" s="2758"/>
      <c r="H139" s="3930"/>
      <c r="I139" s="3930"/>
      <c r="J139" s="3930"/>
      <c r="K139" s="2815"/>
      <c r="L139" s="3930"/>
      <c r="M139" s="3915"/>
      <c r="N139" s="3933"/>
      <c r="O139" s="3915"/>
      <c r="P139" s="3918"/>
      <c r="Q139" s="2762"/>
      <c r="R139" s="299"/>
      <c r="S139" s="3910"/>
    </row>
    <row r="140" spans="1:22" ht="30" x14ac:dyDescent="0.2">
      <c r="A140" s="409" t="s">
        <v>2451</v>
      </c>
      <c r="B140" s="409" t="s">
        <v>681</v>
      </c>
      <c r="C140" s="409" t="s">
        <v>682</v>
      </c>
      <c r="D140" s="886" t="s">
        <v>70</v>
      </c>
      <c r="E140" s="1130" t="s">
        <v>3895</v>
      </c>
      <c r="F140" s="2758"/>
      <c r="G140" s="2758"/>
      <c r="H140" s="3930"/>
      <c r="I140" s="3930"/>
      <c r="J140" s="3930"/>
      <c r="K140" s="2815"/>
      <c r="L140" s="3930"/>
      <c r="M140" s="3915"/>
      <c r="N140" s="3933"/>
      <c r="O140" s="3915"/>
      <c r="P140" s="3918"/>
      <c r="Q140" s="2762"/>
      <c r="R140" s="299"/>
      <c r="S140" s="3910"/>
    </row>
    <row r="141" spans="1:22" x14ac:dyDescent="0.2">
      <c r="A141" s="409" t="s">
        <v>2452</v>
      </c>
      <c r="B141" s="409" t="s">
        <v>684</v>
      </c>
      <c r="C141" s="409" t="s">
        <v>2446</v>
      </c>
      <c r="D141" s="886" t="s">
        <v>70</v>
      </c>
      <c r="E141" s="1130" t="s">
        <v>3895</v>
      </c>
      <c r="F141" s="2758"/>
      <c r="G141" s="2758"/>
      <c r="H141" s="3930"/>
      <c r="I141" s="3930"/>
      <c r="J141" s="3930"/>
      <c r="K141" s="2815"/>
      <c r="L141" s="3930"/>
      <c r="M141" s="3915"/>
      <c r="N141" s="3933"/>
      <c r="O141" s="3915"/>
      <c r="P141" s="3918"/>
      <c r="Q141" s="2762"/>
      <c r="R141" s="299"/>
      <c r="S141" s="3910"/>
    </row>
    <row r="142" spans="1:22" ht="42.75" x14ac:dyDescent="0.2">
      <c r="A142" s="409" t="s">
        <v>2453</v>
      </c>
      <c r="B142" s="409" t="s">
        <v>686</v>
      </c>
      <c r="C142" s="409" t="s">
        <v>687</v>
      </c>
      <c r="D142" s="886" t="s">
        <v>70</v>
      </c>
      <c r="E142" s="1130" t="s">
        <v>3895</v>
      </c>
      <c r="F142" s="2758"/>
      <c r="G142" s="2758"/>
      <c r="H142" s="3930"/>
      <c r="I142" s="3930"/>
      <c r="J142" s="3930"/>
      <c r="K142" s="2815"/>
      <c r="L142" s="3930"/>
      <c r="M142" s="3915"/>
      <c r="N142" s="3933"/>
      <c r="O142" s="3915"/>
      <c r="P142" s="3918"/>
      <c r="Q142" s="3011" t="s">
        <v>6015</v>
      </c>
      <c r="R142" s="299"/>
      <c r="S142" s="3910"/>
    </row>
    <row r="143" spans="1:22" x14ac:dyDescent="0.2">
      <c r="A143" s="409" t="s">
        <v>2454</v>
      </c>
      <c r="B143" s="409" t="s">
        <v>688</v>
      </c>
      <c r="C143" s="409" t="s">
        <v>689</v>
      </c>
      <c r="D143" s="886" t="s">
        <v>70</v>
      </c>
      <c r="E143" s="1130" t="s">
        <v>3895</v>
      </c>
      <c r="F143" s="2758"/>
      <c r="G143" s="2758"/>
      <c r="H143" s="3930"/>
      <c r="I143" s="3930"/>
      <c r="J143" s="3930"/>
      <c r="K143" s="2815"/>
      <c r="L143" s="3930"/>
      <c r="M143" s="3915"/>
      <c r="N143" s="3933"/>
      <c r="O143" s="3915"/>
      <c r="P143" s="3918"/>
      <c r="Q143" s="2762"/>
      <c r="R143" s="299"/>
      <c r="S143" s="3910"/>
    </row>
    <row r="144" spans="1:22" ht="30" x14ac:dyDescent="0.2">
      <c r="A144" s="409" t="s">
        <v>2455</v>
      </c>
      <c r="B144" s="409" t="s">
        <v>690</v>
      </c>
      <c r="C144" s="409" t="s">
        <v>691</v>
      </c>
      <c r="D144" s="886" t="s">
        <v>70</v>
      </c>
      <c r="E144" s="1130" t="s">
        <v>3895</v>
      </c>
      <c r="F144" s="2758"/>
      <c r="G144" s="2531"/>
      <c r="H144" s="3930"/>
      <c r="I144" s="3930"/>
      <c r="J144" s="3930"/>
      <c r="K144" s="2815"/>
      <c r="L144" s="3930"/>
      <c r="M144" s="3915"/>
      <c r="N144" s="3933"/>
      <c r="O144" s="3915"/>
      <c r="P144" s="3918"/>
      <c r="Q144" s="2532"/>
      <c r="R144" s="3420"/>
      <c r="S144" s="3910"/>
    </row>
    <row r="145" spans="1:22" x14ac:dyDescent="0.2">
      <c r="A145" s="409" t="s">
        <v>2897</v>
      </c>
      <c r="B145" s="409" t="s">
        <v>692</v>
      </c>
      <c r="C145" s="409" t="s">
        <v>693</v>
      </c>
      <c r="D145" s="886" t="s">
        <v>70</v>
      </c>
      <c r="E145" s="1130" t="s">
        <v>3895</v>
      </c>
      <c r="F145" s="2758"/>
      <c r="G145" s="2758"/>
      <c r="H145" s="3930"/>
      <c r="I145" s="3930"/>
      <c r="J145" s="3930"/>
      <c r="K145" s="2815"/>
      <c r="L145" s="3930"/>
      <c r="M145" s="3915"/>
      <c r="N145" s="3933"/>
      <c r="O145" s="3915"/>
      <c r="P145" s="3918"/>
      <c r="Q145" s="2762"/>
      <c r="R145" s="299"/>
      <c r="S145" s="3910"/>
    </row>
    <row r="146" spans="1:22" x14ac:dyDescent="0.2">
      <c r="A146" s="409" t="s">
        <v>2898</v>
      </c>
      <c r="B146" s="409" t="s">
        <v>694</v>
      </c>
      <c r="C146" s="409" t="s">
        <v>695</v>
      </c>
      <c r="D146" s="886" t="s">
        <v>70</v>
      </c>
      <c r="E146" s="1130" t="s">
        <v>3895</v>
      </c>
      <c r="F146" s="2758"/>
      <c r="G146" s="2758"/>
      <c r="H146" s="3930"/>
      <c r="I146" s="3930"/>
      <c r="J146" s="3930"/>
      <c r="K146" s="2815"/>
      <c r="L146" s="3930"/>
      <c r="M146" s="3915"/>
      <c r="N146" s="3933"/>
      <c r="O146" s="3915"/>
      <c r="P146" s="3918"/>
      <c r="Q146" s="2762"/>
      <c r="R146" s="299"/>
      <c r="S146" s="3910"/>
    </row>
    <row r="147" spans="1:22" x14ac:dyDescent="0.2">
      <c r="A147" s="409" t="s">
        <v>2899</v>
      </c>
      <c r="B147" s="409" t="s">
        <v>696</v>
      </c>
      <c r="C147" s="409" t="s">
        <v>697</v>
      </c>
      <c r="D147" s="886" t="s">
        <v>70</v>
      </c>
      <c r="E147" s="1130" t="s">
        <v>3895</v>
      </c>
      <c r="F147" s="2758"/>
      <c r="G147" s="2758"/>
      <c r="H147" s="3930"/>
      <c r="I147" s="3930"/>
      <c r="J147" s="3930"/>
      <c r="K147" s="2815"/>
      <c r="L147" s="3930"/>
      <c r="M147" s="3915"/>
      <c r="N147" s="3933"/>
      <c r="O147" s="3915"/>
      <c r="P147" s="3918"/>
      <c r="Q147" s="2762"/>
      <c r="R147" s="299"/>
      <c r="S147" s="3910"/>
    </row>
    <row r="148" spans="1:22" x14ac:dyDescent="0.2">
      <c r="A148" s="409" t="s">
        <v>2900</v>
      </c>
      <c r="B148" s="409" t="s">
        <v>698</v>
      </c>
      <c r="C148" s="409" t="s">
        <v>699</v>
      </c>
      <c r="D148" s="886" t="s">
        <v>70</v>
      </c>
      <c r="E148" s="1130" t="s">
        <v>3895</v>
      </c>
      <c r="F148" s="2758"/>
      <c r="G148" s="2758"/>
      <c r="H148" s="3931"/>
      <c r="I148" s="3931"/>
      <c r="J148" s="3931"/>
      <c r="K148" s="2815"/>
      <c r="L148" s="3931"/>
      <c r="M148" s="3916"/>
      <c r="N148" s="3934"/>
      <c r="O148" s="3916"/>
      <c r="P148" s="3919"/>
      <c r="Q148" s="2762"/>
      <c r="R148" s="299"/>
      <c r="S148" s="3911"/>
    </row>
    <row r="149" spans="1:22" ht="30" x14ac:dyDescent="0.2">
      <c r="A149" s="1427" t="s">
        <v>2901</v>
      </c>
      <c r="B149" s="1427" t="s">
        <v>701</v>
      </c>
      <c r="C149" s="1427" t="s">
        <v>702</v>
      </c>
      <c r="D149" s="1428" t="s">
        <v>70</v>
      </c>
      <c r="E149" s="1428" t="s">
        <v>3895</v>
      </c>
      <c r="F149" s="2767"/>
      <c r="G149" s="2768"/>
      <c r="H149" s="1439"/>
      <c r="I149" s="1439"/>
      <c r="J149" s="3056"/>
      <c r="K149" s="2818"/>
      <c r="L149" s="3056"/>
      <c r="M149" s="3056"/>
      <c r="N149" s="1439"/>
      <c r="O149" s="1439"/>
      <c r="P149" s="1439">
        <f>SUM(P150:P151)</f>
        <v>0</v>
      </c>
      <c r="Q149" s="2780"/>
      <c r="R149" s="111"/>
      <c r="S149" s="3482">
        <f>SUM(S150:S151)</f>
        <v>0</v>
      </c>
      <c r="V149" s="3472">
        <f t="shared" ref="V149:V150" si="12">P149-S149</f>
        <v>0</v>
      </c>
    </row>
    <row r="150" spans="1:22" x14ac:dyDescent="0.2">
      <c r="A150" s="1424" t="s">
        <v>4330</v>
      </c>
      <c r="B150" s="409" t="s">
        <v>703</v>
      </c>
      <c r="C150" s="409" t="s">
        <v>704</v>
      </c>
      <c r="D150" s="886" t="s">
        <v>70</v>
      </c>
      <c r="E150" s="1130" t="s">
        <v>3895</v>
      </c>
      <c r="F150" s="2531"/>
      <c r="G150" s="2531"/>
      <c r="H150" s="3914"/>
      <c r="I150" s="3914"/>
      <c r="J150" s="3914"/>
      <c r="K150" s="2820"/>
      <c r="L150" s="3914"/>
      <c r="M150" s="3914"/>
      <c r="N150" s="3932"/>
      <c r="O150" s="3914"/>
      <c r="P150" s="3917">
        <f>N150*O150</f>
        <v>0</v>
      </c>
      <c r="Q150" s="2532"/>
      <c r="R150" s="299"/>
      <c r="S150" s="3909"/>
      <c r="V150" s="3472">
        <f t="shared" si="12"/>
        <v>0</v>
      </c>
    </row>
    <row r="151" spans="1:22" x14ac:dyDescent="0.2">
      <c r="A151" s="1424" t="s">
        <v>4331</v>
      </c>
      <c r="B151" s="409" t="s">
        <v>705</v>
      </c>
      <c r="C151" s="409" t="s">
        <v>706</v>
      </c>
      <c r="D151" s="886" t="s">
        <v>70</v>
      </c>
      <c r="E151" s="1130" t="s">
        <v>3895</v>
      </c>
      <c r="F151" s="2531"/>
      <c r="G151" s="2531"/>
      <c r="H151" s="3916"/>
      <c r="I151" s="3916"/>
      <c r="J151" s="3916"/>
      <c r="K151" s="2820"/>
      <c r="L151" s="3916"/>
      <c r="M151" s="3916"/>
      <c r="N151" s="3934"/>
      <c r="O151" s="3916"/>
      <c r="P151" s="3919"/>
      <c r="Q151" s="2537"/>
      <c r="R151" s="299"/>
      <c r="S151" s="3911"/>
    </row>
    <row r="152" spans="1:22" x14ac:dyDescent="0.2">
      <c r="A152" s="1424" t="s">
        <v>2902</v>
      </c>
      <c r="B152" s="409" t="s">
        <v>707</v>
      </c>
      <c r="C152" s="409" t="s">
        <v>307</v>
      </c>
      <c r="D152" s="886" t="s">
        <v>70</v>
      </c>
      <c r="E152" s="1130" t="s">
        <v>3895</v>
      </c>
      <c r="F152" s="2531"/>
      <c r="G152" s="2531"/>
      <c r="H152" s="3054"/>
      <c r="I152" s="3054"/>
      <c r="J152" s="3054"/>
      <c r="K152" s="2820"/>
      <c r="L152" s="3054"/>
      <c r="M152" s="3054"/>
      <c r="N152" s="3055"/>
      <c r="O152" s="3054"/>
      <c r="P152" s="1440">
        <f>N152*O152</f>
        <v>0</v>
      </c>
      <c r="Q152" s="2537"/>
      <c r="R152" s="299"/>
      <c r="S152" s="3484"/>
    </row>
    <row r="153" spans="1:22" x14ac:dyDescent="0.2">
      <c r="A153" s="848" t="s">
        <v>2903</v>
      </c>
      <c r="B153" s="914" t="s">
        <v>709</v>
      </c>
      <c r="C153" s="100" t="s">
        <v>2436</v>
      </c>
      <c r="D153" s="973" t="s">
        <v>70</v>
      </c>
      <c r="E153" s="973" t="s">
        <v>3895</v>
      </c>
      <c r="F153" s="2779"/>
      <c r="G153" s="2766"/>
      <c r="H153" s="1438"/>
      <c r="I153" s="1438"/>
      <c r="J153" s="252"/>
      <c r="K153" s="2822"/>
      <c r="L153" s="252"/>
      <c r="M153" s="252"/>
      <c r="N153" s="3052"/>
      <c r="O153" s="1438"/>
      <c r="P153" s="1438">
        <f>SUM(P154:P160)</f>
        <v>1.8200000000000003</v>
      </c>
      <c r="Q153" s="2770"/>
      <c r="R153" s="113"/>
      <c r="S153" s="3480">
        <f>SUM(S154:S160)</f>
        <v>0</v>
      </c>
      <c r="V153" s="3472">
        <f t="shared" ref="V153:V154" si="13">P153-S153</f>
        <v>1.8200000000000003</v>
      </c>
    </row>
    <row r="154" spans="1:22" ht="85.5" x14ac:dyDescent="0.2">
      <c r="A154" s="2863" t="s">
        <v>2904</v>
      </c>
      <c r="B154" s="409" t="s">
        <v>640</v>
      </c>
      <c r="C154" s="409" t="s">
        <v>2437</v>
      </c>
      <c r="D154" s="886" t="s">
        <v>70</v>
      </c>
      <c r="E154" s="1130" t="s">
        <v>3895</v>
      </c>
      <c r="F154" s="2752"/>
      <c r="G154" s="2753"/>
      <c r="H154" s="3929"/>
      <c r="I154" s="3929"/>
      <c r="J154" s="3929"/>
      <c r="K154" s="2537"/>
      <c r="L154" s="3939" t="s">
        <v>5954</v>
      </c>
      <c r="M154" s="3914">
        <v>8500</v>
      </c>
      <c r="N154" s="3932">
        <f>+M154/100000</f>
        <v>8.5000000000000006E-2</v>
      </c>
      <c r="O154" s="3914">
        <v>20</v>
      </c>
      <c r="P154" s="3936">
        <f>+O154*N154</f>
        <v>1.7000000000000002</v>
      </c>
      <c r="Q154" s="3719" t="s">
        <v>6012</v>
      </c>
      <c r="R154" s="299"/>
      <c r="S154" s="3923"/>
      <c r="V154" s="3472">
        <f t="shared" si="13"/>
        <v>1.7000000000000002</v>
      </c>
    </row>
    <row r="155" spans="1:22" x14ac:dyDescent="0.2">
      <c r="A155" s="409" t="s">
        <v>2905</v>
      </c>
      <c r="B155" s="409" t="s">
        <v>700</v>
      </c>
      <c r="C155" s="409" t="s">
        <v>2438</v>
      </c>
      <c r="D155" s="886" t="s">
        <v>70</v>
      </c>
      <c r="E155" s="1130" t="s">
        <v>3895</v>
      </c>
      <c r="F155" s="2754"/>
      <c r="G155" s="2531"/>
      <c r="H155" s="3930"/>
      <c r="I155" s="3930"/>
      <c r="J155" s="3930"/>
      <c r="K155" s="2754"/>
      <c r="L155" s="3930"/>
      <c r="M155" s="3915"/>
      <c r="N155" s="3933"/>
      <c r="O155" s="3915"/>
      <c r="P155" s="3937"/>
      <c r="Q155" s="2866"/>
      <c r="R155" s="3613"/>
      <c r="S155" s="3924"/>
    </row>
    <row r="156" spans="1:22" x14ac:dyDescent="0.2">
      <c r="A156" s="409" t="s">
        <v>2906</v>
      </c>
      <c r="B156" s="410"/>
      <c r="C156" s="409" t="s">
        <v>2439</v>
      </c>
      <c r="D156" s="886" t="s">
        <v>70</v>
      </c>
      <c r="E156" s="1130" t="s">
        <v>3895</v>
      </c>
      <c r="F156" s="2754"/>
      <c r="G156" s="2531"/>
      <c r="H156" s="3930"/>
      <c r="I156" s="3930"/>
      <c r="J156" s="3930"/>
      <c r="K156" s="2754"/>
      <c r="L156" s="3930"/>
      <c r="M156" s="3915"/>
      <c r="N156" s="3933"/>
      <c r="O156" s="3915"/>
      <c r="P156" s="3937"/>
      <c r="Q156" s="3278"/>
      <c r="R156" s="299"/>
      <c r="S156" s="3924"/>
    </row>
    <row r="157" spans="1:22" x14ac:dyDescent="0.2">
      <c r="A157" s="409" t="s">
        <v>2907</v>
      </c>
      <c r="B157" s="410"/>
      <c r="C157" s="409" t="s">
        <v>2442</v>
      </c>
      <c r="D157" s="886" t="s">
        <v>70</v>
      </c>
      <c r="E157" s="1130" t="s">
        <v>3895</v>
      </c>
      <c r="F157" s="2711"/>
      <c r="G157" s="2531"/>
      <c r="H157" s="3930"/>
      <c r="I157" s="3930"/>
      <c r="J157" s="3930"/>
      <c r="K157" s="2711"/>
      <c r="L157" s="3930"/>
      <c r="M157" s="3915"/>
      <c r="N157" s="3933"/>
      <c r="O157" s="3915"/>
      <c r="P157" s="3937"/>
      <c r="Q157" s="2532"/>
      <c r="R157" s="299"/>
      <c r="S157" s="3924"/>
    </row>
    <row r="158" spans="1:22" x14ac:dyDescent="0.2">
      <c r="A158" s="409" t="s">
        <v>2908</v>
      </c>
      <c r="B158" s="410"/>
      <c r="C158" s="409" t="s">
        <v>2443</v>
      </c>
      <c r="D158" s="886" t="s">
        <v>70</v>
      </c>
      <c r="E158" s="1130" t="s">
        <v>3895</v>
      </c>
      <c r="F158" s="2754"/>
      <c r="G158" s="2531"/>
      <c r="H158" s="3931"/>
      <c r="I158" s="3931"/>
      <c r="J158" s="3931"/>
      <c r="K158" s="2754"/>
      <c r="L158" s="3931"/>
      <c r="M158" s="3916"/>
      <c r="N158" s="3934"/>
      <c r="O158" s="3916"/>
      <c r="P158" s="3938"/>
      <c r="Q158" s="2866"/>
      <c r="R158" s="3436"/>
      <c r="S158" s="3925"/>
    </row>
    <row r="159" spans="1:22" ht="42.75" x14ac:dyDescent="0.2">
      <c r="A159" s="409" t="s">
        <v>2909</v>
      </c>
      <c r="B159" s="410"/>
      <c r="C159" s="409" t="s">
        <v>2447</v>
      </c>
      <c r="D159" s="886" t="s">
        <v>70</v>
      </c>
      <c r="E159" s="1130" t="s">
        <v>3895</v>
      </c>
      <c r="F159" s="2711"/>
      <c r="G159" s="2531"/>
      <c r="H159" s="2712"/>
      <c r="I159" s="3053"/>
      <c r="J159" s="3053"/>
      <c r="K159" s="2711"/>
      <c r="L159" s="3721" t="s">
        <v>5954</v>
      </c>
      <c r="M159" s="3054">
        <v>12000</v>
      </c>
      <c r="N159" s="3055">
        <f>+M159/100000</f>
        <v>0.12</v>
      </c>
      <c r="O159" s="3054">
        <v>1</v>
      </c>
      <c r="P159" s="1440">
        <f>N159*O159</f>
        <v>0.12</v>
      </c>
      <c r="Q159" s="2866" t="s">
        <v>6014</v>
      </c>
      <c r="R159" s="299"/>
      <c r="S159" s="3484"/>
      <c r="T159" s="1160">
        <v>20.25</v>
      </c>
      <c r="V159" s="3472">
        <f t="shared" ref="V159:V163" si="14">P159-S159</f>
        <v>0.12</v>
      </c>
    </row>
    <row r="160" spans="1:22" ht="30" x14ac:dyDescent="0.2">
      <c r="A160" s="409" t="s">
        <v>2910</v>
      </c>
      <c r="B160" s="409" t="s">
        <v>714</v>
      </c>
      <c r="C160" s="409" t="s">
        <v>710</v>
      </c>
      <c r="D160" s="886" t="s">
        <v>70</v>
      </c>
      <c r="E160" s="1130" t="s">
        <v>3895</v>
      </c>
      <c r="F160" s="2711"/>
      <c r="G160" s="2531"/>
      <c r="H160" s="2712"/>
      <c r="I160" s="3053"/>
      <c r="J160" s="3053"/>
      <c r="K160" s="2711"/>
      <c r="L160" s="3053"/>
      <c r="M160" s="3054"/>
      <c r="N160" s="3055"/>
      <c r="O160" s="3054"/>
      <c r="P160" s="1440">
        <f>N160*O160</f>
        <v>0</v>
      </c>
      <c r="Q160" s="2532"/>
      <c r="R160" s="299"/>
      <c r="S160" s="3484"/>
      <c r="V160" s="3472">
        <f t="shared" si="14"/>
        <v>0</v>
      </c>
    </row>
    <row r="161" spans="1:22" ht="30" x14ac:dyDescent="0.2">
      <c r="A161" s="356">
        <v>8.1999999999999993</v>
      </c>
      <c r="B161" s="906" t="s">
        <v>715</v>
      </c>
      <c r="C161" s="99" t="s">
        <v>3917</v>
      </c>
      <c r="D161" s="886" t="s">
        <v>70</v>
      </c>
      <c r="E161" s="1215" t="s">
        <v>3895</v>
      </c>
      <c r="F161" s="2781"/>
      <c r="G161" s="2782"/>
      <c r="H161" s="2782"/>
      <c r="I161" s="2782"/>
      <c r="J161" s="407"/>
      <c r="K161" s="406"/>
      <c r="L161" s="407"/>
      <c r="M161" s="2785"/>
      <c r="N161" s="2786"/>
      <c r="O161" s="2781"/>
      <c r="P161" s="601">
        <f>N161*O161</f>
        <v>0</v>
      </c>
      <c r="Q161" s="2788"/>
      <c r="R161" s="112"/>
      <c r="S161" s="3485"/>
      <c r="V161" s="3472">
        <f t="shared" si="14"/>
        <v>0</v>
      </c>
    </row>
    <row r="162" spans="1:22" ht="30" x14ac:dyDescent="0.2">
      <c r="A162" s="356">
        <v>8.3000000000000007</v>
      </c>
      <c r="B162" s="906" t="s">
        <v>717</v>
      </c>
      <c r="C162" s="99" t="s">
        <v>718</v>
      </c>
      <c r="D162" s="886" t="s">
        <v>70</v>
      </c>
      <c r="E162" s="1215" t="s">
        <v>3895</v>
      </c>
      <c r="F162" s="2781"/>
      <c r="G162" s="2782"/>
      <c r="H162" s="2782"/>
      <c r="I162" s="2782"/>
      <c r="J162" s="407"/>
      <c r="K162" s="406"/>
      <c r="L162" s="407"/>
      <c r="M162" s="2787"/>
      <c r="N162" s="2786"/>
      <c r="O162" s="2781"/>
      <c r="P162" s="601">
        <f>N162*O162</f>
        <v>0</v>
      </c>
      <c r="Q162" s="2788"/>
      <c r="R162" s="112"/>
      <c r="S162" s="3485"/>
      <c r="V162" s="3472">
        <f t="shared" si="14"/>
        <v>0</v>
      </c>
    </row>
    <row r="163" spans="1:22" x14ac:dyDescent="0.2">
      <c r="A163" s="356">
        <v>8.4</v>
      </c>
      <c r="B163" s="906"/>
      <c r="C163" s="99" t="s">
        <v>719</v>
      </c>
      <c r="D163" s="1215" t="s">
        <v>70</v>
      </c>
      <c r="E163" s="1215" t="s">
        <v>3895</v>
      </c>
      <c r="F163" s="2783"/>
      <c r="G163" s="2784"/>
      <c r="H163" s="2784"/>
      <c r="I163" s="2784"/>
      <c r="J163" s="167"/>
      <c r="K163" s="1441"/>
      <c r="L163" s="167"/>
      <c r="M163" s="167"/>
      <c r="N163" s="601"/>
      <c r="O163" s="598"/>
      <c r="P163" s="170">
        <f>SUM(P164:P175)</f>
        <v>185.26500000000001</v>
      </c>
      <c r="Q163" s="112"/>
      <c r="R163" s="112"/>
      <c r="S163" s="3485">
        <f>SUM(S164:S175)</f>
        <v>0</v>
      </c>
      <c r="V163" s="3472">
        <f t="shared" si="14"/>
        <v>185.26500000000001</v>
      </c>
    </row>
    <row r="164" spans="1:22" ht="30" x14ac:dyDescent="0.2">
      <c r="A164" s="240" t="s">
        <v>720</v>
      </c>
      <c r="B164" s="441" t="s">
        <v>721</v>
      </c>
      <c r="C164" s="441" t="s">
        <v>722</v>
      </c>
      <c r="D164" s="886" t="s">
        <v>70</v>
      </c>
      <c r="E164" s="923" t="s">
        <v>3895</v>
      </c>
      <c r="F164" s="2758"/>
      <c r="G164" s="2762"/>
      <c r="H164" s="2762"/>
      <c r="I164" s="2762"/>
      <c r="J164" s="596"/>
      <c r="K164" s="1442"/>
      <c r="L164" s="2762"/>
      <c r="M164" s="2762"/>
      <c r="N164" s="2756"/>
      <c r="O164" s="2758"/>
      <c r="P164" s="1440">
        <f t="shared" ref="P164:P174" si="15">N164*O164</f>
        <v>0</v>
      </c>
      <c r="Q164" s="2762"/>
      <c r="R164" s="114"/>
      <c r="S164" s="3486"/>
    </row>
    <row r="165" spans="1:22" ht="60" x14ac:dyDescent="0.2">
      <c r="A165" s="240" t="s">
        <v>723</v>
      </c>
      <c r="B165" s="441" t="s">
        <v>724</v>
      </c>
      <c r="C165" s="441" t="s">
        <v>725</v>
      </c>
      <c r="D165" s="886" t="s">
        <v>70</v>
      </c>
      <c r="E165" s="923" t="s">
        <v>3895</v>
      </c>
      <c r="F165" s="2758"/>
      <c r="G165" s="2762"/>
      <c r="H165" s="2762"/>
      <c r="I165" s="2762"/>
      <c r="J165" s="596"/>
      <c r="K165" s="1442"/>
      <c r="L165" s="2762"/>
      <c r="M165" s="2762"/>
      <c r="N165" s="2756"/>
      <c r="O165" s="2758"/>
      <c r="P165" s="1440">
        <f t="shared" si="15"/>
        <v>0</v>
      </c>
      <c r="Q165" s="2762"/>
      <c r="R165" s="114"/>
      <c r="S165" s="3486"/>
    </row>
    <row r="166" spans="1:22" ht="45" x14ac:dyDescent="0.2">
      <c r="A166" s="240" t="s">
        <v>726</v>
      </c>
      <c r="B166" s="441" t="s">
        <v>727</v>
      </c>
      <c r="C166" s="441" t="s">
        <v>728</v>
      </c>
      <c r="D166" s="1429" t="s">
        <v>90</v>
      </c>
      <c r="E166" s="923" t="s">
        <v>96</v>
      </c>
      <c r="F166" s="2758"/>
      <c r="G166" s="2762"/>
      <c r="H166" s="2762"/>
      <c r="I166" s="2762"/>
      <c r="J166" s="596"/>
      <c r="K166" s="1442"/>
      <c r="L166" s="2762"/>
      <c r="M166" s="2762"/>
      <c r="N166" s="2756"/>
      <c r="O166" s="2758"/>
      <c r="P166" s="1440">
        <f t="shared" si="15"/>
        <v>0</v>
      </c>
      <c r="Q166" s="2762"/>
      <c r="R166" s="240">
        <f>'Ab1. RMNCH+A'!Q363</f>
        <v>0</v>
      </c>
      <c r="S166" s="3487">
        <f>'Ab1. RMNCH+A'!R363</f>
        <v>0</v>
      </c>
    </row>
    <row r="167" spans="1:22" ht="30" x14ac:dyDescent="0.2">
      <c r="A167" s="240" t="s">
        <v>729</v>
      </c>
      <c r="B167" s="409" t="s">
        <v>730</v>
      </c>
      <c r="C167" s="409" t="s">
        <v>4149</v>
      </c>
      <c r="D167" s="1429" t="s">
        <v>90</v>
      </c>
      <c r="E167" s="1130" t="s">
        <v>193</v>
      </c>
      <c r="F167" s="2758"/>
      <c r="G167" s="2758"/>
      <c r="H167" s="2758"/>
      <c r="I167" s="2758"/>
      <c r="J167" s="411"/>
      <c r="K167" s="1442"/>
      <c r="L167" s="2758"/>
      <c r="M167" s="2758"/>
      <c r="N167" s="2756"/>
      <c r="O167" s="2758"/>
      <c r="P167" s="1440">
        <f t="shared" si="15"/>
        <v>0</v>
      </c>
      <c r="Q167" s="2762"/>
      <c r="R167" s="409">
        <f>'Ab1. RMNCH+A'!Q312</f>
        <v>0</v>
      </c>
      <c r="S167" s="3483">
        <f>'Ab1. RMNCH+A'!R312</f>
        <v>0</v>
      </c>
    </row>
    <row r="168" spans="1:22" x14ac:dyDescent="0.2">
      <c r="A168" s="240" t="s">
        <v>731</v>
      </c>
      <c r="B168" s="409" t="s">
        <v>732</v>
      </c>
      <c r="C168" s="409" t="s">
        <v>733</v>
      </c>
      <c r="D168" s="1429" t="s">
        <v>90</v>
      </c>
      <c r="E168" s="1130" t="s">
        <v>91</v>
      </c>
      <c r="F168" s="2537"/>
      <c r="G168" s="2534"/>
      <c r="H168" s="2789"/>
      <c r="I168" s="2534"/>
      <c r="J168" s="411"/>
      <c r="K168" s="1442"/>
      <c r="L168" s="2534"/>
      <c r="M168" s="2534"/>
      <c r="N168" s="2756"/>
      <c r="O168" s="2537"/>
      <c r="P168" s="1440">
        <f t="shared" si="15"/>
        <v>0</v>
      </c>
      <c r="Q168" s="2246"/>
      <c r="R168" s="409">
        <f>'Ab1. RMNCH+A'!Q237</f>
        <v>0</v>
      </c>
      <c r="S168" s="3483">
        <f>'Ab1. RMNCH+A'!R237</f>
        <v>0</v>
      </c>
      <c r="V168" s="3472">
        <f t="shared" ref="V168:V170" si="16">P168-S168</f>
        <v>0</v>
      </c>
    </row>
    <row r="169" spans="1:22" ht="60" x14ac:dyDescent="0.2">
      <c r="A169" s="240" t="s">
        <v>734</v>
      </c>
      <c r="B169" s="409" t="s">
        <v>735</v>
      </c>
      <c r="C169" s="409" t="s">
        <v>3980</v>
      </c>
      <c r="D169" s="1429" t="s">
        <v>90</v>
      </c>
      <c r="E169" s="1130" t="s">
        <v>91</v>
      </c>
      <c r="F169" s="2537"/>
      <c r="G169" s="2534"/>
      <c r="H169" s="2789"/>
      <c r="I169" s="2534"/>
      <c r="J169" s="411"/>
      <c r="K169" s="1442"/>
      <c r="L169" s="2534"/>
      <c r="M169" s="2534"/>
      <c r="N169" s="2756"/>
      <c r="O169" s="2537"/>
      <c r="P169" s="1440">
        <f t="shared" si="15"/>
        <v>0</v>
      </c>
      <c r="Q169" s="2246"/>
      <c r="R169" s="409">
        <f>'Ab1. RMNCH+A'!Q238</f>
        <v>0</v>
      </c>
      <c r="S169" s="3483">
        <f>'Ab1. RMNCH+A'!R238</f>
        <v>0</v>
      </c>
      <c r="V169" s="3472">
        <f t="shared" si="16"/>
        <v>0</v>
      </c>
    </row>
    <row r="170" spans="1:22" ht="30" x14ac:dyDescent="0.2">
      <c r="A170" s="240" t="s">
        <v>736</v>
      </c>
      <c r="B170" s="409" t="s">
        <v>737</v>
      </c>
      <c r="C170" s="409" t="s">
        <v>3981</v>
      </c>
      <c r="D170" s="1429" t="s">
        <v>90</v>
      </c>
      <c r="E170" s="1130" t="s">
        <v>91</v>
      </c>
      <c r="F170" s="2537"/>
      <c r="G170" s="2534"/>
      <c r="H170" s="2789"/>
      <c r="I170" s="2534"/>
      <c r="J170" s="260"/>
      <c r="K170" s="1442"/>
      <c r="L170" s="2534"/>
      <c r="M170" s="2534"/>
      <c r="N170" s="2756"/>
      <c r="O170" s="2537"/>
      <c r="P170" s="1440">
        <f t="shared" si="15"/>
        <v>0</v>
      </c>
      <c r="Q170" s="2268"/>
      <c r="R170" s="409">
        <f>'Ab1. RMNCH+A'!Q239</f>
        <v>0</v>
      </c>
      <c r="S170" s="3483">
        <f>'Ab1. RMNCH+A'!R239</f>
        <v>0</v>
      </c>
      <c r="V170" s="3472">
        <f t="shared" si="16"/>
        <v>0</v>
      </c>
    </row>
    <row r="171" spans="1:22" ht="30" x14ac:dyDescent="0.2">
      <c r="A171" s="240" t="s">
        <v>738</v>
      </c>
      <c r="B171" s="409" t="s">
        <v>739</v>
      </c>
      <c r="C171" s="409" t="s">
        <v>3982</v>
      </c>
      <c r="D171" s="1429" t="s">
        <v>90</v>
      </c>
      <c r="E171" s="1130" t="s">
        <v>91</v>
      </c>
      <c r="F171" s="2537"/>
      <c r="G171" s="2534"/>
      <c r="H171" s="2789"/>
      <c r="I171" s="2534"/>
      <c r="J171" s="260"/>
      <c r="K171" s="1442"/>
      <c r="L171" s="2534"/>
      <c r="M171" s="2534"/>
      <c r="N171" s="2756"/>
      <c r="O171" s="2537"/>
      <c r="P171" s="1440">
        <f t="shared" si="15"/>
        <v>0</v>
      </c>
      <c r="Q171" s="2797"/>
      <c r="R171" s="409">
        <f>'Ab1. RMNCH+A'!Q240</f>
        <v>0</v>
      </c>
      <c r="S171" s="3483">
        <f>'Ab1. RMNCH+A'!R240</f>
        <v>0</v>
      </c>
    </row>
    <row r="172" spans="1:22" ht="45" x14ac:dyDescent="0.2">
      <c r="A172" s="240" t="s">
        <v>740</v>
      </c>
      <c r="B172" s="409" t="s">
        <v>2041</v>
      </c>
      <c r="C172" s="1430" t="s">
        <v>5580</v>
      </c>
      <c r="D172" s="886" t="s">
        <v>70</v>
      </c>
      <c r="E172" s="1426" t="s">
        <v>4365</v>
      </c>
      <c r="F172" s="2537"/>
      <c r="G172" s="2534"/>
      <c r="H172" s="2776"/>
      <c r="I172" s="2534"/>
      <c r="J172" s="260"/>
      <c r="K172" s="1442"/>
      <c r="L172" s="2534"/>
      <c r="M172" s="2534"/>
      <c r="N172" s="2756"/>
      <c r="O172" s="2537"/>
      <c r="P172" s="1440">
        <f t="shared" si="15"/>
        <v>0</v>
      </c>
      <c r="Q172" s="2574"/>
      <c r="R172" s="409">
        <f>'Abs6. CPHC'!Q20</f>
        <v>0</v>
      </c>
      <c r="S172" s="3483">
        <f>'Abs6. CPHC'!R20</f>
        <v>0</v>
      </c>
    </row>
    <row r="173" spans="1:22" ht="30" x14ac:dyDescent="0.2">
      <c r="A173" s="240" t="s">
        <v>2420</v>
      </c>
      <c r="B173" s="409" t="s">
        <v>4596</v>
      </c>
      <c r="C173" s="1430" t="s">
        <v>5579</v>
      </c>
      <c r="D173" s="886" t="s">
        <v>70</v>
      </c>
      <c r="E173" s="1426" t="s">
        <v>4365</v>
      </c>
      <c r="F173" s="2537"/>
      <c r="G173" s="2534"/>
      <c r="H173" s="2776"/>
      <c r="I173" s="2534"/>
      <c r="J173" s="260"/>
      <c r="K173" s="1442"/>
      <c r="L173" s="2534"/>
      <c r="M173" s="2534"/>
      <c r="N173" s="2756"/>
      <c r="O173" s="2537"/>
      <c r="P173" s="1440">
        <f t="shared" si="15"/>
        <v>0</v>
      </c>
      <c r="Q173" s="2797"/>
      <c r="R173" s="409">
        <f>'Abs6. CPHC'!Q20</f>
        <v>0</v>
      </c>
      <c r="S173" s="3483">
        <f>'Abs6. CPHC'!R20</f>
        <v>0</v>
      </c>
    </row>
    <row r="174" spans="1:22" s="1431" customFormat="1" ht="30" x14ac:dyDescent="0.2">
      <c r="A174" s="248" t="s">
        <v>4595</v>
      </c>
      <c r="B174" s="410"/>
      <c r="C174" s="410" t="s">
        <v>4621</v>
      </c>
      <c r="D174" s="886" t="s">
        <v>70</v>
      </c>
      <c r="E174" s="1147" t="s">
        <v>3323</v>
      </c>
      <c r="F174" s="2790"/>
      <c r="G174" s="2791"/>
      <c r="H174" s="2792"/>
      <c r="I174" s="2792"/>
      <c r="J174" s="314"/>
      <c r="K174" s="1442"/>
      <c r="L174" s="2795"/>
      <c r="M174" s="2795"/>
      <c r="N174" s="2796"/>
      <c r="O174" s="2790"/>
      <c r="P174" s="1443">
        <f t="shared" si="15"/>
        <v>0</v>
      </c>
      <c r="Q174" s="3046"/>
      <c r="R174" s="410">
        <f>'Abs12. NVHCP'!Q23</f>
        <v>0</v>
      </c>
      <c r="S174" s="3488">
        <f>'Abs12. NVHCP'!R23</f>
        <v>0</v>
      </c>
      <c r="V174" s="3472">
        <f t="shared" ref="V174:V175" si="17">P174-S174</f>
        <v>0</v>
      </c>
    </row>
    <row r="175" spans="1:22" ht="128.25" x14ac:dyDescent="0.2">
      <c r="A175" s="240" t="s">
        <v>4620</v>
      </c>
      <c r="B175" s="410"/>
      <c r="C175" s="1432" t="s">
        <v>5684</v>
      </c>
      <c r="D175" s="886" t="s">
        <v>70</v>
      </c>
      <c r="E175" s="1130" t="s">
        <v>3895</v>
      </c>
      <c r="F175" s="2537"/>
      <c r="G175" s="2793"/>
      <c r="H175" s="2794"/>
      <c r="I175" s="2794"/>
      <c r="J175" s="411"/>
      <c r="K175" s="1442"/>
      <c r="L175" s="2534" t="s">
        <v>5964</v>
      </c>
      <c r="M175" s="2534">
        <f>250</f>
        <v>250</v>
      </c>
      <c r="N175" s="2756">
        <f>+M175/100000</f>
        <v>2.5000000000000001E-3</v>
      </c>
      <c r="O175" s="2537">
        <f>+(417*26*3)+(385*18*6)</f>
        <v>74106</v>
      </c>
      <c r="P175" s="1440">
        <f>N175*O175</f>
        <v>185.26500000000001</v>
      </c>
      <c r="Q175" s="2574" t="s">
        <v>5965</v>
      </c>
      <c r="R175" s="3612"/>
      <c r="S175" s="3611"/>
      <c r="V175" s="3472">
        <f t="shared" si="17"/>
        <v>185.26500000000001</v>
      </c>
    </row>
    <row r="178" spans="15:19" x14ac:dyDescent="0.2">
      <c r="O178" s="178"/>
      <c r="S178" s="1434"/>
    </row>
    <row r="179" spans="15:19" x14ac:dyDescent="0.2">
      <c r="O179" s="178"/>
      <c r="S179" s="1434"/>
    </row>
  </sheetData>
  <sheetProtection formatCells="0" formatColumns="0" formatRows="0" autoFilter="0"/>
  <autoFilter ref="A6:S175"/>
  <mergeCells count="169">
    <mergeCell ref="Q28:Q30"/>
    <mergeCell ref="H154:H158"/>
    <mergeCell ref="I154:I158"/>
    <mergeCell ref="J154:J158"/>
    <mergeCell ref="H138:H148"/>
    <mergeCell ref="I138:I148"/>
    <mergeCell ref="J138:J148"/>
    <mergeCell ref="H150:H151"/>
    <mergeCell ref="I150:I151"/>
    <mergeCell ref="J150:J151"/>
    <mergeCell ref="H109:H130"/>
    <mergeCell ref="I109:I130"/>
    <mergeCell ref="J109:J130"/>
    <mergeCell ref="H132:H136"/>
    <mergeCell ref="I132:I136"/>
    <mergeCell ref="J132:J136"/>
    <mergeCell ref="H95:H98"/>
    <mergeCell ref="I95:I98"/>
    <mergeCell ref="J95:J98"/>
    <mergeCell ref="H100:H104"/>
    <mergeCell ref="I100:I104"/>
    <mergeCell ref="J100:J104"/>
    <mergeCell ref="H81:H86"/>
    <mergeCell ref="I81:I86"/>
    <mergeCell ref="J81:J86"/>
    <mergeCell ref="H88:H93"/>
    <mergeCell ref="I88:I93"/>
    <mergeCell ref="J88:J93"/>
    <mergeCell ref="H62:H66"/>
    <mergeCell ref="I62:I66"/>
    <mergeCell ref="J62:J66"/>
    <mergeCell ref="H68:H79"/>
    <mergeCell ref="I68:I79"/>
    <mergeCell ref="J68:J79"/>
    <mergeCell ref="H54:H55"/>
    <mergeCell ref="I54:I55"/>
    <mergeCell ref="J54:J55"/>
    <mergeCell ref="H57:H59"/>
    <mergeCell ref="I57:I59"/>
    <mergeCell ref="J57:J59"/>
    <mergeCell ref="H35:H44"/>
    <mergeCell ref="I35:I44"/>
    <mergeCell ref="J35:J44"/>
    <mergeCell ref="H46:H52"/>
    <mergeCell ref="I46:I52"/>
    <mergeCell ref="J46:J52"/>
    <mergeCell ref="H10:H26"/>
    <mergeCell ref="I10:I26"/>
    <mergeCell ref="J10:J26"/>
    <mergeCell ref="H28:H33"/>
    <mergeCell ref="I28:I33"/>
    <mergeCell ref="J28:J33"/>
    <mergeCell ref="L154:L158"/>
    <mergeCell ref="M154:M158"/>
    <mergeCell ref="N154:N158"/>
    <mergeCell ref="L132:L136"/>
    <mergeCell ref="M132:M136"/>
    <mergeCell ref="N132:N136"/>
    <mergeCell ref="L95:L98"/>
    <mergeCell ref="M95:M98"/>
    <mergeCell ref="N95:N98"/>
    <mergeCell ref="L68:L79"/>
    <mergeCell ref="M68:M79"/>
    <mergeCell ref="N68:N79"/>
    <mergeCell ref="L54:L55"/>
    <mergeCell ref="M54:M55"/>
    <mergeCell ref="N54:N55"/>
    <mergeCell ref="L28:L33"/>
    <mergeCell ref="M28:M33"/>
    <mergeCell ref="N28:N33"/>
    <mergeCell ref="O154:O158"/>
    <mergeCell ref="P154:P158"/>
    <mergeCell ref="L150:L151"/>
    <mergeCell ref="M150:M151"/>
    <mergeCell ref="N150:N151"/>
    <mergeCell ref="O150:O151"/>
    <mergeCell ref="P150:P151"/>
    <mergeCell ref="L138:L148"/>
    <mergeCell ref="M138:M148"/>
    <mergeCell ref="N138:N148"/>
    <mergeCell ref="O138:O148"/>
    <mergeCell ref="P138:P148"/>
    <mergeCell ref="O132:O136"/>
    <mergeCell ref="P132:P136"/>
    <mergeCell ref="L109:L130"/>
    <mergeCell ref="M109:M130"/>
    <mergeCell ref="N109:N130"/>
    <mergeCell ref="O109:O130"/>
    <mergeCell ref="P109:P130"/>
    <mergeCell ref="L100:L104"/>
    <mergeCell ref="M100:M104"/>
    <mergeCell ref="N100:N104"/>
    <mergeCell ref="O100:O104"/>
    <mergeCell ref="P100:P104"/>
    <mergeCell ref="L57:L59"/>
    <mergeCell ref="M57:M59"/>
    <mergeCell ref="N57:N59"/>
    <mergeCell ref="O57:O59"/>
    <mergeCell ref="P57:P59"/>
    <mergeCell ref="O95:O98"/>
    <mergeCell ref="P95:P98"/>
    <mergeCell ref="L88:L93"/>
    <mergeCell ref="M88:M93"/>
    <mergeCell ref="N88:N93"/>
    <mergeCell ref="O88:O93"/>
    <mergeCell ref="P88:P93"/>
    <mergeCell ref="L81:L86"/>
    <mergeCell ref="M81:M86"/>
    <mergeCell ref="N81:N86"/>
    <mergeCell ref="O81:O86"/>
    <mergeCell ref="P81:P86"/>
    <mergeCell ref="P10:P26"/>
    <mergeCell ref="S68:S79"/>
    <mergeCell ref="S62:S66"/>
    <mergeCell ref="S57:S59"/>
    <mergeCell ref="S10:S26"/>
    <mergeCell ref="O54:O55"/>
    <mergeCell ref="P54:P55"/>
    <mergeCell ref="L46:L52"/>
    <mergeCell ref="M46:M52"/>
    <mergeCell ref="N46:N52"/>
    <mergeCell ref="O46:O52"/>
    <mergeCell ref="P46:P52"/>
    <mergeCell ref="L35:L44"/>
    <mergeCell ref="M35:M44"/>
    <mergeCell ref="N35:N44"/>
    <mergeCell ref="O35:O44"/>
    <mergeCell ref="P35:P44"/>
    <mergeCell ref="O68:O79"/>
    <mergeCell ref="P68:P79"/>
    <mergeCell ref="L62:L66"/>
    <mergeCell ref="M62:M66"/>
    <mergeCell ref="N62:N66"/>
    <mergeCell ref="O62:O66"/>
    <mergeCell ref="P62:P66"/>
    <mergeCell ref="S154:S158"/>
    <mergeCell ref="S109:S130"/>
    <mergeCell ref="S132:S136"/>
    <mergeCell ref="S95:S98"/>
    <mergeCell ref="S46:S52"/>
    <mergeCell ref="S81:S86"/>
    <mergeCell ref="S88:S93"/>
    <mergeCell ref="S100:S104"/>
    <mergeCell ref="S138:S148"/>
    <mergeCell ref="S150:S151"/>
    <mergeCell ref="AI1:AO1"/>
    <mergeCell ref="AP1:BA1"/>
    <mergeCell ref="S28:S33"/>
    <mergeCell ref="S54:S55"/>
    <mergeCell ref="S35:S44"/>
    <mergeCell ref="K5:Q5"/>
    <mergeCell ref="R5:S5"/>
    <mergeCell ref="A1:C1"/>
    <mergeCell ref="F5:J5"/>
    <mergeCell ref="A5:A6"/>
    <mergeCell ref="B5:B6"/>
    <mergeCell ref="C5:C6"/>
    <mergeCell ref="D5:D6"/>
    <mergeCell ref="E5:E6"/>
    <mergeCell ref="E1:E2"/>
    <mergeCell ref="F1:N1"/>
    <mergeCell ref="A2:A4"/>
    <mergeCell ref="O1:AH1"/>
    <mergeCell ref="O28:O33"/>
    <mergeCell ref="P28:P33"/>
    <mergeCell ref="L10:L26"/>
    <mergeCell ref="M10:M26"/>
    <mergeCell ref="N10:N26"/>
    <mergeCell ref="O10:O26"/>
  </mergeCells>
  <phoneticPr fontId="57" type="noConversion"/>
  <pageMargins left="0.7" right="0.7" top="0.75" bottom="0.75" header="0.3" footer="0.3"/>
  <pageSetup orientation="portrait" horizontalDpi="4294967295"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67"/>
  <sheetViews>
    <sheetView zoomScale="60" zoomScaleNormal="60" workbookViewId="0">
      <pane xSplit="5" ySplit="6" topLeftCell="F13" activePane="bottomRight" state="frozen"/>
      <selection activeCell="A2" sqref="A2:A4"/>
      <selection pane="topRight" activeCell="A2" sqref="A2:A4"/>
      <selection pane="bottomLeft" activeCell="A2" sqref="A2:A4"/>
      <selection pane="bottomRight" activeCell="O47" sqref="O47"/>
    </sheetView>
  </sheetViews>
  <sheetFormatPr defaultColWidth="9.140625" defaultRowHeight="15" x14ac:dyDescent="0.2"/>
  <cols>
    <col min="1" max="1" width="12.28515625" style="1400" customWidth="1"/>
    <col min="2" max="2" width="11.28515625" style="1488" customWidth="1"/>
    <col min="3" max="3" width="55.5703125" style="1401" customWidth="1"/>
    <col min="4" max="4" width="10.140625" style="1088" customWidth="1"/>
    <col min="5" max="5" width="18.140625" style="1404" customWidth="1"/>
    <col min="6" max="6" width="16.42578125" style="1160" customWidth="1"/>
    <col min="7" max="7" width="21.140625" style="1160" customWidth="1"/>
    <col min="8" max="8" width="15.85546875" style="1160" customWidth="1"/>
    <col min="9" max="9" width="16.42578125" style="1160" customWidth="1"/>
    <col min="10" max="10" width="16.140625" style="1160" customWidth="1"/>
    <col min="11" max="11" width="14.85546875" style="1366" customWidth="1"/>
    <col min="12" max="12" width="15.42578125" style="1366" customWidth="1"/>
    <col min="13" max="13" width="13.42578125" style="1489" customWidth="1"/>
    <col min="14" max="14" width="10.5703125" style="1366" customWidth="1"/>
    <col min="15" max="15" width="12.140625" style="1489" bestFit="1" customWidth="1"/>
    <col min="16" max="16" width="49.140625" style="1400" customWidth="1"/>
    <col min="17" max="17" width="41.42578125" style="1400" customWidth="1"/>
    <col min="18" max="18" width="11.5703125" style="1298" customWidth="1"/>
    <col min="19" max="19" width="6" style="1366" bestFit="1" customWidth="1"/>
    <col min="20" max="20" width="3.7109375" style="1366" bestFit="1" customWidth="1"/>
    <col min="21" max="21" width="5.5703125" style="1366" bestFit="1" customWidth="1"/>
    <col min="22" max="22" width="3.85546875" style="1366" bestFit="1" customWidth="1"/>
    <col min="23" max="23" width="5.5703125" style="1366" bestFit="1" customWidth="1"/>
    <col min="24" max="24" width="4.5703125" style="1366" bestFit="1" customWidth="1"/>
    <col min="25" max="25" width="5.7109375" style="1366" bestFit="1" customWidth="1"/>
    <col min="26" max="26" width="7.140625" style="1366" bestFit="1" customWidth="1"/>
    <col min="27" max="27" width="5.5703125" style="1366" bestFit="1" customWidth="1"/>
    <col min="28" max="28" width="8" style="1366" bestFit="1" customWidth="1"/>
    <col min="29" max="29" width="4.140625" style="1366" bestFit="1" customWidth="1"/>
    <col min="30" max="30" width="3.85546875" style="1366" bestFit="1" customWidth="1"/>
    <col min="31" max="31" width="7.140625" style="1366" bestFit="1" customWidth="1"/>
    <col min="32" max="32" width="5.5703125" style="1366" bestFit="1" customWidth="1"/>
    <col min="33" max="34" width="7.140625" style="1366" bestFit="1" customWidth="1"/>
    <col min="35" max="35" width="5.5703125" style="1366" bestFit="1" customWidth="1"/>
    <col min="36" max="36" width="8" style="1366" bestFit="1" customWidth="1"/>
    <col min="37" max="38" width="5.28515625" style="1366" bestFit="1" customWidth="1"/>
    <col min="39" max="39" width="6.85546875" style="1366" bestFit="1" customWidth="1"/>
    <col min="40" max="42" width="5.5703125" style="1366" bestFit="1" customWidth="1"/>
    <col min="43" max="43" width="6.28515625" style="1366" bestFit="1" customWidth="1"/>
    <col min="44" max="44" width="6.5703125" style="1366" bestFit="1" customWidth="1"/>
    <col min="45" max="45" width="5.42578125" style="1366" bestFit="1" customWidth="1"/>
    <col min="46" max="46" width="7.5703125" style="1366" bestFit="1" customWidth="1"/>
    <col min="47" max="47" width="7.42578125" style="1366" bestFit="1" customWidth="1"/>
    <col min="48" max="48" width="8" style="1366" bestFit="1" customWidth="1"/>
    <col min="49" max="49" width="6" style="1366" bestFit="1" customWidth="1"/>
    <col min="50" max="50" width="5.5703125" style="1366" bestFit="1" customWidth="1"/>
    <col min="51" max="51" width="6.42578125" style="1366" bestFit="1" customWidth="1"/>
    <col min="52" max="52" width="6.7109375" style="1366" bestFit="1" customWidth="1"/>
    <col min="53" max="53" width="7.5703125" style="1366" bestFit="1" customWidth="1"/>
    <col min="54" max="16384" width="9.140625" style="1366"/>
  </cols>
  <sheetData>
    <row r="1" spans="1:53" x14ac:dyDescent="0.2">
      <c r="A1" s="3852" t="s">
        <v>741</v>
      </c>
      <c r="B1" s="3853"/>
      <c r="C1" s="3854"/>
      <c r="D1" s="1191"/>
      <c r="E1" s="3825" t="s">
        <v>4719</v>
      </c>
      <c r="F1" s="3894" t="s">
        <v>4717</v>
      </c>
      <c r="G1" s="3895"/>
      <c r="H1" s="3895"/>
      <c r="I1" s="3895"/>
      <c r="J1" s="3895"/>
      <c r="K1" s="3895"/>
      <c r="L1" s="3895"/>
      <c r="M1" s="3895"/>
      <c r="N1" s="3896"/>
      <c r="O1" s="3830" t="s">
        <v>70</v>
      </c>
      <c r="P1" s="3831"/>
      <c r="Q1" s="3831"/>
      <c r="R1" s="3831"/>
      <c r="S1" s="3831"/>
      <c r="T1" s="3831"/>
      <c r="U1" s="3831"/>
      <c r="V1" s="3831"/>
      <c r="W1" s="3831"/>
      <c r="X1" s="3831"/>
      <c r="Y1" s="3831"/>
      <c r="Z1" s="3831"/>
      <c r="AA1" s="3831"/>
      <c r="AB1" s="3831"/>
      <c r="AC1" s="3831"/>
      <c r="AD1" s="3831"/>
      <c r="AE1" s="3831"/>
      <c r="AF1" s="3831"/>
      <c r="AG1" s="3831"/>
      <c r="AH1" s="3831"/>
      <c r="AI1" s="3885" t="s">
        <v>4366</v>
      </c>
      <c r="AJ1" s="3886"/>
      <c r="AK1" s="3886"/>
      <c r="AL1" s="3886"/>
      <c r="AM1" s="3886"/>
      <c r="AN1" s="3886"/>
      <c r="AO1" s="3887"/>
      <c r="AP1" s="3872" t="s">
        <v>85</v>
      </c>
      <c r="AQ1" s="3873"/>
      <c r="AR1" s="3873"/>
      <c r="AS1" s="3873"/>
      <c r="AT1" s="3873"/>
      <c r="AU1" s="3873"/>
      <c r="AV1" s="3873"/>
      <c r="AW1" s="3873"/>
      <c r="AX1" s="3873"/>
      <c r="AY1" s="3873"/>
      <c r="AZ1" s="3873"/>
      <c r="BA1" s="3874"/>
    </row>
    <row r="2" spans="1:53" s="1368" customFormat="1" ht="45" x14ac:dyDescent="0.2">
      <c r="A2" s="3811" t="str">
        <f>HYPERLINK("#Index!A4", "Index Pg")</f>
        <v>Index Pg</v>
      </c>
      <c r="B2" s="1367" t="str">
        <f>HYPERLINK("#'Summary of Abstracts'!A2", "Summary of Abst.")</f>
        <v>Summary of Abst.</v>
      </c>
      <c r="C2" s="836"/>
      <c r="D2" s="1193"/>
      <c r="E2" s="3825"/>
      <c r="F2" s="884" t="s">
        <v>118</v>
      </c>
      <c r="G2" s="884" t="s">
        <v>131</v>
      </c>
      <c r="H2" s="884" t="s">
        <v>91</v>
      </c>
      <c r="I2" s="884" t="s">
        <v>4715</v>
      </c>
      <c r="J2" s="884" t="s">
        <v>96</v>
      </c>
      <c r="K2" s="1194" t="s">
        <v>4071</v>
      </c>
      <c r="L2" s="885" t="s">
        <v>4716</v>
      </c>
      <c r="M2" s="885" t="s">
        <v>4720</v>
      </c>
      <c r="N2" s="885" t="s">
        <v>208</v>
      </c>
      <c r="O2" s="887" t="s">
        <v>4365</v>
      </c>
      <c r="P2" s="887" t="s">
        <v>3855</v>
      </c>
      <c r="Q2" s="887" t="s">
        <v>4729</v>
      </c>
      <c r="R2" s="887" t="s">
        <v>4726</v>
      </c>
      <c r="S2" s="887"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307</v>
      </c>
      <c r="AI2" s="888" t="s">
        <v>293</v>
      </c>
      <c r="AJ2" s="888" t="s">
        <v>114</v>
      </c>
      <c r="AK2" s="888" t="s">
        <v>146</v>
      </c>
      <c r="AL2" s="888" t="s">
        <v>4683</v>
      </c>
      <c r="AM2" s="888" t="s">
        <v>3323</v>
      </c>
      <c r="AN2" s="888" t="s">
        <v>3993</v>
      </c>
      <c r="AO2" s="888" t="s">
        <v>4553</v>
      </c>
      <c r="AP2" s="889" t="s">
        <v>86</v>
      </c>
      <c r="AQ2" s="889" t="s">
        <v>150</v>
      </c>
      <c r="AR2" s="889" t="s">
        <v>399</v>
      </c>
      <c r="AS2" s="889" t="s">
        <v>152</v>
      </c>
      <c r="AT2" s="889" t="s">
        <v>415</v>
      </c>
      <c r="AU2" s="889" t="s">
        <v>4607</v>
      </c>
      <c r="AV2" s="889" t="s">
        <v>4132</v>
      </c>
      <c r="AW2" s="889" t="s">
        <v>312</v>
      </c>
      <c r="AX2" s="889" t="s">
        <v>314</v>
      </c>
      <c r="AY2" s="889" t="s">
        <v>1034</v>
      </c>
      <c r="AZ2" s="889" t="s">
        <v>1020</v>
      </c>
      <c r="BA2" s="889" t="s">
        <v>4718</v>
      </c>
    </row>
    <row r="3" spans="1:53" s="1368" customFormat="1" x14ac:dyDescent="0.25">
      <c r="A3" s="3812"/>
      <c r="B3" s="831" t="str">
        <f>HYPERLINK("#'Budget Summary I'!A1:AL1", "Budget Summary I")</f>
        <v>Budget Summary I</v>
      </c>
      <c r="C3" s="832" t="s">
        <v>4608</v>
      </c>
      <c r="D3" s="1193"/>
      <c r="E3" s="1446">
        <f>R7</f>
        <v>0</v>
      </c>
      <c r="F3" s="177">
        <f>R9+R21</f>
        <v>0</v>
      </c>
      <c r="G3" s="177">
        <f>R22</f>
        <v>0</v>
      </c>
      <c r="H3" s="177">
        <f>R23</f>
        <v>0</v>
      </c>
      <c r="I3" s="177">
        <f>R24</f>
        <v>0</v>
      </c>
      <c r="J3" s="177">
        <f>R25</f>
        <v>0</v>
      </c>
      <c r="K3" s="961">
        <f>R26</f>
        <v>0</v>
      </c>
      <c r="L3" s="177">
        <f>R27</f>
        <v>0</v>
      </c>
      <c r="M3" s="177">
        <f>R28</f>
        <v>0</v>
      </c>
      <c r="N3" s="961"/>
      <c r="O3" s="961">
        <f>R37</f>
        <v>0</v>
      </c>
      <c r="P3" s="961">
        <f>R32</f>
        <v>0</v>
      </c>
      <c r="Q3" s="961"/>
      <c r="R3" s="961"/>
      <c r="S3" s="961"/>
      <c r="T3" s="961"/>
      <c r="U3" s="961">
        <f>R35</f>
        <v>0</v>
      </c>
      <c r="V3" s="961"/>
      <c r="W3" s="961"/>
      <c r="X3" s="961"/>
      <c r="Y3" s="961"/>
      <c r="Z3" s="961"/>
      <c r="AA3" s="961">
        <f>R13+R14+R15+R16+R17+R18</f>
        <v>0</v>
      </c>
      <c r="AB3" s="961"/>
      <c r="AC3" s="961"/>
      <c r="AD3" s="961"/>
      <c r="AE3" s="961">
        <f>R36</f>
        <v>0</v>
      </c>
      <c r="AF3" s="961">
        <f>R30</f>
        <v>0</v>
      </c>
      <c r="AG3" s="961">
        <f>R34</f>
        <v>0</v>
      </c>
      <c r="AH3" s="961">
        <f>R10+R11+R31+R33+R38+R39+R40+R41+R42+R43+R44+R45</f>
        <v>0</v>
      </c>
      <c r="AI3" s="961">
        <f>R47</f>
        <v>0</v>
      </c>
      <c r="AJ3" s="961">
        <f>R48</f>
        <v>0</v>
      </c>
      <c r="AK3" s="961">
        <f>R49</f>
        <v>0</v>
      </c>
      <c r="AL3" s="961">
        <f>R50</f>
        <v>0</v>
      </c>
      <c r="AM3" s="961">
        <f>R51</f>
        <v>0</v>
      </c>
      <c r="AN3" s="961">
        <f>R52</f>
        <v>0</v>
      </c>
      <c r="AO3" s="961">
        <f>R53</f>
        <v>0</v>
      </c>
      <c r="AP3" s="961">
        <f>R55</f>
        <v>0</v>
      </c>
      <c r="AQ3" s="961">
        <f>R56</f>
        <v>0</v>
      </c>
      <c r="AR3" s="961">
        <f>R57</f>
        <v>0</v>
      </c>
      <c r="AS3" s="961">
        <f>R58</f>
        <v>0</v>
      </c>
      <c r="AT3" s="961">
        <f>R59</f>
        <v>0</v>
      </c>
      <c r="AU3" s="961">
        <f>R64</f>
        <v>0</v>
      </c>
      <c r="AV3" s="961">
        <f>R63</f>
        <v>0</v>
      </c>
      <c r="AW3" s="961"/>
      <c r="AX3" s="961">
        <f>R61</f>
        <v>0</v>
      </c>
      <c r="AY3" s="961">
        <f>R62</f>
        <v>0</v>
      </c>
      <c r="AZ3" s="961">
        <f>R60</f>
        <v>0</v>
      </c>
      <c r="BA3" s="961"/>
    </row>
    <row r="4" spans="1:53" s="1368" customFormat="1" x14ac:dyDescent="0.25">
      <c r="A4" s="3813"/>
      <c r="B4" s="831" t="str">
        <f>HYPERLINK("#'Budget Summary II'!A3:B5", "Budget Summary II")</f>
        <v>Budget Summary II</v>
      </c>
      <c r="C4" s="832" t="s">
        <v>4609</v>
      </c>
      <c r="D4" s="1193"/>
      <c r="E4" s="1446">
        <f>O7</f>
        <v>9.1529999999999987</v>
      </c>
      <c r="F4" s="177">
        <f>O9+O21</f>
        <v>0</v>
      </c>
      <c r="G4" s="177">
        <f>O22</f>
        <v>9.1529999999999987</v>
      </c>
      <c r="H4" s="177">
        <f>O23</f>
        <v>0</v>
      </c>
      <c r="I4" s="177">
        <f>O24</f>
        <v>0</v>
      </c>
      <c r="J4" s="177">
        <f>O25</f>
        <v>0</v>
      </c>
      <c r="K4" s="961">
        <f>O26</f>
        <v>0</v>
      </c>
      <c r="L4" s="177">
        <f>O27</f>
        <v>0</v>
      </c>
      <c r="M4" s="177">
        <f>O28</f>
        <v>0</v>
      </c>
      <c r="N4" s="961"/>
      <c r="O4" s="961">
        <f>O37</f>
        <v>0</v>
      </c>
      <c r="P4" s="961">
        <f>O32</f>
        <v>0</v>
      </c>
      <c r="Q4" s="961"/>
      <c r="R4" s="961"/>
      <c r="S4" s="961"/>
      <c r="T4" s="961"/>
      <c r="U4" s="961">
        <f>O35</f>
        <v>0</v>
      </c>
      <c r="V4" s="961"/>
      <c r="W4" s="961"/>
      <c r="X4" s="961"/>
      <c r="Y4" s="961"/>
      <c r="Z4" s="961"/>
      <c r="AA4" s="961">
        <f>O13+O14+O15+O16+O17+O18</f>
        <v>0</v>
      </c>
      <c r="AB4" s="961"/>
      <c r="AC4" s="961"/>
      <c r="AD4" s="961"/>
      <c r="AE4" s="961">
        <f>O36</f>
        <v>0</v>
      </c>
      <c r="AF4" s="961">
        <f>O30</f>
        <v>0</v>
      </c>
      <c r="AG4" s="961">
        <f>O34</f>
        <v>0</v>
      </c>
      <c r="AH4" s="961">
        <f>O10+O11+O31+O33+O38+O39+O40+O41+O42+O43+O44+O45</f>
        <v>0</v>
      </c>
      <c r="AI4" s="961">
        <f>O47</f>
        <v>0</v>
      </c>
      <c r="AJ4" s="961">
        <f>O48</f>
        <v>0</v>
      </c>
      <c r="AK4" s="961">
        <f>O49</f>
        <v>0</v>
      </c>
      <c r="AL4" s="961">
        <f>O50</f>
        <v>0</v>
      </c>
      <c r="AM4" s="961">
        <f>O51</f>
        <v>0</v>
      </c>
      <c r="AN4" s="961">
        <f>O52</f>
        <v>0</v>
      </c>
      <c r="AO4" s="961">
        <f>O53</f>
        <v>0</v>
      </c>
      <c r="AP4" s="961">
        <f>O55</f>
        <v>0</v>
      </c>
      <c r="AQ4" s="961">
        <f>O56</f>
        <v>0</v>
      </c>
      <c r="AR4" s="961">
        <f>O57</f>
        <v>0</v>
      </c>
      <c r="AS4" s="961">
        <f>O58</f>
        <v>0</v>
      </c>
      <c r="AT4" s="961">
        <f>O59</f>
        <v>0</v>
      </c>
      <c r="AU4" s="961">
        <f>O64</f>
        <v>0</v>
      </c>
      <c r="AV4" s="961">
        <f>O63</f>
        <v>0</v>
      </c>
      <c r="AW4" s="961"/>
      <c r="AX4" s="961">
        <f>O61</f>
        <v>0</v>
      </c>
      <c r="AY4" s="961">
        <f>O62</f>
        <v>0</v>
      </c>
      <c r="AZ4" s="961">
        <f>O60</f>
        <v>0</v>
      </c>
      <c r="BA4" s="961"/>
    </row>
    <row r="5" spans="1:53" s="1088" customFormat="1" ht="12.75" customHeight="1" x14ac:dyDescent="0.2">
      <c r="A5" s="3823" t="s">
        <v>53</v>
      </c>
      <c r="B5" s="3823" t="s">
        <v>54</v>
      </c>
      <c r="C5" s="3823" t="s">
        <v>55</v>
      </c>
      <c r="D5" s="3823" t="s">
        <v>56</v>
      </c>
      <c r="E5" s="3823" t="s">
        <v>57</v>
      </c>
      <c r="F5" s="3876" t="s">
        <v>4629</v>
      </c>
      <c r="G5" s="3876"/>
      <c r="H5" s="3876"/>
      <c r="I5" s="3876"/>
      <c r="J5" s="3876"/>
      <c r="K5" s="3877" t="s">
        <v>4640</v>
      </c>
      <c r="L5" s="3888"/>
      <c r="M5" s="3888"/>
      <c r="N5" s="3888"/>
      <c r="O5" s="3888"/>
      <c r="P5" s="3889"/>
      <c r="Q5" s="3890" t="s">
        <v>4670</v>
      </c>
      <c r="R5" s="3891"/>
    </row>
    <row r="6" spans="1:53" s="1447" customFormat="1" ht="45" x14ac:dyDescent="0.2">
      <c r="A6" s="3823"/>
      <c r="B6" s="3823"/>
      <c r="C6" s="3823"/>
      <c r="D6" s="3823"/>
      <c r="E6" s="3823"/>
      <c r="F6" s="896" t="s">
        <v>4630</v>
      </c>
      <c r="G6" s="896" t="s">
        <v>4638</v>
      </c>
      <c r="H6" s="896" t="s">
        <v>4631</v>
      </c>
      <c r="I6" s="896" t="s">
        <v>4639</v>
      </c>
      <c r="J6" s="896" t="s">
        <v>2538</v>
      </c>
      <c r="K6" s="897" t="s">
        <v>58</v>
      </c>
      <c r="L6" s="897" t="s">
        <v>59</v>
      </c>
      <c r="M6" s="898" t="s">
        <v>60</v>
      </c>
      <c r="N6" s="897" t="s">
        <v>61</v>
      </c>
      <c r="O6" s="898" t="s">
        <v>62</v>
      </c>
      <c r="P6" s="897" t="s">
        <v>5547</v>
      </c>
      <c r="Q6" s="899" t="s">
        <v>2540</v>
      </c>
      <c r="R6" s="900" t="s">
        <v>4671</v>
      </c>
      <c r="S6" s="1447" t="s">
        <v>4724</v>
      </c>
    </row>
    <row r="7" spans="1:53" s="1061" customFormat="1" x14ac:dyDescent="0.2">
      <c r="A7" s="234">
        <v>9</v>
      </c>
      <c r="B7" s="965"/>
      <c r="C7" s="234" t="s">
        <v>5111</v>
      </c>
      <c r="D7" s="1210"/>
      <c r="E7" s="1210"/>
      <c r="F7" s="234"/>
      <c r="G7" s="234"/>
      <c r="H7" s="224">
        <f>H8+H19</f>
        <v>0</v>
      </c>
      <c r="I7" s="224">
        <f>I8+I19</f>
        <v>0</v>
      </c>
      <c r="J7" s="224">
        <f>J8+J19</f>
        <v>0</v>
      </c>
      <c r="K7" s="234"/>
      <c r="L7" s="234"/>
      <c r="M7" s="838"/>
      <c r="N7" s="234"/>
      <c r="O7" s="224">
        <f>O8+O19</f>
        <v>9.1529999999999987</v>
      </c>
      <c r="P7" s="234"/>
      <c r="Q7" s="234"/>
      <c r="R7" s="224">
        <f>R8+R19</f>
        <v>0</v>
      </c>
      <c r="S7" s="1061">
        <f>SUM(S8:S64)</f>
        <v>0</v>
      </c>
    </row>
    <row r="8" spans="1:53" s="1061" customFormat="1" ht="45" x14ac:dyDescent="0.2">
      <c r="A8" s="356">
        <v>9.1</v>
      </c>
      <c r="B8" s="1163"/>
      <c r="C8" s="1016" t="s">
        <v>4351</v>
      </c>
      <c r="D8" s="1215"/>
      <c r="E8" s="1215"/>
      <c r="F8" s="1216"/>
      <c r="G8" s="1216"/>
      <c r="H8" s="1450">
        <f>SUM(H9:H12)</f>
        <v>0</v>
      </c>
      <c r="I8" s="1450">
        <f>SUM(I9:I12)</f>
        <v>0</v>
      </c>
      <c r="J8" s="1450">
        <f>SUM(J9:J12)</f>
        <v>0</v>
      </c>
      <c r="K8" s="1216"/>
      <c r="L8" s="1216"/>
      <c r="M8" s="1448"/>
      <c r="N8" s="1449"/>
      <c r="O8" s="1450">
        <f>SUM(O9:O12)</f>
        <v>0</v>
      </c>
      <c r="P8" s="448"/>
      <c r="Q8" s="448"/>
      <c r="R8" s="1450">
        <f>SUM(R9:R12)</f>
        <v>0</v>
      </c>
    </row>
    <row r="9" spans="1:53" s="1454" customFormat="1" x14ac:dyDescent="0.2">
      <c r="A9" s="474" t="s">
        <v>743</v>
      </c>
      <c r="B9" s="935"/>
      <c r="C9" s="474" t="s">
        <v>5023</v>
      </c>
      <c r="D9" s="1451" t="s">
        <v>90</v>
      </c>
      <c r="E9" s="1147" t="s">
        <v>118</v>
      </c>
      <c r="F9" s="1452"/>
      <c r="G9" s="1452"/>
      <c r="H9" s="1490">
        <f>'9-A.Training Sub-Annex'!I6</f>
        <v>0</v>
      </c>
      <c r="I9" s="1490">
        <f>'9-A.Training Sub-Annex'!J6</f>
        <v>0</v>
      </c>
      <c r="J9" s="1490">
        <f>'9-A.Training Sub-Annex'!K6</f>
        <v>0</v>
      </c>
      <c r="K9" s="416"/>
      <c r="L9" s="306"/>
      <c r="M9" s="740"/>
      <c r="N9" s="306"/>
      <c r="O9" s="1490">
        <f>'9-A.Training Sub-Annex'!P6</f>
        <v>0</v>
      </c>
      <c r="P9" s="433"/>
      <c r="Q9" s="3627" t="s">
        <v>5918</v>
      </c>
      <c r="R9" s="328">
        <f>'9-A.Training Sub-Annex'!S6</f>
        <v>0</v>
      </c>
    </row>
    <row r="10" spans="1:53" ht="30" x14ac:dyDescent="0.2">
      <c r="A10" s="474" t="s">
        <v>746</v>
      </c>
      <c r="B10" s="501" t="s">
        <v>756</v>
      </c>
      <c r="C10" s="501" t="s">
        <v>757</v>
      </c>
      <c r="D10" s="886" t="s">
        <v>70</v>
      </c>
      <c r="E10" s="1130" t="s">
        <v>5112</v>
      </c>
      <c r="F10" s="1455"/>
      <c r="G10" s="1455"/>
      <c r="H10" s="1492">
        <f>'9-A.Training Sub-Annex'!I11</f>
        <v>0</v>
      </c>
      <c r="I10" s="1492">
        <f>'9-A.Training Sub-Annex'!J11</f>
        <v>0</v>
      </c>
      <c r="J10" s="1492">
        <f>'9-A.Training Sub-Annex'!K11</f>
        <v>0</v>
      </c>
      <c r="K10" s="303"/>
      <c r="L10" s="304"/>
      <c r="M10" s="1491"/>
      <c r="N10" s="304"/>
      <c r="O10" s="1492">
        <f>'9-A.Training Sub-Annex'!P11</f>
        <v>0</v>
      </c>
      <c r="P10" s="2649"/>
      <c r="Q10" s="409"/>
      <c r="R10" s="1456">
        <f>'9-A.Training Sub-Annex'!S11</f>
        <v>0</v>
      </c>
    </row>
    <row r="11" spans="1:53" x14ac:dyDescent="0.2">
      <c r="A11" s="474" t="s">
        <v>749</v>
      </c>
      <c r="B11" s="501"/>
      <c r="C11" s="501" t="s">
        <v>5024</v>
      </c>
      <c r="D11" s="886" t="s">
        <v>70</v>
      </c>
      <c r="E11" s="1038" t="s">
        <v>4560</v>
      </c>
      <c r="F11" s="1455"/>
      <c r="G11" s="1455"/>
      <c r="H11" s="1492">
        <f>'9-A.Training Sub-Annex'!I12</f>
        <v>0</v>
      </c>
      <c r="I11" s="1492">
        <f>'9-A.Training Sub-Annex'!J12</f>
        <v>0</v>
      </c>
      <c r="J11" s="1492">
        <f>'9-A.Training Sub-Annex'!K12</f>
        <v>0</v>
      </c>
      <c r="K11" s="303"/>
      <c r="L11" s="304"/>
      <c r="M11" s="1491"/>
      <c r="N11" s="304"/>
      <c r="O11" s="1492">
        <f>'9-A.Training Sub-Annex'!P12</f>
        <v>0</v>
      </c>
      <c r="P11" s="387"/>
      <c r="Q11" s="409"/>
      <c r="R11" s="1456">
        <f>'9-A.Training Sub-Annex'!S12</f>
        <v>0</v>
      </c>
    </row>
    <row r="12" spans="1:53" x14ac:dyDescent="0.2">
      <c r="A12" s="1392" t="s">
        <v>752</v>
      </c>
      <c r="B12" s="936"/>
      <c r="C12" s="936" t="s">
        <v>3125</v>
      </c>
      <c r="D12" s="1457"/>
      <c r="E12" s="1457"/>
      <c r="F12" s="1458"/>
      <c r="G12" s="1458"/>
      <c r="H12" s="1494">
        <f>SUM(H13:H18)</f>
        <v>0</v>
      </c>
      <c r="I12" s="1494">
        <f>SUM(I13:I18)</f>
        <v>0</v>
      </c>
      <c r="J12" s="1494">
        <f>SUM(J13:J18)</f>
        <v>0</v>
      </c>
      <c r="K12" s="606"/>
      <c r="L12" s="201"/>
      <c r="M12" s="1493"/>
      <c r="N12" s="201"/>
      <c r="O12" s="1494">
        <f>SUM(O13:O18)</f>
        <v>0</v>
      </c>
      <c r="P12" s="422"/>
      <c r="Q12" s="1460"/>
      <c r="R12" s="1459">
        <f>SUM(R13:R18)</f>
        <v>0</v>
      </c>
    </row>
    <row r="13" spans="1:53" x14ac:dyDescent="0.2">
      <c r="A13" s="474" t="s">
        <v>5059</v>
      </c>
      <c r="B13" s="501" t="s">
        <v>764</v>
      </c>
      <c r="C13" s="501" t="s">
        <v>765</v>
      </c>
      <c r="D13" s="886" t="s">
        <v>70</v>
      </c>
      <c r="E13" s="1078" t="s">
        <v>3906</v>
      </c>
      <c r="F13" s="1455"/>
      <c r="G13" s="1455"/>
      <c r="H13" s="534">
        <f>'9-A.Training Sub-Annex'!I17</f>
        <v>0</v>
      </c>
      <c r="I13" s="534">
        <f>'9-A.Training Sub-Annex'!J17</f>
        <v>0</v>
      </c>
      <c r="J13" s="534">
        <f>'9-A.Training Sub-Annex'!K17</f>
        <v>0</v>
      </c>
      <c r="K13" s="1411">
        <f>'9-A.Training Sub-Annex'!L17</f>
        <v>0</v>
      </c>
      <c r="L13" s="1411">
        <f>'9-A.Training Sub-Annex'!M17</f>
        <v>0</v>
      </c>
      <c r="M13" s="534">
        <f>'9-A.Training Sub-Annex'!N17</f>
        <v>0</v>
      </c>
      <c r="N13" s="1411">
        <f>'9-A.Training Sub-Annex'!O17</f>
        <v>0</v>
      </c>
      <c r="O13" s="534">
        <f>'9-A.Training Sub-Annex'!P17</f>
        <v>0</v>
      </c>
      <c r="P13" s="2854"/>
      <c r="Q13" s="1381">
        <f>'9-A.Training Sub-Annex'!R17</f>
        <v>0</v>
      </c>
      <c r="R13" s="534">
        <f>'9-A.Training Sub-Annex'!S17</f>
        <v>0</v>
      </c>
      <c r="S13" s="3450"/>
    </row>
    <row r="14" spans="1:53" ht="30" x14ac:dyDescent="0.2">
      <c r="A14" s="474" t="s">
        <v>5060</v>
      </c>
      <c r="B14" s="501" t="s">
        <v>3124</v>
      </c>
      <c r="C14" s="501" t="s">
        <v>5025</v>
      </c>
      <c r="D14" s="886" t="s">
        <v>70</v>
      </c>
      <c r="E14" s="1461" t="s">
        <v>5552</v>
      </c>
      <c r="F14" s="1455"/>
      <c r="G14" s="1455"/>
      <c r="H14" s="534">
        <f>'9-A.Training Sub-Annex'!I18</f>
        <v>0</v>
      </c>
      <c r="I14" s="534">
        <f>'9-A.Training Sub-Annex'!J18</f>
        <v>0</v>
      </c>
      <c r="J14" s="534">
        <f>'9-A.Training Sub-Annex'!K18</f>
        <v>0</v>
      </c>
      <c r="K14" s="1411">
        <f>'9-A.Training Sub-Annex'!L18</f>
        <v>0</v>
      </c>
      <c r="L14" s="1411">
        <f>'9-A.Training Sub-Annex'!M18</f>
        <v>0</v>
      </c>
      <c r="M14" s="534">
        <f>'9-A.Training Sub-Annex'!N18</f>
        <v>0</v>
      </c>
      <c r="N14" s="1411">
        <f>'9-A.Training Sub-Annex'!O18</f>
        <v>0</v>
      </c>
      <c r="O14" s="534">
        <f>'9-A.Training Sub-Annex'!P18</f>
        <v>0</v>
      </c>
      <c r="P14" s="2854"/>
      <c r="Q14" s="1381">
        <f>'9-A.Training Sub-Annex'!R18</f>
        <v>0</v>
      </c>
      <c r="R14" s="534">
        <f>'9-A.Training Sub-Annex'!S18</f>
        <v>0</v>
      </c>
      <c r="S14" s="3450"/>
    </row>
    <row r="15" spans="1:53" x14ac:dyDescent="0.2">
      <c r="A15" s="474" t="s">
        <v>5061</v>
      </c>
      <c r="B15" s="568"/>
      <c r="C15" s="501" t="s">
        <v>3822</v>
      </c>
      <c r="D15" s="886" t="s">
        <v>70</v>
      </c>
      <c r="E15" s="1078" t="s">
        <v>3906</v>
      </c>
      <c r="F15" s="1455"/>
      <c r="G15" s="1455"/>
      <c r="H15" s="534">
        <f>'9-A.Training Sub-Annex'!I19</f>
        <v>0</v>
      </c>
      <c r="I15" s="534">
        <f>'9-A.Training Sub-Annex'!J19</f>
        <v>0</v>
      </c>
      <c r="J15" s="534">
        <f>'9-A.Training Sub-Annex'!K19</f>
        <v>0</v>
      </c>
      <c r="K15" s="1411">
        <f>'9-A.Training Sub-Annex'!L19</f>
        <v>0</v>
      </c>
      <c r="L15" s="1411">
        <f>'9-A.Training Sub-Annex'!M19</f>
        <v>0</v>
      </c>
      <c r="M15" s="534">
        <f>'9-A.Training Sub-Annex'!N19</f>
        <v>0</v>
      </c>
      <c r="N15" s="1411">
        <f>'9-A.Training Sub-Annex'!O19</f>
        <v>0</v>
      </c>
      <c r="O15" s="534">
        <f>'9-A.Training Sub-Annex'!P19</f>
        <v>0</v>
      </c>
      <c r="P15" s="2854"/>
      <c r="Q15" s="1381">
        <f>'9-A.Training Sub-Annex'!R19</f>
        <v>0</v>
      </c>
      <c r="R15" s="534">
        <f>'9-A.Training Sub-Annex'!S19</f>
        <v>0</v>
      </c>
    </row>
    <row r="16" spans="1:53" x14ac:dyDescent="0.2">
      <c r="A16" s="474" t="s">
        <v>5062</v>
      </c>
      <c r="B16" s="935"/>
      <c r="C16" s="501" t="s">
        <v>1310</v>
      </c>
      <c r="D16" s="886" t="s">
        <v>70</v>
      </c>
      <c r="E16" s="1078" t="s">
        <v>3895</v>
      </c>
      <c r="F16" s="1455"/>
      <c r="G16" s="1455"/>
      <c r="H16" s="534">
        <f>'9-A.Training Sub-Annex'!I20</f>
        <v>0</v>
      </c>
      <c r="I16" s="534">
        <f>'9-A.Training Sub-Annex'!J20</f>
        <v>0</v>
      </c>
      <c r="J16" s="534">
        <f>'9-A.Training Sub-Annex'!K20</f>
        <v>0</v>
      </c>
      <c r="K16" s="1411">
        <f>'9-A.Training Sub-Annex'!L20</f>
        <v>0</v>
      </c>
      <c r="L16" s="1411">
        <f>'9-A.Training Sub-Annex'!M20</f>
        <v>0</v>
      </c>
      <c r="M16" s="534">
        <f>'9-A.Training Sub-Annex'!N20</f>
        <v>0</v>
      </c>
      <c r="N16" s="1411">
        <f>'9-A.Training Sub-Annex'!O20</f>
        <v>0</v>
      </c>
      <c r="O16" s="534">
        <f>'9-A.Training Sub-Annex'!P20</f>
        <v>0</v>
      </c>
      <c r="P16" s="2854"/>
      <c r="Q16" s="1381">
        <f>'9-A.Training Sub-Annex'!R20</f>
        <v>0</v>
      </c>
      <c r="R16" s="534">
        <f>'9-A.Training Sub-Annex'!S20</f>
        <v>0</v>
      </c>
    </row>
    <row r="17" spans="1:23" x14ac:dyDescent="0.2">
      <c r="A17" s="474" t="s">
        <v>5063</v>
      </c>
      <c r="B17" s="248"/>
      <c r="C17" s="1035" t="s">
        <v>3918</v>
      </c>
      <c r="D17" s="886" t="s">
        <v>70</v>
      </c>
      <c r="E17" s="986" t="s">
        <v>3895</v>
      </c>
      <c r="F17" s="1455"/>
      <c r="G17" s="1455"/>
      <c r="H17" s="534">
        <f>'9-A.Training Sub-Annex'!I21</f>
        <v>0</v>
      </c>
      <c r="I17" s="534">
        <f>'9-A.Training Sub-Annex'!J21</f>
        <v>0</v>
      </c>
      <c r="J17" s="534">
        <f>'9-A.Training Sub-Annex'!K21</f>
        <v>0</v>
      </c>
      <c r="K17" s="1411">
        <f>'9-A.Training Sub-Annex'!L21</f>
        <v>0</v>
      </c>
      <c r="L17" s="1411">
        <f>'9-A.Training Sub-Annex'!M21</f>
        <v>0</v>
      </c>
      <c r="M17" s="534">
        <f>'9-A.Training Sub-Annex'!N21</f>
        <v>0</v>
      </c>
      <c r="N17" s="1411">
        <f>'9-A.Training Sub-Annex'!O21</f>
        <v>0</v>
      </c>
      <c r="O17" s="534">
        <f>'9-A.Training Sub-Annex'!P21</f>
        <v>0</v>
      </c>
      <c r="P17" s="2854"/>
      <c r="Q17" s="1381">
        <f>'9-A.Training Sub-Annex'!R21</f>
        <v>0</v>
      </c>
      <c r="R17" s="534">
        <f>'9-A.Training Sub-Annex'!S21</f>
        <v>0</v>
      </c>
    </row>
    <row r="18" spans="1:23" ht="30" x14ac:dyDescent="0.2">
      <c r="A18" s="474" t="s">
        <v>5064</v>
      </c>
      <c r="B18" s="248"/>
      <c r="C18" s="1035" t="s">
        <v>718</v>
      </c>
      <c r="D18" s="886" t="s">
        <v>70</v>
      </c>
      <c r="E18" s="986" t="s">
        <v>3895</v>
      </c>
      <c r="F18" s="1455"/>
      <c r="G18" s="1455"/>
      <c r="H18" s="534">
        <f>'9-A.Training Sub-Annex'!I22</f>
        <v>0</v>
      </c>
      <c r="I18" s="534">
        <f>'9-A.Training Sub-Annex'!J22</f>
        <v>0</v>
      </c>
      <c r="J18" s="534">
        <f>'9-A.Training Sub-Annex'!K22</f>
        <v>0</v>
      </c>
      <c r="K18" s="1411">
        <f>'9-A.Training Sub-Annex'!L22</f>
        <v>0</v>
      </c>
      <c r="L18" s="1411">
        <f>'9-A.Training Sub-Annex'!M22</f>
        <v>0</v>
      </c>
      <c r="M18" s="534">
        <f>'9-A.Training Sub-Annex'!N22</f>
        <v>0</v>
      </c>
      <c r="N18" s="1411">
        <f>'9-A.Training Sub-Annex'!O22</f>
        <v>0</v>
      </c>
      <c r="O18" s="534">
        <f>'9-A.Training Sub-Annex'!P22</f>
        <v>0</v>
      </c>
      <c r="P18" s="2854"/>
      <c r="Q18" s="1381">
        <f>'9-A.Training Sub-Annex'!R22</f>
        <v>0</v>
      </c>
      <c r="R18" s="534">
        <f>'9-A.Training Sub-Annex'!S22</f>
        <v>0</v>
      </c>
    </row>
    <row r="19" spans="1:23" ht="30" x14ac:dyDescent="0.2">
      <c r="A19" s="1462">
        <v>9.1999999999999993</v>
      </c>
      <c r="B19" s="1266"/>
      <c r="C19" s="1266" t="s">
        <v>5026</v>
      </c>
      <c r="D19" s="1463"/>
      <c r="E19" s="1410"/>
      <c r="F19" s="1464"/>
      <c r="G19" s="1464"/>
      <c r="H19" s="1495">
        <f>H20+H29+H46+H54</f>
        <v>0</v>
      </c>
      <c r="I19" s="1495">
        <f>I20+I29+I46+I54</f>
        <v>0</v>
      </c>
      <c r="J19" s="1495">
        <f>J20+J29+J46+J54</f>
        <v>0</v>
      </c>
      <c r="K19" s="607"/>
      <c r="L19" s="598"/>
      <c r="M19" s="689"/>
      <c r="N19" s="598"/>
      <c r="O19" s="1495">
        <f>O20+O29+O46+O54</f>
        <v>9.1529999999999987</v>
      </c>
      <c r="P19" s="577"/>
      <c r="Q19" s="1465"/>
      <c r="R19" s="1450">
        <f>R20+R29+R46+R54</f>
        <v>0</v>
      </c>
    </row>
    <row r="20" spans="1:23" x14ac:dyDescent="0.2">
      <c r="A20" s="1275" t="s">
        <v>763</v>
      </c>
      <c r="B20" s="1466"/>
      <c r="C20" s="1275" t="s">
        <v>5027</v>
      </c>
      <c r="D20" s="1271"/>
      <c r="E20" s="1271"/>
      <c r="F20" s="1273"/>
      <c r="G20" s="1273"/>
      <c r="H20" s="1496">
        <f>SUM(H21:H28)</f>
        <v>0</v>
      </c>
      <c r="I20" s="1496">
        <f>SUM(I21:I28)</f>
        <v>0</v>
      </c>
      <c r="J20" s="1496">
        <f>SUM(J21:J28)</f>
        <v>0</v>
      </c>
      <c r="K20" s="588"/>
      <c r="L20" s="588"/>
      <c r="M20" s="1496"/>
      <c r="N20" s="612"/>
      <c r="O20" s="1496">
        <f>SUM(O21:O28)</f>
        <v>9.1529999999999987</v>
      </c>
      <c r="P20" s="584"/>
      <c r="Q20" s="1275"/>
      <c r="R20" s="732">
        <f>SUM(R21:R28)</f>
        <v>0</v>
      </c>
    </row>
    <row r="21" spans="1:23" s="1368" customFormat="1" x14ac:dyDescent="0.2">
      <c r="A21" s="474" t="s">
        <v>5065</v>
      </c>
      <c r="B21" s="568"/>
      <c r="C21" s="1467" t="s">
        <v>767</v>
      </c>
      <c r="D21" s="1451" t="s">
        <v>90</v>
      </c>
      <c r="E21" s="1147" t="s">
        <v>118</v>
      </c>
      <c r="F21" s="1468"/>
      <c r="G21" s="1468"/>
      <c r="H21" s="1490">
        <f>'9-A.Training Sub-Annex'!I25</f>
        <v>0</v>
      </c>
      <c r="I21" s="1490">
        <f>'9-A.Training Sub-Annex'!J25</f>
        <v>0</v>
      </c>
      <c r="J21" s="1490">
        <f>'9-A.Training Sub-Annex'!K25</f>
        <v>0</v>
      </c>
      <c r="K21" s="432"/>
      <c r="L21" s="310"/>
      <c r="M21" s="731"/>
      <c r="N21" s="310"/>
      <c r="O21" s="1490">
        <f>'9-A.Training Sub-Annex'!P25</f>
        <v>0</v>
      </c>
      <c r="P21" s="433"/>
      <c r="Q21" s="3627" t="s">
        <v>5918</v>
      </c>
      <c r="R21" s="1453">
        <f>'9-A.Training Sub-Annex'!S25</f>
        <v>0</v>
      </c>
    </row>
    <row r="22" spans="1:23" s="1368" customFormat="1" x14ac:dyDescent="0.2">
      <c r="A22" s="474" t="s">
        <v>5066</v>
      </c>
      <c r="B22" s="568"/>
      <c r="C22" s="568" t="s">
        <v>827</v>
      </c>
      <c r="D22" s="1451" t="s">
        <v>90</v>
      </c>
      <c r="E22" s="1147" t="s">
        <v>131</v>
      </c>
      <c r="F22" s="1468"/>
      <c r="G22" s="1468"/>
      <c r="H22" s="1490">
        <f>'9-A.Training Sub-Annex'!I54</f>
        <v>0</v>
      </c>
      <c r="I22" s="1490">
        <f>'9-A.Training Sub-Annex'!J54</f>
        <v>0</v>
      </c>
      <c r="J22" s="1490">
        <f>'9-A.Training Sub-Annex'!K54</f>
        <v>0</v>
      </c>
      <c r="K22" s="432"/>
      <c r="L22" s="310"/>
      <c r="M22" s="731"/>
      <c r="N22" s="310"/>
      <c r="O22" s="1490">
        <f>'9-A.Training Sub-Annex'!P54</f>
        <v>9.1529999999999987</v>
      </c>
      <c r="P22" s="433"/>
      <c r="Q22" s="3627" t="s">
        <v>5918</v>
      </c>
      <c r="R22" s="1453">
        <f>'9-A.Training Sub-Annex'!S54</f>
        <v>0</v>
      </c>
    </row>
    <row r="23" spans="1:23" s="1368" customFormat="1" x14ac:dyDescent="0.2">
      <c r="A23" s="474" t="s">
        <v>5067</v>
      </c>
      <c r="B23" s="568"/>
      <c r="C23" s="568" t="s">
        <v>882</v>
      </c>
      <c r="D23" s="1451" t="s">
        <v>90</v>
      </c>
      <c r="E23" s="1147" t="s">
        <v>91</v>
      </c>
      <c r="F23" s="1468"/>
      <c r="G23" s="1468"/>
      <c r="H23" s="1490">
        <f>'9-A.Training Sub-Annex'!I81</f>
        <v>0</v>
      </c>
      <c r="I23" s="1490">
        <f>'9-A.Training Sub-Annex'!J81</f>
        <v>0</v>
      </c>
      <c r="J23" s="1490">
        <f>'9-A.Training Sub-Annex'!K81</f>
        <v>0</v>
      </c>
      <c r="K23" s="432"/>
      <c r="L23" s="432"/>
      <c r="M23" s="1490"/>
      <c r="N23" s="611"/>
      <c r="O23" s="1490">
        <f>'9-A.Training Sub-Annex'!P81</f>
        <v>0</v>
      </c>
      <c r="P23" s="433"/>
      <c r="Q23" s="3627" t="s">
        <v>5918</v>
      </c>
      <c r="R23" s="1453">
        <f>'9-A.Training Sub-Annex'!S81</f>
        <v>0</v>
      </c>
    </row>
    <row r="24" spans="1:23" s="1368" customFormat="1" x14ac:dyDescent="0.2">
      <c r="A24" s="474" t="s">
        <v>5068</v>
      </c>
      <c r="B24" s="568"/>
      <c r="C24" s="568" t="s">
        <v>955</v>
      </c>
      <c r="D24" s="1451" t="s">
        <v>90</v>
      </c>
      <c r="E24" s="1147" t="s">
        <v>193</v>
      </c>
      <c r="F24" s="1468"/>
      <c r="G24" s="1468"/>
      <c r="H24" s="1490">
        <f>'9-A.Training Sub-Annex'!I110</f>
        <v>0</v>
      </c>
      <c r="I24" s="1490">
        <f>'9-A.Training Sub-Annex'!J110</f>
        <v>0</v>
      </c>
      <c r="J24" s="1490">
        <f>'9-A.Training Sub-Annex'!K110</f>
        <v>0</v>
      </c>
      <c r="K24" s="432"/>
      <c r="L24" s="310"/>
      <c r="M24" s="731"/>
      <c r="N24" s="310"/>
      <c r="O24" s="1490">
        <f>'9-A.Training Sub-Annex'!P110</f>
        <v>0</v>
      </c>
      <c r="P24" s="433"/>
      <c r="Q24" s="3627" t="s">
        <v>5918</v>
      </c>
      <c r="R24" s="1453">
        <f>'9-A.Training Sub-Annex'!S110</f>
        <v>0</v>
      </c>
    </row>
    <row r="25" spans="1:23" s="1368" customFormat="1" x14ac:dyDescent="0.2">
      <c r="A25" s="474" t="s">
        <v>5069</v>
      </c>
      <c r="B25" s="568"/>
      <c r="C25" s="568" t="s">
        <v>2582</v>
      </c>
      <c r="D25" s="1451" t="s">
        <v>90</v>
      </c>
      <c r="E25" s="1147" t="s">
        <v>96</v>
      </c>
      <c r="F25" s="1468"/>
      <c r="G25" s="1468"/>
      <c r="H25" s="1490">
        <f>'9-A.Training Sub-Annex'!I128</f>
        <v>0</v>
      </c>
      <c r="I25" s="1490">
        <f>'9-A.Training Sub-Annex'!J128</f>
        <v>0</v>
      </c>
      <c r="J25" s="1490">
        <f>'9-A.Training Sub-Annex'!K128</f>
        <v>0</v>
      </c>
      <c r="K25" s="432"/>
      <c r="L25" s="310"/>
      <c r="M25" s="731"/>
      <c r="N25" s="310"/>
      <c r="O25" s="1490">
        <f>'9-A.Training Sub-Annex'!P128</f>
        <v>0</v>
      </c>
      <c r="P25" s="433"/>
      <c r="Q25" s="3627" t="s">
        <v>5918</v>
      </c>
      <c r="R25" s="1453">
        <f>'9-A.Training Sub-Annex'!S128</f>
        <v>0</v>
      </c>
    </row>
    <row r="26" spans="1:23" s="1368" customFormat="1" x14ac:dyDescent="0.2">
      <c r="A26" s="474" t="s">
        <v>5070</v>
      </c>
      <c r="B26" s="568"/>
      <c r="C26" s="568" t="s">
        <v>1131</v>
      </c>
      <c r="D26" s="1451" t="s">
        <v>90</v>
      </c>
      <c r="E26" s="1147" t="s">
        <v>4071</v>
      </c>
      <c r="F26" s="1468"/>
      <c r="G26" s="1468"/>
      <c r="H26" s="1490">
        <f>'9-A.Training Sub-Annex'!I134</f>
        <v>0</v>
      </c>
      <c r="I26" s="1490">
        <f>'9-A.Training Sub-Annex'!J134</f>
        <v>0</v>
      </c>
      <c r="J26" s="1490">
        <f>'9-A.Training Sub-Annex'!K134</f>
        <v>0</v>
      </c>
      <c r="K26" s="432"/>
      <c r="L26" s="310"/>
      <c r="M26" s="731"/>
      <c r="N26" s="310"/>
      <c r="O26" s="1490">
        <f>'9-A.Training Sub-Annex'!P134</f>
        <v>0</v>
      </c>
      <c r="P26" s="433"/>
      <c r="Q26" s="3627" t="s">
        <v>5918</v>
      </c>
      <c r="R26" s="1453">
        <f>'9-A.Training Sub-Annex'!S134</f>
        <v>0</v>
      </c>
    </row>
    <row r="27" spans="1:23" s="1368" customFormat="1" x14ac:dyDescent="0.2">
      <c r="A27" s="474" t="s">
        <v>5071</v>
      </c>
      <c r="B27" s="1043"/>
      <c r="C27" s="1043" t="s">
        <v>1036</v>
      </c>
      <c r="D27" s="1451" t="s">
        <v>90</v>
      </c>
      <c r="E27" s="986" t="s">
        <v>205</v>
      </c>
      <c r="F27" s="1141"/>
      <c r="G27" s="1141"/>
      <c r="H27" s="1490">
        <f>'9-A.Training Sub-Annex'!I139</f>
        <v>0</v>
      </c>
      <c r="I27" s="1490">
        <f>'9-A.Training Sub-Annex'!J139</f>
        <v>0</v>
      </c>
      <c r="J27" s="1490">
        <f>'9-A.Training Sub-Annex'!K139</f>
        <v>0</v>
      </c>
      <c r="K27" s="250"/>
      <c r="L27" s="250"/>
      <c r="M27" s="1490"/>
      <c r="N27" s="608"/>
      <c r="O27" s="1490">
        <f>'9-A.Training Sub-Annex'!P139</f>
        <v>0</v>
      </c>
      <c r="P27" s="251"/>
      <c r="Q27" s="3627" t="s">
        <v>5918</v>
      </c>
      <c r="R27" s="1453">
        <f>'9-A.Training Sub-Annex'!S139</f>
        <v>0</v>
      </c>
    </row>
    <row r="28" spans="1:23" s="1368" customFormat="1" ht="30" x14ac:dyDescent="0.2">
      <c r="A28" s="474" t="s">
        <v>5072</v>
      </c>
      <c r="B28" s="568"/>
      <c r="C28" s="568" t="s">
        <v>5073</v>
      </c>
      <c r="D28" s="1451" t="s">
        <v>90</v>
      </c>
      <c r="E28" s="1147" t="s">
        <v>90</v>
      </c>
      <c r="F28" s="1156"/>
      <c r="G28" s="1157"/>
      <c r="H28" s="1490">
        <f>'9-A.Training Sub-Annex'!I142</f>
        <v>0</v>
      </c>
      <c r="I28" s="1490">
        <f>'9-A.Training Sub-Annex'!J142</f>
        <v>0</v>
      </c>
      <c r="J28" s="1490">
        <f>'9-A.Training Sub-Annex'!K142</f>
        <v>0</v>
      </c>
      <c r="K28" s="313"/>
      <c r="L28" s="310"/>
      <c r="M28" s="731"/>
      <c r="N28" s="310"/>
      <c r="O28" s="1490">
        <f>'9-A.Training Sub-Annex'!P142</f>
        <v>0</v>
      </c>
      <c r="P28" s="196"/>
      <c r="Q28" s="3627" t="s">
        <v>5918</v>
      </c>
      <c r="R28" s="1453">
        <f>'9-A.Training Sub-Annex'!S142</f>
        <v>0</v>
      </c>
    </row>
    <row r="29" spans="1:23" s="1061" customFormat="1" x14ac:dyDescent="0.2">
      <c r="A29" s="1275" t="s">
        <v>2413</v>
      </c>
      <c r="B29" s="1470"/>
      <c r="C29" s="1471" t="s">
        <v>5047</v>
      </c>
      <c r="D29" s="1472"/>
      <c r="E29" s="1473"/>
      <c r="F29" s="1474"/>
      <c r="G29" s="1475"/>
      <c r="H29" s="1496">
        <f>SUM(H30:H45)</f>
        <v>0</v>
      </c>
      <c r="I29" s="1496">
        <f>SUM(I30:I45)</f>
        <v>0</v>
      </c>
      <c r="J29" s="1496">
        <f>SUM(J30:J45)</f>
        <v>0</v>
      </c>
      <c r="K29" s="613"/>
      <c r="L29" s="605"/>
      <c r="M29" s="1496"/>
      <c r="N29" s="605"/>
      <c r="O29" s="1496">
        <f>SUM(O30:O45)</f>
        <v>0</v>
      </c>
      <c r="P29" s="614"/>
      <c r="Q29" s="1476"/>
      <c r="R29" s="732">
        <f>SUM(R30:R45)</f>
        <v>0</v>
      </c>
    </row>
    <row r="30" spans="1:23" s="1061" customFormat="1" x14ac:dyDescent="0.2">
      <c r="A30" s="474" t="s">
        <v>5074</v>
      </c>
      <c r="B30" s="935"/>
      <c r="C30" s="568" t="s">
        <v>2585</v>
      </c>
      <c r="D30" s="886" t="s">
        <v>70</v>
      </c>
      <c r="E30" s="1078" t="s">
        <v>2091</v>
      </c>
      <c r="F30" s="1477"/>
      <c r="G30" s="1477"/>
      <c r="H30" s="1490">
        <f>'9-A.Training Sub-Annex'!I146</f>
        <v>0</v>
      </c>
      <c r="I30" s="1490">
        <f>'9-A.Training Sub-Annex'!J146</f>
        <v>0</v>
      </c>
      <c r="J30" s="1490">
        <f>'9-A.Training Sub-Annex'!K146</f>
        <v>0</v>
      </c>
      <c r="K30" s="300"/>
      <c r="L30" s="310"/>
      <c r="M30" s="731"/>
      <c r="N30" s="310"/>
      <c r="O30" s="1490">
        <f>'9-A.Training Sub-Annex'!P146</f>
        <v>0</v>
      </c>
      <c r="P30" s="417"/>
      <c r="Q30" s="830"/>
      <c r="R30" s="1453">
        <f>'9-A.Training Sub-Annex'!S146</f>
        <v>0</v>
      </c>
      <c r="S30" s="1454"/>
      <c r="T30" s="1454"/>
      <c r="U30" s="1454"/>
      <c r="V30" s="1454"/>
      <c r="W30" s="1454"/>
    </row>
    <row r="31" spans="1:23" x14ac:dyDescent="0.2">
      <c r="A31" s="474" t="s">
        <v>5075</v>
      </c>
      <c r="B31" s="248"/>
      <c r="C31" s="1043" t="s">
        <v>1121</v>
      </c>
      <c r="D31" s="886" t="s">
        <v>70</v>
      </c>
      <c r="E31" s="986" t="s">
        <v>5090</v>
      </c>
      <c r="F31" s="1478"/>
      <c r="G31" s="1478"/>
      <c r="H31" s="731">
        <f>'9-A.Training Sub-Annex'!I150</f>
        <v>0</v>
      </c>
      <c r="I31" s="731">
        <f>'9-A.Training Sub-Annex'!J150</f>
        <v>0</v>
      </c>
      <c r="J31" s="731">
        <f>'9-A.Training Sub-Annex'!K150</f>
        <v>0</v>
      </c>
      <c r="K31" s="317"/>
      <c r="L31" s="603"/>
      <c r="M31" s="731"/>
      <c r="N31" s="604"/>
      <c r="O31" s="731">
        <f>'9-A.Training Sub-Annex'!P150</f>
        <v>0</v>
      </c>
      <c r="P31" s="317"/>
      <c r="Q31" s="3627" t="s">
        <v>5918</v>
      </c>
      <c r="R31" s="328">
        <f>'9-A.Training Sub-Annex'!S150</f>
        <v>0</v>
      </c>
      <c r="S31" s="1368"/>
      <c r="T31" s="1368"/>
      <c r="U31" s="1368"/>
      <c r="V31" s="1368"/>
      <c r="W31" s="1368"/>
    </row>
    <row r="32" spans="1:23" x14ac:dyDescent="0.2">
      <c r="A32" s="474" t="s">
        <v>5076</v>
      </c>
      <c r="B32" s="248"/>
      <c r="C32" s="1043" t="s">
        <v>2608</v>
      </c>
      <c r="D32" s="886" t="s">
        <v>70</v>
      </c>
      <c r="E32" s="986" t="s">
        <v>4995</v>
      </c>
      <c r="F32" s="1478"/>
      <c r="G32" s="1478"/>
      <c r="H32" s="731">
        <f>'9-A.Training Sub-Annex'!I163</f>
        <v>0</v>
      </c>
      <c r="I32" s="731">
        <f>'9-A.Training Sub-Annex'!J163</f>
        <v>0</v>
      </c>
      <c r="J32" s="731">
        <f>'9-A.Training Sub-Annex'!K163</f>
        <v>0</v>
      </c>
      <c r="K32" s="317"/>
      <c r="L32" s="603"/>
      <c r="M32" s="731"/>
      <c r="N32" s="604"/>
      <c r="O32" s="731">
        <f>'9-A.Training Sub-Annex'!P163</f>
        <v>0</v>
      </c>
      <c r="P32" s="317"/>
      <c r="Q32" s="248"/>
      <c r="R32" s="328">
        <f>'9-A.Training Sub-Annex'!S163</f>
        <v>0</v>
      </c>
      <c r="S32" s="1368"/>
      <c r="T32" s="1368"/>
      <c r="U32" s="1368"/>
      <c r="V32" s="1368"/>
      <c r="W32" s="1368"/>
    </row>
    <row r="33" spans="1:23" s="1061" customFormat="1" x14ac:dyDescent="0.2">
      <c r="A33" s="474" t="s">
        <v>5077</v>
      </c>
      <c r="B33" s="1043"/>
      <c r="C33" s="1043" t="s">
        <v>5113</v>
      </c>
      <c r="D33" s="886" t="s">
        <v>70</v>
      </c>
      <c r="E33" s="986" t="s">
        <v>5091</v>
      </c>
      <c r="F33" s="1141"/>
      <c r="G33" s="1141"/>
      <c r="H33" s="731">
        <f>'9-A.Training Sub-Annex'!I169</f>
        <v>0</v>
      </c>
      <c r="I33" s="731">
        <f>'9-A.Training Sub-Annex'!J169</f>
        <v>0</v>
      </c>
      <c r="J33" s="731">
        <f>'9-A.Training Sub-Annex'!K169</f>
        <v>0</v>
      </c>
      <c r="K33" s="250"/>
      <c r="L33" s="250"/>
      <c r="M33" s="740"/>
      <c r="N33" s="608"/>
      <c r="O33" s="731">
        <f>'9-A.Training Sub-Annex'!P169</f>
        <v>0</v>
      </c>
      <c r="P33" s="251"/>
      <c r="Q33" s="248"/>
      <c r="R33" s="328">
        <f>'9-A.Training Sub-Annex'!S169</f>
        <v>0</v>
      </c>
      <c r="S33" s="1454"/>
      <c r="T33" s="1454"/>
      <c r="U33" s="1454"/>
      <c r="V33" s="1454"/>
      <c r="W33" s="1454"/>
    </row>
    <row r="34" spans="1:23" s="1061" customFormat="1" x14ac:dyDescent="0.2">
      <c r="A34" s="474" t="s">
        <v>5078</v>
      </c>
      <c r="B34" s="1043"/>
      <c r="C34" s="1043" t="s">
        <v>1149</v>
      </c>
      <c r="D34" s="886" t="s">
        <v>70</v>
      </c>
      <c r="E34" s="986" t="s">
        <v>70</v>
      </c>
      <c r="F34" s="1141"/>
      <c r="G34" s="1141"/>
      <c r="H34" s="1490">
        <f>'9-A.Training Sub-Annex'!I174</f>
        <v>0</v>
      </c>
      <c r="I34" s="1490">
        <f>'9-A.Training Sub-Annex'!J174</f>
        <v>0</v>
      </c>
      <c r="J34" s="1490">
        <f>'9-A.Training Sub-Annex'!K174</f>
        <v>0</v>
      </c>
      <c r="K34" s="250"/>
      <c r="L34" s="250"/>
      <c r="M34" s="1490"/>
      <c r="N34" s="609"/>
      <c r="O34" s="1490">
        <f>'9-A.Training Sub-Annex'!P174</f>
        <v>0</v>
      </c>
      <c r="P34" s="251"/>
      <c r="Q34" s="3627" t="s">
        <v>5918</v>
      </c>
      <c r="R34" s="1453">
        <f>'9-A.Training Sub-Annex'!S174</f>
        <v>0</v>
      </c>
      <c r="S34" s="1454"/>
      <c r="T34" s="1454"/>
      <c r="U34" s="1454"/>
      <c r="V34" s="1454"/>
      <c r="W34" s="1454"/>
    </row>
    <row r="35" spans="1:23" s="1061" customFormat="1" x14ac:dyDescent="0.2">
      <c r="A35" s="474" t="s">
        <v>5079</v>
      </c>
      <c r="B35" s="1479"/>
      <c r="C35" s="510" t="s">
        <v>1152</v>
      </c>
      <c r="D35" s="886" t="s">
        <v>70</v>
      </c>
      <c r="E35" s="1147" t="s">
        <v>4730</v>
      </c>
      <c r="F35" s="1468"/>
      <c r="G35" s="1468"/>
      <c r="H35" s="1490">
        <f>'9-A.Training Sub-Annex'!I177</f>
        <v>0</v>
      </c>
      <c r="I35" s="1490">
        <f>'9-A.Training Sub-Annex'!J177</f>
        <v>0</v>
      </c>
      <c r="J35" s="1490">
        <f>'9-A.Training Sub-Annex'!K177</f>
        <v>0</v>
      </c>
      <c r="K35" s="432"/>
      <c r="L35" s="310"/>
      <c r="M35" s="731"/>
      <c r="N35" s="310"/>
      <c r="O35" s="1490">
        <f>'9-A.Training Sub-Annex'!P177</f>
        <v>0</v>
      </c>
      <c r="P35" s="433"/>
      <c r="Q35" s="3627" t="s">
        <v>5918</v>
      </c>
      <c r="R35" s="1453">
        <f>'9-A.Training Sub-Annex'!S177</f>
        <v>0</v>
      </c>
      <c r="S35" s="1454"/>
      <c r="T35" s="1454"/>
      <c r="U35" s="1454"/>
      <c r="V35" s="1454"/>
      <c r="W35" s="1454"/>
    </row>
    <row r="36" spans="1:23" x14ac:dyDescent="0.2">
      <c r="A36" s="474" t="s">
        <v>5080</v>
      </c>
      <c r="B36" s="568"/>
      <c r="C36" s="568" t="s">
        <v>2860</v>
      </c>
      <c r="D36" s="886" t="s">
        <v>70</v>
      </c>
      <c r="E36" s="1147" t="s">
        <v>2383</v>
      </c>
      <c r="F36" s="1468"/>
      <c r="G36" s="1468"/>
      <c r="H36" s="1490">
        <f>'9-A.Training Sub-Annex'!I184</f>
        <v>0</v>
      </c>
      <c r="I36" s="1490">
        <f>'9-A.Training Sub-Annex'!J184</f>
        <v>0</v>
      </c>
      <c r="J36" s="1490">
        <f>'9-A.Training Sub-Annex'!K184</f>
        <v>0</v>
      </c>
      <c r="K36" s="432"/>
      <c r="L36" s="310"/>
      <c r="M36" s="731"/>
      <c r="N36" s="310"/>
      <c r="O36" s="1490">
        <f>'9-A.Training Sub-Annex'!P184</f>
        <v>0</v>
      </c>
      <c r="P36" s="433"/>
      <c r="Q36" s="3627" t="s">
        <v>5918</v>
      </c>
      <c r="R36" s="1453">
        <f>'9-A.Training Sub-Annex'!S184</f>
        <v>0</v>
      </c>
      <c r="S36" s="1368"/>
      <c r="T36" s="1368"/>
      <c r="U36" s="1368"/>
      <c r="V36" s="1368"/>
      <c r="W36" s="1368"/>
    </row>
    <row r="37" spans="1:23" ht="30" x14ac:dyDescent="0.2">
      <c r="A37" s="474" t="s">
        <v>5081</v>
      </c>
      <c r="B37" s="568"/>
      <c r="C37" s="568" t="s">
        <v>4615</v>
      </c>
      <c r="D37" s="886" t="s">
        <v>70</v>
      </c>
      <c r="E37" s="1147" t="s">
        <v>4365</v>
      </c>
      <c r="F37" s="1156"/>
      <c r="G37" s="1157"/>
      <c r="H37" s="1490">
        <f>'9-A.Training Sub-Annex'!I189</f>
        <v>0</v>
      </c>
      <c r="I37" s="1490">
        <f>'9-A.Training Sub-Annex'!J189</f>
        <v>0</v>
      </c>
      <c r="J37" s="1490">
        <f>'9-A.Training Sub-Annex'!K189</f>
        <v>0</v>
      </c>
      <c r="K37" s="313"/>
      <c r="L37" s="310"/>
      <c r="M37" s="731"/>
      <c r="N37" s="310"/>
      <c r="O37" s="1490">
        <f>'9-A.Training Sub-Annex'!P189</f>
        <v>0</v>
      </c>
      <c r="P37" s="196"/>
      <c r="Q37" s="3627" t="s">
        <v>5918</v>
      </c>
      <c r="R37" s="1453">
        <f>'9-A.Training Sub-Annex'!S189</f>
        <v>0</v>
      </c>
      <c r="S37" s="1368"/>
      <c r="T37" s="1368"/>
      <c r="U37" s="1368"/>
      <c r="V37" s="1368"/>
      <c r="W37" s="1368"/>
    </row>
    <row r="38" spans="1:23" x14ac:dyDescent="0.2">
      <c r="A38" s="474" t="s">
        <v>5082</v>
      </c>
      <c r="B38" s="568" t="s">
        <v>817</v>
      </c>
      <c r="C38" s="568" t="s">
        <v>818</v>
      </c>
      <c r="D38" s="886" t="s">
        <v>70</v>
      </c>
      <c r="E38" s="1147" t="s">
        <v>70</v>
      </c>
      <c r="F38" s="1156"/>
      <c r="G38" s="1157"/>
      <c r="H38" s="1490">
        <f>'9-A.Training Sub-Annex'!I195</f>
        <v>0</v>
      </c>
      <c r="I38" s="1490">
        <f>'9-A.Training Sub-Annex'!J195</f>
        <v>0</v>
      </c>
      <c r="J38" s="1490">
        <f>'9-A.Training Sub-Annex'!K195</f>
        <v>0</v>
      </c>
      <c r="K38" s="313"/>
      <c r="L38" s="310"/>
      <c r="M38" s="731"/>
      <c r="N38" s="310"/>
      <c r="O38" s="1490">
        <f>'9-A.Training Sub-Annex'!P195</f>
        <v>0</v>
      </c>
      <c r="P38" s="196"/>
      <c r="Q38" s="3627" t="s">
        <v>5918</v>
      </c>
      <c r="R38" s="1453">
        <f>'9-A.Training Sub-Annex'!S195</f>
        <v>0</v>
      </c>
      <c r="S38" s="1368"/>
      <c r="T38" s="1368"/>
      <c r="U38" s="1368"/>
      <c r="V38" s="1368"/>
      <c r="W38" s="1368"/>
    </row>
    <row r="39" spans="1:23" s="1061" customFormat="1" x14ac:dyDescent="0.2">
      <c r="A39" s="474" t="s">
        <v>5083</v>
      </c>
      <c r="B39" s="568" t="s">
        <v>1163</v>
      </c>
      <c r="C39" s="568" t="s">
        <v>1164</v>
      </c>
      <c r="D39" s="886" t="s">
        <v>70</v>
      </c>
      <c r="E39" s="1147" t="s">
        <v>70</v>
      </c>
      <c r="F39" s="1480"/>
      <c r="G39" s="1481"/>
      <c r="H39" s="1490">
        <f>'9-A.Training Sub-Annex'!I201</f>
        <v>0</v>
      </c>
      <c r="I39" s="1490">
        <f>'9-A.Training Sub-Annex'!J201</f>
        <v>0</v>
      </c>
      <c r="J39" s="1490">
        <f>'9-A.Training Sub-Annex'!K201</f>
        <v>0</v>
      </c>
      <c r="K39" s="313"/>
      <c r="L39" s="310"/>
      <c r="M39" s="731"/>
      <c r="N39" s="310"/>
      <c r="O39" s="1490">
        <f>'9-A.Training Sub-Annex'!P201</f>
        <v>0</v>
      </c>
      <c r="P39" s="383"/>
      <c r="Q39" s="3627" t="s">
        <v>5918</v>
      </c>
      <c r="R39" s="1453">
        <f>'9-A.Training Sub-Annex'!S201</f>
        <v>0</v>
      </c>
      <c r="S39" s="1454"/>
      <c r="T39" s="1454"/>
      <c r="U39" s="1454"/>
      <c r="V39" s="1454"/>
      <c r="W39" s="1454"/>
    </row>
    <row r="40" spans="1:23" s="1061" customFormat="1" ht="30" x14ac:dyDescent="0.2">
      <c r="A40" s="474" t="s">
        <v>5084</v>
      </c>
      <c r="B40" s="568" t="s">
        <v>1166</v>
      </c>
      <c r="C40" s="568" t="s">
        <v>5092</v>
      </c>
      <c r="D40" s="886" t="s">
        <v>70</v>
      </c>
      <c r="E40" s="1147" t="s">
        <v>5091</v>
      </c>
      <c r="F40" s="1480"/>
      <c r="G40" s="1157"/>
      <c r="H40" s="1490">
        <f>'9-A.Training Sub-Annex'!I202</f>
        <v>0</v>
      </c>
      <c r="I40" s="1490">
        <f>'9-A.Training Sub-Annex'!J202</f>
        <v>0</v>
      </c>
      <c r="J40" s="1490">
        <f>'9-A.Training Sub-Annex'!K202</f>
        <v>0</v>
      </c>
      <c r="K40" s="313"/>
      <c r="L40" s="310"/>
      <c r="M40" s="731"/>
      <c r="N40" s="310"/>
      <c r="O40" s="1490">
        <f>'9-A.Training Sub-Annex'!P202</f>
        <v>0</v>
      </c>
      <c r="P40" s="383"/>
      <c r="Q40" s="410"/>
      <c r="R40" s="1453">
        <f>'9-A.Training Sub-Annex'!S202</f>
        <v>0</v>
      </c>
      <c r="S40" s="1454"/>
      <c r="T40" s="1454"/>
      <c r="U40" s="1454"/>
      <c r="V40" s="1454"/>
      <c r="W40" s="1454"/>
    </row>
    <row r="41" spans="1:23" x14ac:dyDescent="0.2">
      <c r="A41" s="474" t="s">
        <v>5085</v>
      </c>
      <c r="B41" s="568" t="s">
        <v>1013</v>
      </c>
      <c r="C41" s="568" t="s">
        <v>1014</v>
      </c>
      <c r="D41" s="886" t="s">
        <v>70</v>
      </c>
      <c r="E41" s="1147" t="s">
        <v>70</v>
      </c>
      <c r="F41" s="1468"/>
      <c r="G41" s="1468"/>
      <c r="H41" s="1490">
        <f>'9-A.Training Sub-Annex'!I203</f>
        <v>0</v>
      </c>
      <c r="I41" s="1490">
        <f>'9-A.Training Sub-Annex'!J203</f>
        <v>0</v>
      </c>
      <c r="J41" s="1490">
        <f>'9-A.Training Sub-Annex'!K203</f>
        <v>0</v>
      </c>
      <c r="K41" s="432"/>
      <c r="L41" s="310"/>
      <c r="M41" s="731"/>
      <c r="N41" s="310"/>
      <c r="O41" s="1490">
        <f>'9-A.Training Sub-Annex'!P203</f>
        <v>0</v>
      </c>
      <c r="P41" s="433"/>
      <c r="Q41" s="410"/>
      <c r="R41" s="1453">
        <f>'9-A.Training Sub-Annex'!S203</f>
        <v>0</v>
      </c>
      <c r="S41" s="1368"/>
      <c r="T41" s="1368"/>
      <c r="U41" s="1368"/>
      <c r="V41" s="1368"/>
      <c r="W41" s="1368"/>
    </row>
    <row r="42" spans="1:23" x14ac:dyDescent="0.2">
      <c r="A42" s="474" t="s">
        <v>5086</v>
      </c>
      <c r="B42" s="568" t="s">
        <v>1015</v>
      </c>
      <c r="C42" s="568" t="s">
        <v>1016</v>
      </c>
      <c r="D42" s="886" t="s">
        <v>70</v>
      </c>
      <c r="E42" s="1147" t="s">
        <v>70</v>
      </c>
      <c r="F42" s="1468"/>
      <c r="G42" s="1468"/>
      <c r="H42" s="1490">
        <f>'9-A.Training Sub-Annex'!I204</f>
        <v>0</v>
      </c>
      <c r="I42" s="1490">
        <f>'9-A.Training Sub-Annex'!J204</f>
        <v>0</v>
      </c>
      <c r="J42" s="1490">
        <f>'9-A.Training Sub-Annex'!K204</f>
        <v>0</v>
      </c>
      <c r="K42" s="432"/>
      <c r="L42" s="310"/>
      <c r="M42" s="731"/>
      <c r="N42" s="310"/>
      <c r="O42" s="1490">
        <f>'9-A.Training Sub-Annex'!P204</f>
        <v>0</v>
      </c>
      <c r="P42" s="433"/>
      <c r="Q42" s="3627" t="s">
        <v>5918</v>
      </c>
      <c r="R42" s="1453">
        <f>'9-A.Training Sub-Annex'!S204</f>
        <v>0</v>
      </c>
      <c r="S42" s="1368"/>
      <c r="T42" s="1368"/>
      <c r="U42" s="1368"/>
      <c r="V42" s="1368"/>
      <c r="W42" s="1368"/>
    </row>
    <row r="43" spans="1:23" x14ac:dyDescent="0.2">
      <c r="A43" s="474" t="s">
        <v>5087</v>
      </c>
      <c r="B43" s="568"/>
      <c r="C43" s="568" t="s">
        <v>4505</v>
      </c>
      <c r="D43" s="886" t="s">
        <v>70</v>
      </c>
      <c r="E43" s="1147" t="s">
        <v>742</v>
      </c>
      <c r="F43" s="1468"/>
      <c r="G43" s="1468"/>
      <c r="H43" s="1490">
        <f>'9-A.Training Sub-Annex'!I205</f>
        <v>0</v>
      </c>
      <c r="I43" s="1490">
        <f>'9-A.Training Sub-Annex'!J205</f>
        <v>0</v>
      </c>
      <c r="J43" s="1490">
        <f>'9-A.Training Sub-Annex'!K205</f>
        <v>0</v>
      </c>
      <c r="K43" s="432"/>
      <c r="L43" s="310"/>
      <c r="M43" s="731"/>
      <c r="N43" s="310"/>
      <c r="O43" s="1490">
        <f>'9-A.Training Sub-Annex'!P205</f>
        <v>0</v>
      </c>
      <c r="P43" s="433"/>
      <c r="Q43" s="410"/>
      <c r="R43" s="1453">
        <f>'9-A.Training Sub-Annex'!S205</f>
        <v>0</v>
      </c>
      <c r="S43" s="1368"/>
      <c r="T43" s="1368"/>
      <c r="U43" s="1368"/>
      <c r="V43" s="1368"/>
      <c r="W43" s="1368"/>
    </row>
    <row r="44" spans="1:23" ht="45" x14ac:dyDescent="0.2">
      <c r="A44" s="474" t="s">
        <v>5088</v>
      </c>
      <c r="B44" s="568"/>
      <c r="C44" s="568" t="s">
        <v>4550</v>
      </c>
      <c r="D44" s="886" t="s">
        <v>70</v>
      </c>
      <c r="E44" s="1147" t="s">
        <v>4925</v>
      </c>
      <c r="F44" s="1468"/>
      <c r="G44" s="1468"/>
      <c r="H44" s="1490">
        <f>'9-A.Training Sub-Annex'!I206</f>
        <v>0</v>
      </c>
      <c r="I44" s="1490">
        <f>'9-A.Training Sub-Annex'!J206</f>
        <v>0</v>
      </c>
      <c r="J44" s="1490">
        <f>'9-A.Training Sub-Annex'!K206</f>
        <v>0</v>
      </c>
      <c r="K44" s="432"/>
      <c r="L44" s="310"/>
      <c r="M44" s="731"/>
      <c r="N44" s="310"/>
      <c r="O44" s="1490">
        <f>'9-A.Training Sub-Annex'!P206</f>
        <v>0</v>
      </c>
      <c r="P44" s="433"/>
      <c r="Q44" s="410"/>
      <c r="R44" s="1453">
        <f>'9-A.Training Sub-Annex'!S206</f>
        <v>0</v>
      </c>
      <c r="S44" s="1368"/>
      <c r="T44" s="1368"/>
      <c r="U44" s="1368"/>
      <c r="V44" s="1368"/>
      <c r="W44" s="1368"/>
    </row>
    <row r="45" spans="1:23" x14ac:dyDescent="0.2">
      <c r="A45" s="474" t="s">
        <v>5089</v>
      </c>
      <c r="B45" s="568"/>
      <c r="C45" s="568" t="s">
        <v>1310</v>
      </c>
      <c r="D45" s="886" t="s">
        <v>70</v>
      </c>
      <c r="E45" s="1147" t="s">
        <v>70</v>
      </c>
      <c r="F45" s="1480"/>
      <c r="G45" s="1157"/>
      <c r="H45" s="1490">
        <f>'9-A.Training Sub-Annex'!I207</f>
        <v>0</v>
      </c>
      <c r="I45" s="1490">
        <f>'9-A.Training Sub-Annex'!J207</f>
        <v>0</v>
      </c>
      <c r="J45" s="1490">
        <f>'9-A.Training Sub-Annex'!K207</f>
        <v>0</v>
      </c>
      <c r="K45" s="353"/>
      <c r="L45" s="310"/>
      <c r="M45" s="731"/>
      <c r="N45" s="310"/>
      <c r="O45" s="1490">
        <f>'9-A.Training Sub-Annex'!P207</f>
        <v>0</v>
      </c>
      <c r="P45" s="615"/>
      <c r="Q45" s="3627" t="s">
        <v>5918</v>
      </c>
      <c r="R45" s="1453">
        <f>'9-A.Training Sub-Annex'!S207</f>
        <v>0</v>
      </c>
      <c r="S45" s="1368"/>
      <c r="T45" s="1368"/>
      <c r="U45" s="1368"/>
      <c r="V45" s="1368"/>
      <c r="W45" s="1368"/>
    </row>
    <row r="46" spans="1:23" x14ac:dyDescent="0.2">
      <c r="A46" s="1275" t="s">
        <v>2575</v>
      </c>
      <c r="B46" s="1470"/>
      <c r="C46" s="1471" t="s">
        <v>5048</v>
      </c>
      <c r="D46" s="1472"/>
      <c r="E46" s="1473"/>
      <c r="F46" s="1474"/>
      <c r="G46" s="1475"/>
      <c r="H46" s="1497">
        <f>SUM(H47:H53)</f>
        <v>0</v>
      </c>
      <c r="I46" s="1497">
        <f>SUM(I47:I53)</f>
        <v>0</v>
      </c>
      <c r="J46" s="1497">
        <f>SUM(J47:J53)</f>
        <v>0</v>
      </c>
      <c r="K46" s="616"/>
      <c r="L46" s="605"/>
      <c r="M46" s="1496"/>
      <c r="N46" s="605"/>
      <c r="O46" s="1497">
        <f>SUM(O47:O53)</f>
        <v>0</v>
      </c>
      <c r="P46" s="617"/>
      <c r="Q46" s="1476"/>
      <c r="R46" s="1483">
        <f>SUM(R47:R53)</f>
        <v>0</v>
      </c>
      <c r="S46" s="1368"/>
      <c r="T46" s="1368"/>
      <c r="U46" s="1368"/>
      <c r="V46" s="1368"/>
      <c r="W46" s="1368"/>
    </row>
    <row r="47" spans="1:23" x14ac:dyDescent="0.2">
      <c r="A47" s="474" t="s">
        <v>5094</v>
      </c>
      <c r="B47" s="501"/>
      <c r="C47" s="501" t="s">
        <v>1041</v>
      </c>
      <c r="D47" s="1484" t="s">
        <v>4366</v>
      </c>
      <c r="E47" s="1147" t="s">
        <v>293</v>
      </c>
      <c r="F47" s="1468"/>
      <c r="G47" s="1468"/>
      <c r="H47" s="1490">
        <f>'9-A.Training Sub-Annex'!I209</f>
        <v>0</v>
      </c>
      <c r="I47" s="1490">
        <f>'9-A.Training Sub-Annex'!J209</f>
        <v>0</v>
      </c>
      <c r="J47" s="1490">
        <f>'9-A.Training Sub-Annex'!K209</f>
        <v>0</v>
      </c>
      <c r="K47" s="432"/>
      <c r="L47" s="310"/>
      <c r="M47" s="731"/>
      <c r="N47" s="310"/>
      <c r="O47" s="1490">
        <f>'9-A.Training Sub-Annex'!P209</f>
        <v>0</v>
      </c>
      <c r="P47" s="433"/>
      <c r="Q47" s="3627" t="s">
        <v>5918</v>
      </c>
      <c r="R47" s="1453">
        <f>'9-A.Training Sub-Annex'!S209</f>
        <v>0</v>
      </c>
    </row>
    <row r="48" spans="1:23" x14ac:dyDescent="0.2">
      <c r="A48" s="474" t="s">
        <v>5105</v>
      </c>
      <c r="B48" s="501"/>
      <c r="C48" s="501" t="s">
        <v>1061</v>
      </c>
      <c r="D48" s="1484" t="s">
        <v>4366</v>
      </c>
      <c r="E48" s="1147" t="s">
        <v>114</v>
      </c>
      <c r="F48" s="1468"/>
      <c r="G48" s="1468"/>
      <c r="H48" s="1490">
        <f>'9-A.Training Sub-Annex'!I219</f>
        <v>0</v>
      </c>
      <c r="I48" s="1490">
        <f>'9-A.Training Sub-Annex'!J219</f>
        <v>0</v>
      </c>
      <c r="J48" s="1490">
        <f>'9-A.Training Sub-Annex'!K219</f>
        <v>0</v>
      </c>
      <c r="K48" s="432"/>
      <c r="L48" s="310"/>
      <c r="M48" s="731"/>
      <c r="N48" s="310"/>
      <c r="O48" s="1490">
        <f>'9-A.Training Sub-Annex'!P219</f>
        <v>0</v>
      </c>
      <c r="P48" s="433"/>
      <c r="Q48" s="3627" t="s">
        <v>5918</v>
      </c>
      <c r="R48" s="1453">
        <f>'9-A.Training Sub-Annex'!S219</f>
        <v>0</v>
      </c>
    </row>
    <row r="49" spans="1:19" x14ac:dyDescent="0.2">
      <c r="A49" s="474" t="s">
        <v>5106</v>
      </c>
      <c r="B49" s="568"/>
      <c r="C49" s="501" t="s">
        <v>1081</v>
      </c>
      <c r="D49" s="1484" t="s">
        <v>4366</v>
      </c>
      <c r="E49" s="1147" t="s">
        <v>146</v>
      </c>
      <c r="F49" s="1468"/>
      <c r="G49" s="1468"/>
      <c r="H49" s="1490">
        <f>'9-A.Training Sub-Annex'!I228</f>
        <v>0</v>
      </c>
      <c r="I49" s="1490">
        <f>'9-A.Training Sub-Annex'!J228</f>
        <v>0</v>
      </c>
      <c r="J49" s="1490">
        <f>'9-A.Training Sub-Annex'!K228</f>
        <v>0</v>
      </c>
      <c r="K49" s="432"/>
      <c r="L49" s="310"/>
      <c r="M49" s="731"/>
      <c r="N49" s="310"/>
      <c r="O49" s="1490">
        <f>'9-A.Training Sub-Annex'!P228</f>
        <v>0</v>
      </c>
      <c r="P49" s="433"/>
      <c r="Q49" s="3627" t="s">
        <v>5918</v>
      </c>
      <c r="R49" s="1453">
        <f>'9-A.Training Sub-Annex'!S228</f>
        <v>0</v>
      </c>
    </row>
    <row r="50" spans="1:19" x14ac:dyDescent="0.2">
      <c r="A50" s="474" t="s">
        <v>5107</v>
      </c>
      <c r="B50" s="501"/>
      <c r="C50" s="501" t="s">
        <v>4895</v>
      </c>
      <c r="D50" s="1484" t="s">
        <v>4366</v>
      </c>
      <c r="E50" s="1147" t="s">
        <v>4683</v>
      </c>
      <c r="F50" s="1468"/>
      <c r="G50" s="1468"/>
      <c r="H50" s="1490">
        <f>'9-A.Training Sub-Annex'!I231</f>
        <v>0</v>
      </c>
      <c r="I50" s="1490">
        <f>'9-A.Training Sub-Annex'!J231</f>
        <v>0</v>
      </c>
      <c r="J50" s="1490">
        <f>'9-A.Training Sub-Annex'!K231</f>
        <v>0</v>
      </c>
      <c r="K50" s="432"/>
      <c r="L50" s="310"/>
      <c r="M50" s="731"/>
      <c r="N50" s="310"/>
      <c r="O50" s="1490">
        <f>'9-A.Training Sub-Annex'!P231</f>
        <v>0</v>
      </c>
      <c r="P50" s="433"/>
      <c r="Q50" s="3627" t="s">
        <v>5918</v>
      </c>
      <c r="R50" s="1453">
        <f>'9-A.Training Sub-Annex'!S231</f>
        <v>0</v>
      </c>
    </row>
    <row r="51" spans="1:19" x14ac:dyDescent="0.2">
      <c r="A51" s="474" t="s">
        <v>5108</v>
      </c>
      <c r="B51" s="501"/>
      <c r="C51" s="501" t="s">
        <v>3352</v>
      </c>
      <c r="D51" s="1484" t="s">
        <v>4366</v>
      </c>
      <c r="E51" s="1147" t="s">
        <v>3323</v>
      </c>
      <c r="F51" s="1480"/>
      <c r="G51" s="1157"/>
      <c r="H51" s="1490">
        <f>'9-A.Training Sub-Annex'!I235</f>
        <v>0</v>
      </c>
      <c r="I51" s="1490">
        <f>'9-A.Training Sub-Annex'!J235</f>
        <v>0</v>
      </c>
      <c r="J51" s="1490">
        <f>'9-A.Training Sub-Annex'!K235</f>
        <v>0</v>
      </c>
      <c r="K51" s="313"/>
      <c r="L51" s="310"/>
      <c r="M51" s="731"/>
      <c r="N51" s="310"/>
      <c r="O51" s="1490">
        <f>'9-A.Training Sub-Annex'!P235</f>
        <v>0</v>
      </c>
      <c r="P51" s="383"/>
      <c r="Q51" s="3627" t="s">
        <v>5918</v>
      </c>
      <c r="R51" s="1453">
        <f>'9-A.Training Sub-Annex'!S235</f>
        <v>0</v>
      </c>
    </row>
    <row r="52" spans="1:19" x14ac:dyDescent="0.2">
      <c r="A52" s="474" t="s">
        <v>5109</v>
      </c>
      <c r="B52" s="501"/>
      <c r="C52" s="501" t="s">
        <v>5050</v>
      </c>
      <c r="D52" s="1484" t="s">
        <v>4366</v>
      </c>
      <c r="E52" s="1147" t="s">
        <v>3993</v>
      </c>
      <c r="F52" s="1480"/>
      <c r="G52" s="1157"/>
      <c r="H52" s="1490">
        <f>'9-A.Training Sub-Annex'!I243</f>
        <v>0</v>
      </c>
      <c r="I52" s="1490">
        <f>'9-A.Training Sub-Annex'!J243</f>
        <v>0</v>
      </c>
      <c r="J52" s="1490">
        <f>'9-A.Training Sub-Annex'!K243</f>
        <v>0</v>
      </c>
      <c r="K52" s="313"/>
      <c r="L52" s="310"/>
      <c r="M52" s="731"/>
      <c r="N52" s="310"/>
      <c r="O52" s="1490">
        <f>'9-A.Training Sub-Annex'!P243</f>
        <v>0</v>
      </c>
      <c r="P52" s="383"/>
      <c r="Q52" s="3627" t="s">
        <v>5918</v>
      </c>
      <c r="R52" s="1453">
        <f>'9-A.Training Sub-Annex'!S243</f>
        <v>0</v>
      </c>
    </row>
    <row r="53" spans="1:19" x14ac:dyDescent="0.2">
      <c r="A53" s="474" t="s">
        <v>5110</v>
      </c>
      <c r="B53" s="568"/>
      <c r="C53" s="851" t="s">
        <v>5055</v>
      </c>
      <c r="D53" s="1484" t="s">
        <v>4366</v>
      </c>
      <c r="E53" s="1147" t="s">
        <v>4553</v>
      </c>
      <c r="F53" s="1468"/>
      <c r="G53" s="1468"/>
      <c r="H53" s="1490">
        <f>'9-A.Training Sub-Annex'!I245</f>
        <v>0</v>
      </c>
      <c r="I53" s="1490">
        <f>'9-A.Training Sub-Annex'!J245</f>
        <v>0</v>
      </c>
      <c r="J53" s="1490">
        <f>'9-A.Training Sub-Annex'!K245</f>
        <v>0</v>
      </c>
      <c r="K53" s="432"/>
      <c r="L53" s="310"/>
      <c r="M53" s="731"/>
      <c r="N53" s="310"/>
      <c r="O53" s="1490">
        <f>'9-A.Training Sub-Annex'!P245</f>
        <v>0</v>
      </c>
      <c r="P53" s="433"/>
      <c r="Q53" s="3627" t="s">
        <v>5918</v>
      </c>
      <c r="R53" s="1453">
        <f>'9-A.Training Sub-Annex'!S245</f>
        <v>0</v>
      </c>
    </row>
    <row r="54" spans="1:19" x14ac:dyDescent="0.2">
      <c r="A54" s="1275" t="s">
        <v>3821</v>
      </c>
      <c r="B54" s="1470"/>
      <c r="C54" s="1471" t="s">
        <v>5049</v>
      </c>
      <c r="D54" s="1472"/>
      <c r="E54" s="1473"/>
      <c r="F54" s="1482"/>
      <c r="G54" s="1475"/>
      <c r="H54" s="1497">
        <f>SUM(H55:H64)</f>
        <v>0</v>
      </c>
      <c r="I54" s="1497">
        <f>SUM(I55:I64)</f>
        <v>0</v>
      </c>
      <c r="J54" s="1497">
        <f>SUM(J55:J64)</f>
        <v>0</v>
      </c>
      <c r="K54" s="616"/>
      <c r="L54" s="605"/>
      <c r="M54" s="1496"/>
      <c r="N54" s="605"/>
      <c r="O54" s="1497">
        <f>SUM(O55:O64)</f>
        <v>0</v>
      </c>
      <c r="P54" s="617"/>
      <c r="Q54" s="1476"/>
      <c r="R54" s="1483">
        <f>SUM(R55:R64)</f>
        <v>0</v>
      </c>
    </row>
    <row r="55" spans="1:19" x14ac:dyDescent="0.2">
      <c r="A55" s="474" t="s">
        <v>5095</v>
      </c>
      <c r="B55" s="568"/>
      <c r="C55" s="851" t="s">
        <v>1090</v>
      </c>
      <c r="D55" s="889" t="s">
        <v>85</v>
      </c>
      <c r="E55" s="1147" t="s">
        <v>86</v>
      </c>
      <c r="F55" s="1239"/>
      <c r="G55" s="1157"/>
      <c r="H55" s="1490">
        <f>'9-A.Training Sub-Annex'!I248</f>
        <v>0</v>
      </c>
      <c r="I55" s="1490">
        <f>'9-A.Training Sub-Annex'!J248</f>
        <v>0</v>
      </c>
      <c r="J55" s="1490">
        <f>'9-A.Training Sub-Annex'!K248</f>
        <v>0</v>
      </c>
      <c r="K55" s="353"/>
      <c r="L55" s="310"/>
      <c r="M55" s="731"/>
      <c r="N55" s="310"/>
      <c r="O55" s="1490">
        <f>'9-A.Training Sub-Annex'!P248</f>
        <v>0</v>
      </c>
      <c r="P55" s="615"/>
      <c r="Q55" s="3627" t="s">
        <v>5918</v>
      </c>
      <c r="R55" s="1453">
        <f>'9-A.Training Sub-Annex'!S248</f>
        <v>0</v>
      </c>
    </row>
    <row r="56" spans="1:19" x14ac:dyDescent="0.2">
      <c r="A56" s="474" t="s">
        <v>5096</v>
      </c>
      <c r="B56" s="568"/>
      <c r="C56" s="851" t="s">
        <v>1095</v>
      </c>
      <c r="D56" s="889" t="s">
        <v>85</v>
      </c>
      <c r="E56" s="1147" t="s">
        <v>150</v>
      </c>
      <c r="F56" s="1156"/>
      <c r="G56" s="1157"/>
      <c r="H56" s="1490">
        <f>'9-A.Training Sub-Annex'!I251</f>
        <v>0</v>
      </c>
      <c r="I56" s="1490">
        <f>'9-A.Training Sub-Annex'!J251</f>
        <v>0</v>
      </c>
      <c r="J56" s="1490">
        <f>'9-A.Training Sub-Annex'!K251</f>
        <v>0</v>
      </c>
      <c r="K56" s="313"/>
      <c r="L56" s="310"/>
      <c r="M56" s="731"/>
      <c r="N56" s="310"/>
      <c r="O56" s="1490">
        <f>'9-A.Training Sub-Annex'!P251</f>
        <v>0</v>
      </c>
      <c r="P56" s="383"/>
      <c r="Q56" s="3627" t="s">
        <v>5918</v>
      </c>
      <c r="R56" s="1453">
        <f>'9-A.Training Sub-Annex'!S251</f>
        <v>0</v>
      </c>
    </row>
    <row r="57" spans="1:19" x14ac:dyDescent="0.2">
      <c r="A57" s="474" t="s">
        <v>5097</v>
      </c>
      <c r="B57" s="568"/>
      <c r="C57" s="851" t="s">
        <v>1100</v>
      </c>
      <c r="D57" s="889" t="s">
        <v>85</v>
      </c>
      <c r="E57" s="1147" t="s">
        <v>399</v>
      </c>
      <c r="F57" s="1239"/>
      <c r="G57" s="1157"/>
      <c r="H57" s="1490">
        <f>'9-A.Training Sub-Annex'!I254</f>
        <v>0</v>
      </c>
      <c r="I57" s="1490">
        <f>'9-A.Training Sub-Annex'!J254</f>
        <v>0</v>
      </c>
      <c r="J57" s="1490">
        <f>'9-A.Training Sub-Annex'!K254</f>
        <v>0</v>
      </c>
      <c r="K57" s="353"/>
      <c r="L57" s="310"/>
      <c r="M57" s="731"/>
      <c r="N57" s="310"/>
      <c r="O57" s="1490">
        <f>'9-A.Training Sub-Annex'!P254</f>
        <v>0</v>
      </c>
      <c r="P57" s="615"/>
      <c r="Q57" s="3627" t="s">
        <v>5918</v>
      </c>
      <c r="R57" s="1453">
        <f>'9-A.Training Sub-Annex'!S254</f>
        <v>0</v>
      </c>
    </row>
    <row r="58" spans="1:19" x14ac:dyDescent="0.2">
      <c r="A58" s="474" t="s">
        <v>5098</v>
      </c>
      <c r="B58" s="568"/>
      <c r="C58" s="851" t="s">
        <v>1106</v>
      </c>
      <c r="D58" s="889" t="s">
        <v>85</v>
      </c>
      <c r="E58" s="1147" t="s">
        <v>152</v>
      </c>
      <c r="F58" s="1468"/>
      <c r="G58" s="1468"/>
      <c r="H58" s="1490">
        <f>'9-A.Training Sub-Annex'!I259</f>
        <v>0</v>
      </c>
      <c r="I58" s="1490">
        <f>'9-A.Training Sub-Annex'!J259</f>
        <v>0</v>
      </c>
      <c r="J58" s="1490">
        <f>'9-A.Training Sub-Annex'!K259</f>
        <v>0</v>
      </c>
      <c r="K58" s="432"/>
      <c r="L58" s="310"/>
      <c r="M58" s="731"/>
      <c r="N58" s="310"/>
      <c r="O58" s="1490">
        <f>'9-A.Training Sub-Annex'!P259</f>
        <v>0</v>
      </c>
      <c r="P58" s="433"/>
      <c r="Q58" s="3627" t="s">
        <v>5918</v>
      </c>
      <c r="R58" s="1453">
        <f>'9-A.Training Sub-Annex'!S259</f>
        <v>0</v>
      </c>
    </row>
    <row r="59" spans="1:19" x14ac:dyDescent="0.2">
      <c r="A59" s="474" t="s">
        <v>5099</v>
      </c>
      <c r="B59" s="568" t="s">
        <v>1112</v>
      </c>
      <c r="C59" s="851" t="s">
        <v>1113</v>
      </c>
      <c r="D59" s="889" t="s">
        <v>85</v>
      </c>
      <c r="E59" s="1147" t="s">
        <v>415</v>
      </c>
      <c r="F59" s="1468"/>
      <c r="G59" s="1468"/>
      <c r="H59" s="1490">
        <f>'9-A.Training Sub-Annex'!I262</f>
        <v>0</v>
      </c>
      <c r="I59" s="1490">
        <f>'9-A.Training Sub-Annex'!J262</f>
        <v>0</v>
      </c>
      <c r="J59" s="1490">
        <f>'9-A.Training Sub-Annex'!K262</f>
        <v>0</v>
      </c>
      <c r="K59" s="432"/>
      <c r="L59" s="310"/>
      <c r="M59" s="731"/>
      <c r="N59" s="310"/>
      <c r="O59" s="1490">
        <f>'9-A.Training Sub-Annex'!P262</f>
        <v>0</v>
      </c>
      <c r="P59" s="433"/>
      <c r="Q59" s="3627" t="s">
        <v>5918</v>
      </c>
      <c r="R59" s="1453">
        <f>'9-A.Training Sub-Annex'!S262</f>
        <v>0</v>
      </c>
    </row>
    <row r="60" spans="1:19" x14ac:dyDescent="0.2">
      <c r="A60" s="474" t="s">
        <v>5100</v>
      </c>
      <c r="B60" s="568"/>
      <c r="C60" s="851" t="s">
        <v>1018</v>
      </c>
      <c r="D60" s="889" t="s">
        <v>85</v>
      </c>
      <c r="E60" s="1147" t="s">
        <v>1020</v>
      </c>
      <c r="F60" s="1468"/>
      <c r="G60" s="1468"/>
      <c r="H60" s="1490">
        <f>'9-A.Training Sub-Annex'!I267</f>
        <v>0</v>
      </c>
      <c r="I60" s="1490">
        <f>'9-A.Training Sub-Annex'!J267</f>
        <v>0</v>
      </c>
      <c r="J60" s="1490">
        <f>'9-A.Training Sub-Annex'!K267</f>
        <v>0</v>
      </c>
      <c r="K60" s="432"/>
      <c r="L60" s="310"/>
      <c r="M60" s="731"/>
      <c r="N60" s="310"/>
      <c r="O60" s="1490">
        <f>'9-A.Training Sub-Annex'!P267</f>
        <v>0</v>
      </c>
      <c r="P60" s="433"/>
      <c r="Q60" s="3627" t="s">
        <v>5918</v>
      </c>
      <c r="R60" s="1453">
        <f>'9-A.Training Sub-Annex'!S267</f>
        <v>0</v>
      </c>
    </row>
    <row r="61" spans="1:19" x14ac:dyDescent="0.2">
      <c r="A61" s="474" t="s">
        <v>5101</v>
      </c>
      <c r="B61" s="501"/>
      <c r="C61" s="501" t="s">
        <v>1025</v>
      </c>
      <c r="D61" s="889" t="s">
        <v>85</v>
      </c>
      <c r="E61" s="1147" t="s">
        <v>314</v>
      </c>
      <c r="F61" s="1156"/>
      <c r="G61" s="1157"/>
      <c r="H61" s="1490">
        <f>'9-A.Training Sub-Annex'!I272</f>
        <v>0</v>
      </c>
      <c r="I61" s="1490">
        <f>'9-A.Training Sub-Annex'!J272</f>
        <v>0</v>
      </c>
      <c r="J61" s="1490">
        <f>'9-A.Training Sub-Annex'!K272</f>
        <v>0</v>
      </c>
      <c r="K61" s="353"/>
      <c r="L61" s="310"/>
      <c r="M61" s="731"/>
      <c r="N61" s="310"/>
      <c r="O61" s="1490">
        <f>'9-A.Training Sub-Annex'!P272</f>
        <v>0</v>
      </c>
      <c r="P61" s="615"/>
      <c r="Q61" s="3627" t="s">
        <v>5918</v>
      </c>
      <c r="R61" s="1453">
        <f>'9-A.Training Sub-Annex'!S272</f>
        <v>0</v>
      </c>
    </row>
    <row r="62" spans="1:19" s="1061" customFormat="1" x14ac:dyDescent="0.2">
      <c r="A62" s="474" t="s">
        <v>5102</v>
      </c>
      <c r="B62" s="1043"/>
      <c r="C62" s="1043" t="s">
        <v>1030</v>
      </c>
      <c r="D62" s="889" t="s">
        <v>85</v>
      </c>
      <c r="E62" s="986" t="s">
        <v>1034</v>
      </c>
      <c r="F62" s="1485"/>
      <c r="G62" s="1485"/>
      <c r="H62" s="1490">
        <f>'9-A.Training Sub-Annex'!I275</f>
        <v>0</v>
      </c>
      <c r="I62" s="1490">
        <f>'9-A.Training Sub-Annex'!J275</f>
        <v>0</v>
      </c>
      <c r="J62" s="1490">
        <f>'9-A.Training Sub-Annex'!K275</f>
        <v>0</v>
      </c>
      <c r="K62" s="309"/>
      <c r="L62" s="309"/>
      <c r="M62" s="1498"/>
      <c r="N62" s="609"/>
      <c r="O62" s="1490">
        <f>'9-A.Training Sub-Annex'!P275</f>
        <v>0</v>
      </c>
      <c r="P62" s="121"/>
      <c r="Q62" s="879"/>
      <c r="R62" s="1453">
        <f>'9-A.Training Sub-Annex'!S275</f>
        <v>0</v>
      </c>
      <c r="S62" s="1454"/>
    </row>
    <row r="63" spans="1:19" x14ac:dyDescent="0.2">
      <c r="A63" s="474" t="s">
        <v>5103</v>
      </c>
      <c r="B63" s="983"/>
      <c r="C63" s="502" t="s">
        <v>5054</v>
      </c>
      <c r="D63" s="889" t="s">
        <v>85</v>
      </c>
      <c r="E63" s="1147" t="s">
        <v>4132</v>
      </c>
      <c r="F63" s="1468"/>
      <c r="G63" s="1468"/>
      <c r="H63" s="1490">
        <f>'9-A.Training Sub-Annex'!I278</f>
        <v>0</v>
      </c>
      <c r="I63" s="1490">
        <f>'9-A.Training Sub-Annex'!J278</f>
        <v>0</v>
      </c>
      <c r="J63" s="1490">
        <f>'9-A.Training Sub-Annex'!K278</f>
        <v>0</v>
      </c>
      <c r="K63" s="432"/>
      <c r="L63" s="310"/>
      <c r="M63" s="731"/>
      <c r="N63" s="310"/>
      <c r="O63" s="1490">
        <f>'9-A.Training Sub-Annex'!P278</f>
        <v>0</v>
      </c>
      <c r="P63" s="433"/>
      <c r="Q63" s="3627" t="s">
        <v>5918</v>
      </c>
      <c r="R63" s="1453">
        <f>'9-A.Training Sub-Annex'!S278</f>
        <v>0</v>
      </c>
    </row>
    <row r="64" spans="1:19" s="1061" customFormat="1" x14ac:dyDescent="0.2">
      <c r="A64" s="474" t="s">
        <v>5104</v>
      </c>
      <c r="B64" s="1486"/>
      <c r="C64" s="495" t="s">
        <v>5093</v>
      </c>
      <c r="D64" s="889" t="s">
        <v>85</v>
      </c>
      <c r="E64" s="1147" t="s">
        <v>4925</v>
      </c>
      <c r="F64" s="1487"/>
      <c r="G64" s="1487"/>
      <c r="H64" s="1490">
        <f>'9-A.Training Sub-Annex'!I281</f>
        <v>0</v>
      </c>
      <c r="I64" s="1490">
        <f>'9-A.Training Sub-Annex'!J281</f>
        <v>0</v>
      </c>
      <c r="J64" s="1490">
        <f>'9-A.Training Sub-Annex'!K281</f>
        <v>0</v>
      </c>
      <c r="K64" s="425"/>
      <c r="L64" s="310"/>
      <c r="M64" s="731"/>
      <c r="N64" s="310"/>
      <c r="O64" s="1490">
        <f>'9-A.Training Sub-Annex'!P281</f>
        <v>0</v>
      </c>
      <c r="P64" s="124"/>
      <c r="Q64" s="410"/>
      <c r="R64" s="1453">
        <f>'9-A.Training Sub-Annex'!S281</f>
        <v>0</v>
      </c>
    </row>
    <row r="66" spans="3:18" x14ac:dyDescent="0.2">
      <c r="N66" s="178" t="s">
        <v>5740</v>
      </c>
      <c r="R66" s="1489"/>
    </row>
    <row r="67" spans="3:18" x14ac:dyDescent="0.2">
      <c r="C67" s="1366"/>
      <c r="N67" s="178" t="s">
        <v>5741</v>
      </c>
      <c r="R67" s="1489"/>
    </row>
  </sheetData>
  <autoFilter ref="A6:BA64"/>
  <mergeCells count="15">
    <mergeCell ref="K5:P5"/>
    <mergeCell ref="Q5:R5"/>
    <mergeCell ref="A5:A6"/>
    <mergeCell ref="B5:B6"/>
    <mergeCell ref="C5:C6"/>
    <mergeCell ref="D5:D6"/>
    <mergeCell ref="E5:E6"/>
    <mergeCell ref="F5:J5"/>
    <mergeCell ref="AP1:BA1"/>
    <mergeCell ref="A2:A4"/>
    <mergeCell ref="A1:C1"/>
    <mergeCell ref="E1:E2"/>
    <mergeCell ref="F1:N1"/>
    <mergeCell ref="O1:AH1"/>
    <mergeCell ref="AI1:AO1"/>
  </mergeCells>
  <phoneticPr fontId="57"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BD287"/>
  <sheetViews>
    <sheetView zoomScale="90" zoomScaleNormal="90" workbookViewId="0">
      <pane xSplit="6" ySplit="4" topLeftCell="M5" activePane="bottomRight" state="frozen"/>
      <selection activeCell="A2" sqref="A2:A4"/>
      <selection pane="topRight" activeCell="A2" sqref="A2:A4"/>
      <selection pane="bottomLeft" activeCell="A2" sqref="A2:A4"/>
      <selection pane="bottomRight" activeCell="P4" sqref="P4"/>
    </sheetView>
  </sheetViews>
  <sheetFormatPr defaultColWidth="9.140625" defaultRowHeight="15" x14ac:dyDescent="0.2"/>
  <cols>
    <col min="1" max="1" width="8" style="1366" bestFit="1" customWidth="1"/>
    <col min="2" max="2" width="16.140625" style="1400" bestFit="1" customWidth="1"/>
    <col min="3" max="3" width="16.5703125" style="1488" customWidth="1"/>
    <col min="4" max="4" width="48.42578125" style="1401" customWidth="1"/>
    <col min="5" max="5" width="10.140625" style="1088" customWidth="1"/>
    <col min="6" max="6" width="18.140625" style="1088" customWidth="1"/>
    <col min="7" max="7" width="16.42578125" style="1160" customWidth="1"/>
    <col min="8" max="8" width="21.140625" style="1160" customWidth="1"/>
    <col min="9" max="9" width="15.85546875" style="1160" customWidth="1"/>
    <col min="10" max="10" width="16.42578125" style="1160" customWidth="1"/>
    <col min="11" max="11" width="16.140625" style="1160" customWidth="1"/>
    <col min="12" max="12" width="14.85546875" style="1366" customWidth="1"/>
    <col min="13" max="13" width="15.42578125" style="1366" bestFit="1" customWidth="1"/>
    <col min="14" max="14" width="13.42578125" style="1366" customWidth="1"/>
    <col min="15" max="15" width="10.5703125" style="1366" bestFit="1" customWidth="1"/>
    <col min="16" max="16" width="12.140625" style="1366" bestFit="1" customWidth="1"/>
    <col min="17" max="17" width="48.42578125" style="1400" customWidth="1"/>
    <col min="18" max="18" width="45.85546875" style="1400" customWidth="1"/>
    <col min="19" max="19" width="12.5703125" style="1298" customWidth="1"/>
    <col min="20" max="20" width="16" style="1366" customWidth="1"/>
    <col min="21" max="21" width="3.7109375" style="1366" bestFit="1" customWidth="1"/>
    <col min="22" max="22" width="4" style="1366" bestFit="1" customWidth="1"/>
    <col min="23" max="23" width="3.85546875" style="1366" bestFit="1" customWidth="1"/>
    <col min="24" max="24" width="5.5703125" style="1366" bestFit="1" customWidth="1"/>
    <col min="25" max="25" width="4.5703125" style="1366" bestFit="1" customWidth="1"/>
    <col min="26" max="26" width="5.85546875" style="1366" bestFit="1" customWidth="1"/>
    <col min="27" max="27" width="7.140625" style="1366" bestFit="1" customWidth="1"/>
    <col min="28" max="28" width="3.7109375" style="1366" bestFit="1" customWidth="1"/>
    <col min="29" max="29" width="8" style="1366" bestFit="1" customWidth="1"/>
    <col min="30" max="30" width="4.140625" style="1366" bestFit="1" customWidth="1"/>
    <col min="31" max="31" width="3.85546875" style="1366" bestFit="1" customWidth="1"/>
    <col min="32" max="32" width="7.140625" style="1366" bestFit="1" customWidth="1"/>
    <col min="33" max="33" width="3.42578125" style="1366" bestFit="1" customWidth="1"/>
    <col min="34" max="35" width="7.140625" style="1366" bestFit="1" customWidth="1"/>
    <col min="36" max="36" width="4.5703125" style="1366" bestFit="1" customWidth="1"/>
    <col min="37" max="37" width="8" style="1366" bestFit="1" customWidth="1"/>
    <col min="38" max="39" width="5.28515625" style="1366" bestFit="1" customWidth="1"/>
    <col min="40" max="40" width="6.85546875" style="1366" bestFit="1" customWidth="1"/>
    <col min="41" max="41" width="5.5703125" style="1366" bestFit="1" customWidth="1"/>
    <col min="42" max="42" width="5.140625" style="1366" bestFit="1" customWidth="1"/>
    <col min="43" max="43" width="5.5703125" style="1366" bestFit="1" customWidth="1"/>
    <col min="44" max="44" width="6.28515625" style="1366" bestFit="1" customWidth="1"/>
    <col min="45" max="45" width="6.5703125" style="1366" bestFit="1" customWidth="1"/>
    <col min="46" max="46" width="5.42578125" style="1366" bestFit="1" customWidth="1"/>
    <col min="47" max="47" width="7.5703125" style="1366" bestFit="1" customWidth="1"/>
    <col min="48" max="48" width="7.42578125" style="1366" bestFit="1" customWidth="1"/>
    <col min="49" max="49" width="8" style="1366" bestFit="1" customWidth="1"/>
    <col min="50" max="50" width="6" style="1366" bestFit="1" customWidth="1"/>
    <col min="51" max="51" width="5.5703125" style="1366" bestFit="1" customWidth="1"/>
    <col min="52" max="52" width="6.42578125" style="1366" bestFit="1" customWidth="1"/>
    <col min="53" max="53" width="6.7109375" style="1366" bestFit="1" customWidth="1"/>
    <col min="54" max="54" width="7.5703125" style="1366" bestFit="1" customWidth="1"/>
    <col min="55" max="16384" width="9.140625" style="1366"/>
  </cols>
  <sheetData>
    <row r="1" spans="1:56" s="1087" customFormat="1" ht="14.45" customHeight="1" x14ac:dyDescent="0.2">
      <c r="A1" s="3904" t="s">
        <v>5022</v>
      </c>
      <c r="B1" s="3905"/>
      <c r="C1" s="3905"/>
      <c r="D1" s="3906"/>
      <c r="F1" s="958"/>
      <c r="H1" s="1093"/>
      <c r="I1" s="1094"/>
      <c r="J1" s="1094"/>
      <c r="K1" s="1094"/>
      <c r="L1" s="1094"/>
      <c r="M1" s="1094"/>
      <c r="N1" s="1094"/>
      <c r="O1" s="1094"/>
      <c r="P1" s="1094"/>
      <c r="Q1" s="1094"/>
      <c r="R1" s="1094"/>
      <c r="S1" s="1499"/>
      <c r="T1" s="1094"/>
      <c r="U1" s="1094"/>
      <c r="V1" s="1094"/>
      <c r="W1" s="1094"/>
      <c r="X1" s="1094"/>
      <c r="Y1" s="1094"/>
      <c r="Z1" s="1094"/>
      <c r="AA1" s="1094"/>
      <c r="AB1" s="1094"/>
      <c r="AC1" s="1094"/>
      <c r="AD1" s="1094"/>
      <c r="AE1" s="1094"/>
      <c r="AF1" s="1094"/>
      <c r="AG1" s="1094"/>
      <c r="AH1" s="1094"/>
      <c r="AI1" s="1094"/>
      <c r="AJ1" s="1094"/>
      <c r="AK1" s="1094"/>
      <c r="AL1" s="1094"/>
      <c r="AM1" s="1094"/>
      <c r="AN1" s="1094"/>
      <c r="AO1" s="1094"/>
      <c r="AP1" s="1094"/>
      <c r="AQ1" s="1095"/>
      <c r="AR1" s="1095"/>
      <c r="AS1" s="1095"/>
      <c r="AT1" s="1095"/>
      <c r="AU1" s="1095"/>
      <c r="AV1" s="1095"/>
      <c r="AW1" s="1095"/>
      <c r="AX1" s="1306"/>
      <c r="AY1" s="1306"/>
      <c r="AZ1" s="1306"/>
      <c r="BA1" s="1306"/>
      <c r="BB1" s="1306"/>
      <c r="BC1" s="1306"/>
      <c r="BD1" s="1306"/>
    </row>
    <row r="2" spans="1:56" s="828" customFormat="1" ht="14.45" customHeight="1" x14ac:dyDescent="0.25">
      <c r="A2" s="1307" t="str">
        <f>HYPERLINK("#Index!A4", "Index Pg")</f>
        <v>Index Pg</v>
      </c>
      <c r="B2" s="831" t="str">
        <f>HYPERLINK("#'Budget Summary I'!A1:AL1", "Budget Summary I")</f>
        <v>Budget Summary I</v>
      </c>
      <c r="C2" s="831" t="str">
        <f>HYPERLINK("#'Budget Summary II'!A3:B5", "Budget Summary II")</f>
        <v>Budget Summary II</v>
      </c>
      <c r="D2" s="1308" t="str">
        <f>HYPERLINK("#'Summary of Abstracts'!A2", "Summary of Abst.")</f>
        <v>Summary of Abst.</v>
      </c>
      <c r="F2" s="958"/>
      <c r="H2" s="1093"/>
      <c r="I2" s="1101"/>
      <c r="J2" s="1101"/>
      <c r="K2" s="1101"/>
      <c r="L2" s="1101"/>
      <c r="M2" s="1101"/>
      <c r="N2" s="1101"/>
      <c r="O2" s="1102"/>
      <c r="P2" s="1102"/>
      <c r="Q2" s="1102"/>
      <c r="R2" s="1103"/>
      <c r="S2" s="1103"/>
      <c r="T2" s="1103"/>
      <c r="U2" s="1103"/>
      <c r="V2" s="1103"/>
      <c r="W2" s="1103"/>
      <c r="X2" s="1103"/>
      <c r="Y2" s="1103"/>
      <c r="Z2" s="1103"/>
      <c r="AA2" s="1103"/>
      <c r="AB2" s="1103"/>
      <c r="AC2" s="1103"/>
      <c r="AD2" s="1103"/>
      <c r="AE2" s="1103"/>
      <c r="AF2" s="1103"/>
      <c r="AG2" s="1103"/>
      <c r="AH2" s="1103"/>
      <c r="AI2" s="1103"/>
      <c r="AJ2" s="1103"/>
      <c r="AK2" s="1103"/>
      <c r="AL2" s="1103"/>
      <c r="AM2" s="1100"/>
      <c r="AN2" s="1100"/>
      <c r="AO2" s="1100"/>
      <c r="AP2" s="1100"/>
      <c r="AQ2" s="1100"/>
      <c r="AR2" s="1100"/>
      <c r="AS2" s="1100"/>
      <c r="AT2" s="1100"/>
      <c r="AU2" s="1100"/>
      <c r="AV2" s="1100"/>
      <c r="AW2" s="1100"/>
      <c r="AX2" s="1309"/>
      <c r="AY2" s="1309"/>
      <c r="AZ2" s="1309"/>
      <c r="BA2" s="1309"/>
      <c r="BB2" s="1309"/>
      <c r="BC2" s="1309"/>
      <c r="BD2" s="1309"/>
    </row>
    <row r="3" spans="1:56" s="1088" customFormat="1" ht="12.75" customHeight="1" x14ac:dyDescent="0.2">
      <c r="A3" s="3823" t="s">
        <v>5058</v>
      </c>
      <c r="B3" s="3897" t="s">
        <v>54</v>
      </c>
      <c r="C3" s="3898"/>
      <c r="D3" s="3823" t="s">
        <v>55</v>
      </c>
      <c r="E3" s="3823" t="s">
        <v>56</v>
      </c>
      <c r="F3" s="3823" t="s">
        <v>57</v>
      </c>
      <c r="G3" s="3876" t="s">
        <v>4629</v>
      </c>
      <c r="H3" s="3876"/>
      <c r="I3" s="3876"/>
      <c r="J3" s="3876"/>
      <c r="K3" s="3876"/>
      <c r="L3" s="3877" t="s">
        <v>4640</v>
      </c>
      <c r="M3" s="3888"/>
      <c r="N3" s="3888"/>
      <c r="O3" s="3888"/>
      <c r="P3" s="3888"/>
      <c r="Q3" s="3889"/>
      <c r="R3" s="3897" t="s">
        <v>4670</v>
      </c>
      <c r="S3" s="3898"/>
    </row>
    <row r="4" spans="1:56" s="1447" customFormat="1" ht="45" x14ac:dyDescent="0.2">
      <c r="A4" s="3823"/>
      <c r="B4" s="3907"/>
      <c r="C4" s="3908"/>
      <c r="D4" s="3823"/>
      <c r="E4" s="3823"/>
      <c r="F4" s="3823"/>
      <c r="G4" s="896" t="s">
        <v>4630</v>
      </c>
      <c r="H4" s="896" t="s">
        <v>4638</v>
      </c>
      <c r="I4" s="896" t="s">
        <v>4631</v>
      </c>
      <c r="J4" s="896" t="s">
        <v>4639</v>
      </c>
      <c r="K4" s="896" t="s">
        <v>2538</v>
      </c>
      <c r="L4" s="897" t="s">
        <v>58</v>
      </c>
      <c r="M4" s="897" t="s">
        <v>59</v>
      </c>
      <c r="N4" s="1197" t="s">
        <v>60</v>
      </c>
      <c r="O4" s="897" t="s">
        <v>61</v>
      </c>
      <c r="P4" s="1197" t="s">
        <v>62</v>
      </c>
      <c r="Q4" s="962" t="s">
        <v>5547</v>
      </c>
      <c r="R4" s="1209" t="s">
        <v>2540</v>
      </c>
      <c r="S4" s="964" t="s">
        <v>4671</v>
      </c>
    </row>
    <row r="5" spans="1:56" s="1061" customFormat="1" ht="45" x14ac:dyDescent="0.2">
      <c r="A5" s="1500" t="s">
        <v>4784</v>
      </c>
      <c r="B5" s="356">
        <v>9.1</v>
      </c>
      <c r="C5" s="1163"/>
      <c r="D5" s="1016" t="s">
        <v>4351</v>
      </c>
      <c r="E5" s="1215"/>
      <c r="F5" s="1215"/>
      <c r="G5" s="1216"/>
      <c r="H5" s="1216"/>
      <c r="I5" s="1216"/>
      <c r="J5" s="1216"/>
      <c r="K5" s="1216"/>
      <c r="L5" s="1216"/>
      <c r="M5" s="1216"/>
      <c r="N5" s="1449"/>
      <c r="O5" s="1449"/>
      <c r="P5" s="1501"/>
      <c r="Q5" s="1501"/>
      <c r="R5" s="1502"/>
      <c r="S5" s="1503"/>
      <c r="T5" s="1061" t="s">
        <v>4724</v>
      </c>
    </row>
    <row r="6" spans="1:56" s="1061" customFormat="1" x14ac:dyDescent="0.2">
      <c r="A6" s="1500" t="s">
        <v>4358</v>
      </c>
      <c r="B6" s="3947" t="s">
        <v>5023</v>
      </c>
      <c r="C6" s="3948"/>
      <c r="D6" s="3949"/>
      <c r="E6" s="1120"/>
      <c r="F6" s="1120"/>
      <c r="G6" s="1121"/>
      <c r="H6" s="1121"/>
      <c r="I6" s="1505"/>
      <c r="J6" s="1505"/>
      <c r="K6" s="1505"/>
      <c r="L6" s="1121"/>
      <c r="M6" s="1121"/>
      <c r="N6" s="1504"/>
      <c r="O6" s="1504"/>
      <c r="P6" s="1505">
        <f>SUM(P7:P11)</f>
        <v>0</v>
      </c>
      <c r="Q6" s="1505"/>
      <c r="R6" s="1125"/>
      <c r="S6" s="1506">
        <f>SUM(S7:S11)</f>
        <v>0</v>
      </c>
      <c r="T6" s="1061">
        <f>SUM(T7:T283)</f>
        <v>31.43</v>
      </c>
    </row>
    <row r="7" spans="1:56" s="1061" customFormat="1" x14ac:dyDescent="0.2">
      <c r="A7" s="1366">
        <v>1</v>
      </c>
      <c r="B7" s="1397" t="s">
        <v>743</v>
      </c>
      <c r="C7" s="501" t="s">
        <v>744</v>
      </c>
      <c r="D7" s="501" t="s">
        <v>745</v>
      </c>
      <c r="E7" s="1451" t="s">
        <v>90</v>
      </c>
      <c r="F7" s="1078" t="s">
        <v>118</v>
      </c>
      <c r="G7" s="2609"/>
      <c r="H7" s="2550"/>
      <c r="I7" s="2482"/>
      <c r="J7" s="2550"/>
      <c r="K7" s="2550"/>
      <c r="L7" s="2550"/>
      <c r="M7" s="2550"/>
      <c r="N7" s="308"/>
      <c r="O7" s="304"/>
      <c r="P7" s="1507">
        <f>N7*O7</f>
        <v>0</v>
      </c>
      <c r="Q7" s="1507"/>
      <c r="R7" s="985">
        <f>'Ab1. RMNCH+A'!Q57</f>
        <v>0</v>
      </c>
      <c r="S7" s="1508">
        <f>'Ab1. RMNCH+A'!R57</f>
        <v>0</v>
      </c>
    </row>
    <row r="8" spans="1:56" x14ac:dyDescent="0.2">
      <c r="A8" s="1366">
        <v>2</v>
      </c>
      <c r="B8" s="1397" t="s">
        <v>746</v>
      </c>
      <c r="C8" s="501" t="s">
        <v>747</v>
      </c>
      <c r="D8" s="501" t="s">
        <v>748</v>
      </c>
      <c r="E8" s="1451" t="s">
        <v>90</v>
      </c>
      <c r="F8" s="1078" t="s">
        <v>118</v>
      </c>
      <c r="G8" s="303"/>
      <c r="H8" s="303"/>
      <c r="I8" s="303"/>
      <c r="J8" s="2886"/>
      <c r="K8" s="303"/>
      <c r="L8" s="303"/>
      <c r="M8" s="304"/>
      <c r="N8" s="308"/>
      <c r="O8" s="304"/>
      <c r="P8" s="1507">
        <f>N8*O8</f>
        <v>0</v>
      </c>
      <c r="Q8" s="1507"/>
      <c r="R8" s="985">
        <f>'Ab1. RMNCH+A'!Q58</f>
        <v>0</v>
      </c>
      <c r="S8" s="1508">
        <f>'Ab1. RMNCH+A'!R58</f>
        <v>0</v>
      </c>
    </row>
    <row r="9" spans="1:56" x14ac:dyDescent="0.2">
      <c r="A9" s="1366">
        <v>3</v>
      </c>
      <c r="B9" s="1397" t="s">
        <v>749</v>
      </c>
      <c r="C9" s="501" t="s">
        <v>750</v>
      </c>
      <c r="D9" s="501" t="s">
        <v>751</v>
      </c>
      <c r="E9" s="1451" t="s">
        <v>90</v>
      </c>
      <c r="F9" s="1078" t="s">
        <v>118</v>
      </c>
      <c r="G9" s="303"/>
      <c r="H9" s="303"/>
      <c r="I9" s="303"/>
      <c r="J9" s="2886"/>
      <c r="K9" s="303"/>
      <c r="L9" s="303"/>
      <c r="M9" s="304"/>
      <c r="N9" s="308"/>
      <c r="O9" s="304"/>
      <c r="P9" s="1507">
        <f>N9*O9</f>
        <v>0</v>
      </c>
      <c r="Q9" s="1507"/>
      <c r="R9" s="985">
        <f>'Ab1. RMNCH+A'!Q59</f>
        <v>0</v>
      </c>
      <c r="S9" s="1508">
        <f>'Ab1. RMNCH+A'!R59</f>
        <v>0</v>
      </c>
    </row>
    <row r="10" spans="1:56" ht="30" x14ac:dyDescent="0.2">
      <c r="A10" s="1366">
        <v>4</v>
      </c>
      <c r="B10" s="1397" t="s">
        <v>752</v>
      </c>
      <c r="C10" s="501" t="s">
        <v>753</v>
      </c>
      <c r="D10" s="501" t="s">
        <v>754</v>
      </c>
      <c r="E10" s="1451" t="s">
        <v>90</v>
      </c>
      <c r="F10" s="1078" t="s">
        <v>118</v>
      </c>
      <c r="G10" s="303"/>
      <c r="H10" s="303"/>
      <c r="I10" s="303"/>
      <c r="J10" s="2886"/>
      <c r="K10" s="303"/>
      <c r="L10" s="303"/>
      <c r="M10" s="304"/>
      <c r="N10" s="308"/>
      <c r="O10" s="304"/>
      <c r="P10" s="1507">
        <f>N10*O10</f>
        <v>0</v>
      </c>
      <c r="Q10" s="1507"/>
      <c r="R10" s="985">
        <f>'Ab1. RMNCH+A'!Q60</f>
        <v>0</v>
      </c>
      <c r="S10" s="1508">
        <f>'Ab1. RMNCH+A'!R60</f>
        <v>0</v>
      </c>
    </row>
    <row r="11" spans="1:56" ht="110.1" customHeight="1" x14ac:dyDescent="0.2">
      <c r="A11" s="1500" t="s">
        <v>4359</v>
      </c>
      <c r="B11" s="1397" t="s">
        <v>755</v>
      </c>
      <c r="C11" s="501" t="s">
        <v>756</v>
      </c>
      <c r="D11" s="501" t="s">
        <v>757</v>
      </c>
      <c r="E11" s="886" t="s">
        <v>70</v>
      </c>
      <c r="F11" s="1509" t="s">
        <v>5549</v>
      </c>
      <c r="G11" s="412"/>
      <c r="H11" s="412"/>
      <c r="I11" s="412"/>
      <c r="J11" s="412"/>
      <c r="K11" s="412"/>
      <c r="L11" s="259"/>
      <c r="M11" s="304"/>
      <c r="N11" s="308"/>
      <c r="O11" s="304"/>
      <c r="P11" s="1507">
        <f>N11*O11</f>
        <v>0</v>
      </c>
      <c r="Q11" s="1507"/>
      <c r="R11" s="3401"/>
      <c r="S11" s="3400"/>
    </row>
    <row r="12" spans="1:56" x14ac:dyDescent="0.2">
      <c r="A12" s="1500" t="s">
        <v>4362</v>
      </c>
      <c r="B12" s="470" t="s">
        <v>2574</v>
      </c>
      <c r="C12" s="505"/>
      <c r="D12" s="505" t="s">
        <v>5024</v>
      </c>
      <c r="E12" s="1510"/>
      <c r="F12" s="1510"/>
      <c r="G12" s="413"/>
      <c r="H12" s="413"/>
      <c r="I12" s="1511"/>
      <c r="J12" s="1511"/>
      <c r="K12" s="1511"/>
      <c r="L12" s="413"/>
      <c r="M12" s="413"/>
      <c r="N12" s="1511"/>
      <c r="O12" s="414"/>
      <c r="P12" s="1511">
        <f>SUM(P13:P15)</f>
        <v>0</v>
      </c>
      <c r="Q12" s="1511"/>
      <c r="R12" s="981"/>
      <c r="S12" s="1512">
        <f>SUM(S13:S15)</f>
        <v>0</v>
      </c>
    </row>
    <row r="13" spans="1:56" ht="30" x14ac:dyDescent="0.2">
      <c r="A13" s="1366">
        <v>1</v>
      </c>
      <c r="B13" s="474" t="s">
        <v>4558</v>
      </c>
      <c r="C13" s="935"/>
      <c r="D13" s="568" t="s">
        <v>4559</v>
      </c>
      <c r="E13" s="886" t="s">
        <v>70</v>
      </c>
      <c r="F13" s="1038" t="s">
        <v>4560</v>
      </c>
      <c r="G13" s="416"/>
      <c r="H13" s="416"/>
      <c r="I13" s="416"/>
      <c r="J13" s="416"/>
      <c r="K13" s="416"/>
      <c r="L13" s="416"/>
      <c r="M13" s="304"/>
      <c r="N13" s="308"/>
      <c r="O13" s="304"/>
      <c r="P13" s="1469">
        <f>N13*O13</f>
        <v>0</v>
      </c>
      <c r="Q13" s="1469"/>
      <c r="R13" s="1513"/>
      <c r="S13" s="1514"/>
    </row>
    <row r="14" spans="1:56" ht="30" x14ac:dyDescent="0.2">
      <c r="A14" s="1366">
        <v>2</v>
      </c>
      <c r="B14" s="474" t="s">
        <v>4561</v>
      </c>
      <c r="C14" s="935"/>
      <c r="D14" s="568" t="s">
        <v>4562</v>
      </c>
      <c r="E14" s="886" t="s">
        <v>70</v>
      </c>
      <c r="F14" s="1038" t="s">
        <v>4560</v>
      </c>
      <c r="G14" s="416"/>
      <c r="H14" s="416"/>
      <c r="I14" s="416"/>
      <c r="J14" s="416"/>
      <c r="K14" s="416"/>
      <c r="L14" s="416"/>
      <c r="M14" s="304"/>
      <c r="N14" s="308"/>
      <c r="O14" s="304"/>
      <c r="P14" s="1469">
        <f>N14*O14</f>
        <v>0</v>
      </c>
      <c r="Q14" s="1469"/>
      <c r="R14" s="1513"/>
      <c r="S14" s="1514"/>
    </row>
    <row r="15" spans="1:56" x14ac:dyDescent="0.2">
      <c r="A15" s="1366">
        <v>3</v>
      </c>
      <c r="B15" s="474" t="s">
        <v>4563</v>
      </c>
      <c r="C15" s="935"/>
      <c r="D15" s="568" t="s">
        <v>1310</v>
      </c>
      <c r="E15" s="886" t="s">
        <v>70</v>
      </c>
      <c r="F15" s="1038" t="s">
        <v>4560</v>
      </c>
      <c r="G15" s="416"/>
      <c r="H15" s="416"/>
      <c r="I15" s="416"/>
      <c r="J15" s="416"/>
      <c r="K15" s="416"/>
      <c r="L15" s="416"/>
      <c r="M15" s="304"/>
      <c r="N15" s="308"/>
      <c r="O15" s="304"/>
      <c r="P15" s="1507">
        <f>N15*O15</f>
        <v>0</v>
      </c>
      <c r="Q15" s="1507"/>
      <c r="R15" s="1513"/>
      <c r="S15" s="1514"/>
    </row>
    <row r="16" spans="1:56" s="1061" customFormat="1" x14ac:dyDescent="0.2">
      <c r="A16" s="1500" t="s">
        <v>4363</v>
      </c>
      <c r="B16" s="356">
        <v>9.1999999999999993</v>
      </c>
      <c r="C16" s="1163"/>
      <c r="D16" s="1016" t="s">
        <v>3125</v>
      </c>
      <c r="E16" s="1215"/>
      <c r="F16" s="1215"/>
      <c r="G16" s="347"/>
      <c r="H16" s="347"/>
      <c r="I16" s="1501"/>
      <c r="J16" s="1501"/>
      <c r="K16" s="1501"/>
      <c r="L16" s="347"/>
      <c r="M16" s="347"/>
      <c r="N16" s="1515"/>
      <c r="O16" s="418"/>
      <c r="P16" s="1501">
        <f>SUM(P17:P22)</f>
        <v>0</v>
      </c>
      <c r="Q16" s="1501"/>
      <c r="R16" s="1502"/>
      <c r="S16" s="1503">
        <f>SUM(S17:S22)</f>
        <v>0</v>
      </c>
    </row>
    <row r="17" spans="1:20" x14ac:dyDescent="0.2">
      <c r="A17" s="1366">
        <v>1</v>
      </c>
      <c r="B17" s="1397" t="s">
        <v>763</v>
      </c>
      <c r="C17" s="501" t="s">
        <v>764</v>
      </c>
      <c r="D17" s="501" t="s">
        <v>765</v>
      </c>
      <c r="E17" s="886" t="s">
        <v>70</v>
      </c>
      <c r="F17" s="1078" t="s">
        <v>3906</v>
      </c>
      <c r="G17" s="2609"/>
      <c r="H17" s="2550"/>
      <c r="I17" s="2482"/>
      <c r="J17" s="2550"/>
      <c r="K17" s="2550"/>
      <c r="L17" s="2550"/>
      <c r="M17" s="2550"/>
      <c r="N17" s="308"/>
      <c r="O17" s="2609"/>
      <c r="P17" s="1507">
        <f t="shared" ref="P17:P22" si="0">N17*O17</f>
        <v>0</v>
      </c>
      <c r="Q17" s="1507"/>
      <c r="R17" s="985">
        <f>'Ab1. RMNCH+A'!Q61</f>
        <v>0</v>
      </c>
      <c r="S17" s="1508">
        <f>'Ab1. RMNCH+A'!R61</f>
        <v>0</v>
      </c>
      <c r="T17" s="1368">
        <v>1.8</v>
      </c>
    </row>
    <row r="18" spans="1:20" ht="147.6" customHeight="1" x14ac:dyDescent="0.2">
      <c r="A18" s="1366">
        <v>2</v>
      </c>
      <c r="B18" s="1397" t="s">
        <v>2413</v>
      </c>
      <c r="C18" s="501" t="s">
        <v>3124</v>
      </c>
      <c r="D18" s="501" t="s">
        <v>5025</v>
      </c>
      <c r="E18" s="886" t="s">
        <v>70</v>
      </c>
      <c r="F18" s="1509" t="s">
        <v>5553</v>
      </c>
      <c r="G18" s="2609"/>
      <c r="H18" s="2550"/>
      <c r="I18" s="2482"/>
      <c r="J18" s="2550"/>
      <c r="K18" s="2550"/>
      <c r="L18" s="2550"/>
      <c r="M18" s="2642"/>
      <c r="N18" s="308"/>
      <c r="O18" s="2609"/>
      <c r="P18" s="1507">
        <f t="shared" si="0"/>
        <v>0</v>
      </c>
      <c r="Q18" s="1507"/>
      <c r="R18" s="3402">
        <f>'Ab1. RMNCH+A'!Q443</f>
        <v>0</v>
      </c>
      <c r="S18" s="1241">
        <f>'Ab1. RMNCH+A'!R443</f>
        <v>0</v>
      </c>
      <c r="T18" s="1368">
        <v>29.63</v>
      </c>
    </row>
    <row r="19" spans="1:20" x14ac:dyDescent="0.2">
      <c r="A19" s="1366">
        <v>3</v>
      </c>
      <c r="B19" s="1397" t="s">
        <v>2575</v>
      </c>
      <c r="C19" s="568"/>
      <c r="D19" s="501" t="s">
        <v>3822</v>
      </c>
      <c r="E19" s="886" t="s">
        <v>70</v>
      </c>
      <c r="F19" s="1078" t="s">
        <v>3906</v>
      </c>
      <c r="G19" s="2609"/>
      <c r="H19" s="2610"/>
      <c r="I19" s="2611"/>
      <c r="J19" s="2611"/>
      <c r="K19" s="2612"/>
      <c r="L19" s="2613"/>
      <c r="M19" s="2613"/>
      <c r="N19" s="308"/>
      <c r="O19" s="2609"/>
      <c r="P19" s="1507">
        <f t="shared" si="0"/>
        <v>0</v>
      </c>
      <c r="Q19" s="1507"/>
      <c r="R19" s="985">
        <f>'Ab1. RMNCH+A'!Q62</f>
        <v>0</v>
      </c>
      <c r="S19" s="1508">
        <f>'Ab1. RMNCH+A'!R62</f>
        <v>0</v>
      </c>
    </row>
    <row r="20" spans="1:20" s="1061" customFormat="1" ht="89.1" customHeight="1" x14ac:dyDescent="0.2">
      <c r="A20" s="1366">
        <v>4</v>
      </c>
      <c r="B20" s="1397" t="s">
        <v>3821</v>
      </c>
      <c r="C20" s="935"/>
      <c r="D20" s="501" t="s">
        <v>1310</v>
      </c>
      <c r="E20" s="886" t="s">
        <v>70</v>
      </c>
      <c r="F20" s="1078" t="s">
        <v>3895</v>
      </c>
      <c r="G20" s="2614"/>
      <c r="H20" s="2550"/>
      <c r="I20" s="2482"/>
      <c r="J20" s="2550"/>
      <c r="K20" s="2550"/>
      <c r="L20" s="2550"/>
      <c r="M20" s="2550"/>
      <c r="N20" s="308"/>
      <c r="O20" s="2614"/>
      <c r="P20" s="1516">
        <f t="shared" si="0"/>
        <v>0</v>
      </c>
      <c r="Q20" s="1516"/>
      <c r="R20" s="3398"/>
      <c r="S20" s="3400"/>
    </row>
    <row r="21" spans="1:20" x14ac:dyDescent="0.2">
      <c r="A21" s="1366">
        <v>5</v>
      </c>
      <c r="B21" s="879">
        <v>9.3000000000000007</v>
      </c>
      <c r="C21" s="248"/>
      <c r="D21" s="1035" t="s">
        <v>3918</v>
      </c>
      <c r="E21" s="886" t="s">
        <v>70</v>
      </c>
      <c r="F21" s="986" t="s">
        <v>3895</v>
      </c>
      <c r="G21" s="2615"/>
      <c r="H21" s="2616"/>
      <c r="I21" s="2616"/>
      <c r="J21" s="2616"/>
      <c r="K21" s="2616"/>
      <c r="L21" s="2616"/>
      <c r="M21" s="2617"/>
      <c r="N21" s="1393"/>
      <c r="O21" s="604"/>
      <c r="P21" s="1393">
        <f t="shared" si="0"/>
        <v>0</v>
      </c>
      <c r="Q21" s="1393"/>
      <c r="R21" s="3615"/>
      <c r="S21" s="3616"/>
    </row>
    <row r="22" spans="1:20" ht="30" x14ac:dyDescent="0.2">
      <c r="A22" s="1366">
        <v>6</v>
      </c>
      <c r="B22" s="879">
        <v>9.4</v>
      </c>
      <c r="C22" s="248"/>
      <c r="D22" s="1035" t="s">
        <v>718</v>
      </c>
      <c r="E22" s="886" t="s">
        <v>70</v>
      </c>
      <c r="F22" s="986" t="s">
        <v>3895</v>
      </c>
      <c r="G22" s="2618"/>
      <c r="H22" s="2616"/>
      <c r="I22" s="2616"/>
      <c r="J22" s="2616"/>
      <c r="K22" s="2616"/>
      <c r="L22" s="2616"/>
      <c r="M22" s="2617"/>
      <c r="N22" s="1393"/>
      <c r="O22" s="604"/>
      <c r="P22" s="1393">
        <f t="shared" si="0"/>
        <v>0</v>
      </c>
      <c r="Q22" s="1393"/>
      <c r="R22" s="3615"/>
      <c r="S22" s="3616"/>
    </row>
    <row r="23" spans="1:20" s="1061" customFormat="1" ht="30" x14ac:dyDescent="0.2">
      <c r="A23" s="1500" t="s">
        <v>4940</v>
      </c>
      <c r="B23" s="356">
        <v>9.5</v>
      </c>
      <c r="C23" s="1163"/>
      <c r="D23" s="1016" t="s">
        <v>5026</v>
      </c>
      <c r="E23" s="1215"/>
      <c r="F23" s="1215"/>
      <c r="G23" s="347"/>
      <c r="H23" s="347"/>
      <c r="I23" s="347"/>
      <c r="J23" s="347"/>
      <c r="K23" s="347"/>
      <c r="L23" s="347"/>
      <c r="M23" s="347"/>
      <c r="N23" s="466"/>
      <c r="O23" s="418"/>
      <c r="P23" s="466"/>
      <c r="Q23" s="466"/>
      <c r="R23" s="1502"/>
      <c r="S23" s="1220"/>
    </row>
    <row r="24" spans="1:20" s="1061" customFormat="1" x14ac:dyDescent="0.2">
      <c r="A24" s="1500"/>
      <c r="B24" s="3947" t="s">
        <v>5027</v>
      </c>
      <c r="C24" s="3948"/>
      <c r="D24" s="3949"/>
      <c r="E24" s="1120"/>
      <c r="F24" s="1120"/>
      <c r="G24" s="331"/>
      <c r="H24" s="331"/>
      <c r="I24" s="331"/>
      <c r="J24" s="331"/>
      <c r="K24" s="331"/>
      <c r="L24" s="331"/>
      <c r="M24" s="331"/>
      <c r="N24" s="1517"/>
      <c r="O24" s="602"/>
      <c r="P24" s="1517"/>
      <c r="Q24" s="1517"/>
      <c r="R24" s="1125"/>
      <c r="S24" s="1518"/>
    </row>
    <row r="25" spans="1:20" s="1061" customFormat="1" x14ac:dyDescent="0.2">
      <c r="A25" s="1500" t="s">
        <v>4358</v>
      </c>
      <c r="B25" s="848" t="s">
        <v>766</v>
      </c>
      <c r="C25" s="1159"/>
      <c r="D25" s="1024" t="s">
        <v>767</v>
      </c>
      <c r="E25" s="973"/>
      <c r="F25" s="973"/>
      <c r="G25" s="236"/>
      <c r="H25" s="236"/>
      <c r="I25" s="1520"/>
      <c r="J25" s="1520"/>
      <c r="K25" s="1520"/>
      <c r="L25" s="236"/>
      <c r="M25" s="236"/>
      <c r="N25" s="1519"/>
      <c r="O25" s="421"/>
      <c r="P25" s="1520">
        <f>SUM(P26:P53)</f>
        <v>0</v>
      </c>
      <c r="Q25" s="1520"/>
      <c r="R25" s="1115"/>
      <c r="S25" s="1521">
        <f>SUM(S26:S53)</f>
        <v>0</v>
      </c>
    </row>
    <row r="26" spans="1:20" ht="30" x14ac:dyDescent="0.2">
      <c r="A26" s="1366">
        <v>1</v>
      </c>
      <c r="B26" s="1397" t="s">
        <v>758</v>
      </c>
      <c r="C26" s="501" t="s">
        <v>759</v>
      </c>
      <c r="D26" s="1522" t="s">
        <v>5028</v>
      </c>
      <c r="E26" s="886" t="s">
        <v>70</v>
      </c>
      <c r="F26" s="1461" t="s">
        <v>5550</v>
      </c>
      <c r="G26" s="2609"/>
      <c r="H26" s="2550"/>
      <c r="I26" s="2482"/>
      <c r="J26" s="2550"/>
      <c r="K26" s="2550"/>
      <c r="L26" s="2550"/>
      <c r="M26" s="2550"/>
      <c r="N26" s="308"/>
      <c r="O26" s="304"/>
      <c r="P26" s="1507">
        <f>N26*O26</f>
        <v>0</v>
      </c>
      <c r="Q26" s="1507"/>
      <c r="R26" s="3398"/>
      <c r="S26" s="3400"/>
    </row>
    <row r="27" spans="1:20" s="1061" customFormat="1" x14ac:dyDescent="0.2">
      <c r="A27" s="1366">
        <v>2</v>
      </c>
      <c r="B27" s="1397" t="s">
        <v>768</v>
      </c>
      <c r="C27" s="1486" t="s">
        <v>769</v>
      </c>
      <c r="D27" s="502" t="s">
        <v>770</v>
      </c>
      <c r="E27" s="1451" t="s">
        <v>90</v>
      </c>
      <c r="F27" s="1078" t="s">
        <v>118</v>
      </c>
      <c r="G27" s="2609"/>
      <c r="H27" s="2619"/>
      <c r="I27" s="2619"/>
      <c r="J27" s="2619"/>
      <c r="K27" s="2619"/>
      <c r="L27" s="2619"/>
      <c r="M27" s="2619"/>
      <c r="N27" s="308"/>
      <c r="O27" s="2609"/>
      <c r="P27" s="1507">
        <f t="shared" ref="P27:P32" si="1">N27*O27</f>
        <v>0</v>
      </c>
      <c r="Q27" s="1507"/>
      <c r="R27" s="985">
        <f>'Ab1. RMNCH+A'!Q63</f>
        <v>0</v>
      </c>
      <c r="S27" s="1508">
        <f>'Ab1. RMNCH+A'!R63</f>
        <v>0</v>
      </c>
    </row>
    <row r="28" spans="1:20" ht="30" x14ac:dyDescent="0.2">
      <c r="A28" s="1366">
        <v>3</v>
      </c>
      <c r="B28" s="1397" t="s">
        <v>771</v>
      </c>
      <c r="C28" s="501" t="s">
        <v>772</v>
      </c>
      <c r="D28" s="501" t="s">
        <v>2405</v>
      </c>
      <c r="E28" s="1451" t="s">
        <v>90</v>
      </c>
      <c r="F28" s="1078" t="s">
        <v>118</v>
      </c>
      <c r="G28" s="2609"/>
      <c r="H28" s="2619"/>
      <c r="I28" s="2619"/>
      <c r="J28" s="2619"/>
      <c r="K28" s="2619"/>
      <c r="L28" s="2619"/>
      <c r="M28" s="2619"/>
      <c r="N28" s="308"/>
      <c r="O28" s="2609"/>
      <c r="P28" s="1507">
        <f t="shared" si="1"/>
        <v>0</v>
      </c>
      <c r="Q28" s="1507"/>
      <c r="R28" s="985">
        <f>'Ab1. RMNCH+A'!Q64</f>
        <v>0</v>
      </c>
      <c r="S28" s="1508">
        <f>'Ab1. RMNCH+A'!R64</f>
        <v>0</v>
      </c>
    </row>
    <row r="29" spans="1:20" x14ac:dyDescent="0.2">
      <c r="A29" s="1366">
        <v>4</v>
      </c>
      <c r="B29" s="1397" t="s">
        <v>774</v>
      </c>
      <c r="C29" s="568"/>
      <c r="D29" s="501" t="s">
        <v>2407</v>
      </c>
      <c r="E29" s="1451" t="s">
        <v>90</v>
      </c>
      <c r="F29" s="1078" t="s">
        <v>118</v>
      </c>
      <c r="G29" s="2609"/>
      <c r="H29" s="2610"/>
      <c r="I29" s="2611"/>
      <c r="J29" s="2611"/>
      <c r="K29" s="2612"/>
      <c r="L29" s="2612"/>
      <c r="M29" s="2612"/>
      <c r="N29" s="308"/>
      <c r="O29" s="2609"/>
      <c r="P29" s="1507">
        <f t="shared" si="1"/>
        <v>0</v>
      </c>
      <c r="Q29" s="1507"/>
      <c r="R29" s="985">
        <f>'Ab1. RMNCH+A'!Q65</f>
        <v>0</v>
      </c>
      <c r="S29" s="1508">
        <f>'Ab1. RMNCH+A'!R65</f>
        <v>0</v>
      </c>
    </row>
    <row r="30" spans="1:20" x14ac:dyDescent="0.2">
      <c r="A30" s="1366">
        <v>5</v>
      </c>
      <c r="B30" s="1397" t="s">
        <v>777</v>
      </c>
      <c r="C30" s="568"/>
      <c r="D30" s="501" t="s">
        <v>2458</v>
      </c>
      <c r="E30" s="1451" t="s">
        <v>90</v>
      </c>
      <c r="F30" s="1078" t="s">
        <v>118</v>
      </c>
      <c r="G30" s="2609"/>
      <c r="H30" s="2550"/>
      <c r="I30" s="2482"/>
      <c r="J30" s="2550"/>
      <c r="K30" s="2550"/>
      <c r="L30" s="2550"/>
      <c r="M30" s="2550"/>
      <c r="N30" s="308"/>
      <c r="O30" s="2609"/>
      <c r="P30" s="1507">
        <f t="shared" si="1"/>
        <v>0</v>
      </c>
      <c r="Q30" s="1507"/>
      <c r="R30" s="985">
        <f>'Ab1. RMNCH+A'!Q66</f>
        <v>0</v>
      </c>
      <c r="S30" s="1508">
        <f>'Ab1. RMNCH+A'!R66</f>
        <v>0</v>
      </c>
    </row>
    <row r="31" spans="1:20" s="1061" customFormat="1" x14ac:dyDescent="0.2">
      <c r="A31" s="1366">
        <v>6</v>
      </c>
      <c r="B31" s="1397" t="s">
        <v>780</v>
      </c>
      <c r="C31" s="501" t="s">
        <v>775</v>
      </c>
      <c r="D31" s="501" t="s">
        <v>776</v>
      </c>
      <c r="E31" s="1451" t="s">
        <v>90</v>
      </c>
      <c r="F31" s="1078" t="s">
        <v>118</v>
      </c>
      <c r="G31" s="2620"/>
      <c r="H31" s="2621"/>
      <c r="I31" s="2611"/>
      <c r="J31" s="2611"/>
      <c r="K31" s="2622"/>
      <c r="L31" s="2612"/>
      <c r="M31" s="2622"/>
      <c r="N31" s="308"/>
      <c r="O31" s="2620"/>
      <c r="P31" s="1507">
        <f t="shared" si="1"/>
        <v>0</v>
      </c>
      <c r="Q31" s="1507"/>
      <c r="R31" s="985">
        <f>'Ab1. RMNCH+A'!Q67</f>
        <v>0</v>
      </c>
      <c r="S31" s="1508">
        <f>'Ab1. RMNCH+A'!R67</f>
        <v>0</v>
      </c>
    </row>
    <row r="32" spans="1:20" s="1061" customFormat="1" x14ac:dyDescent="0.2">
      <c r="A32" s="1366">
        <v>7</v>
      </c>
      <c r="B32" s="1397" t="s">
        <v>783</v>
      </c>
      <c r="C32" s="501" t="s">
        <v>778</v>
      </c>
      <c r="D32" s="501" t="s">
        <v>779</v>
      </c>
      <c r="E32" s="1451" t="s">
        <v>90</v>
      </c>
      <c r="F32" s="1078" t="s">
        <v>118</v>
      </c>
      <c r="G32" s="2609"/>
      <c r="H32" s="2550"/>
      <c r="I32" s="2482"/>
      <c r="J32" s="2550"/>
      <c r="K32" s="2550"/>
      <c r="L32" s="2550"/>
      <c r="M32" s="2550"/>
      <c r="N32" s="308"/>
      <c r="O32" s="2609"/>
      <c r="P32" s="1507">
        <f t="shared" si="1"/>
        <v>0</v>
      </c>
      <c r="Q32" s="1507"/>
      <c r="R32" s="985">
        <f>'Ab1. RMNCH+A'!Q68</f>
        <v>0</v>
      </c>
      <c r="S32" s="1508">
        <f>'Ab1. RMNCH+A'!R68</f>
        <v>0</v>
      </c>
    </row>
    <row r="33" spans="1:19" x14ac:dyDescent="0.2">
      <c r="A33" s="1366">
        <v>8</v>
      </c>
      <c r="B33" s="1397" t="s">
        <v>786</v>
      </c>
      <c r="C33" s="501" t="s">
        <v>781</v>
      </c>
      <c r="D33" s="501" t="s">
        <v>782</v>
      </c>
      <c r="E33" s="1451" t="s">
        <v>90</v>
      </c>
      <c r="F33" s="1078" t="s">
        <v>118</v>
      </c>
      <c r="G33" s="2609"/>
      <c r="H33" s="2619"/>
      <c r="I33" s="2619"/>
      <c r="J33" s="2619"/>
      <c r="K33" s="2619"/>
      <c r="L33" s="2619"/>
      <c r="M33" s="2619"/>
      <c r="N33" s="308"/>
      <c r="O33" s="2609"/>
      <c r="P33" s="1507">
        <f t="shared" ref="P33:P48" si="2">N33*O33</f>
        <v>0</v>
      </c>
      <c r="Q33" s="1507"/>
      <c r="R33" s="985">
        <f>'Ab1. RMNCH+A'!Q69</f>
        <v>0</v>
      </c>
      <c r="S33" s="1508">
        <f>'Ab1. RMNCH+A'!R69</f>
        <v>0</v>
      </c>
    </row>
    <row r="34" spans="1:19" x14ac:dyDescent="0.2">
      <c r="A34" s="1366">
        <v>9</v>
      </c>
      <c r="B34" s="1397" t="s">
        <v>789</v>
      </c>
      <c r="C34" s="501" t="s">
        <v>784</v>
      </c>
      <c r="D34" s="501" t="s">
        <v>785</v>
      </c>
      <c r="E34" s="1451" t="s">
        <v>90</v>
      </c>
      <c r="F34" s="1078" t="s">
        <v>118</v>
      </c>
      <c r="G34" s="2609"/>
      <c r="H34" s="2550"/>
      <c r="I34" s="2482"/>
      <c r="J34" s="2550"/>
      <c r="K34" s="2550"/>
      <c r="L34" s="2550"/>
      <c r="M34" s="2550"/>
      <c r="N34" s="308"/>
      <c r="O34" s="2609"/>
      <c r="P34" s="1507">
        <f t="shared" si="2"/>
        <v>0</v>
      </c>
      <c r="Q34" s="1507"/>
      <c r="R34" s="985">
        <f>'Ab1. RMNCH+A'!Q70</f>
        <v>0</v>
      </c>
      <c r="S34" s="1508">
        <f>'Ab1. RMNCH+A'!R70</f>
        <v>0</v>
      </c>
    </row>
    <row r="35" spans="1:19" x14ac:dyDescent="0.2">
      <c r="A35" s="1366">
        <v>10</v>
      </c>
      <c r="B35" s="1397" t="s">
        <v>792</v>
      </c>
      <c r="C35" s="501" t="s">
        <v>787</v>
      </c>
      <c r="D35" s="501" t="s">
        <v>788</v>
      </c>
      <c r="E35" s="1451" t="s">
        <v>90</v>
      </c>
      <c r="F35" s="1078" t="s">
        <v>118</v>
      </c>
      <c r="G35" s="2609"/>
      <c r="H35" s="2619"/>
      <c r="I35" s="2619"/>
      <c r="J35" s="2619"/>
      <c r="K35" s="2619"/>
      <c r="L35" s="2619"/>
      <c r="M35" s="2619"/>
      <c r="N35" s="308"/>
      <c r="O35" s="2609"/>
      <c r="P35" s="1507">
        <f t="shared" si="2"/>
        <v>0</v>
      </c>
      <c r="Q35" s="1507"/>
      <c r="R35" s="985">
        <f>'Ab1. RMNCH+A'!Q71</f>
        <v>0</v>
      </c>
      <c r="S35" s="1508">
        <f>'Ab1. RMNCH+A'!R71</f>
        <v>0</v>
      </c>
    </row>
    <row r="36" spans="1:19" ht="30" x14ac:dyDescent="0.2">
      <c r="A36" s="1366">
        <v>11</v>
      </c>
      <c r="B36" s="1397" t="s">
        <v>795</v>
      </c>
      <c r="C36" s="501" t="s">
        <v>790</v>
      </c>
      <c r="D36" s="501" t="s">
        <v>791</v>
      </c>
      <c r="E36" s="1451" t="s">
        <v>90</v>
      </c>
      <c r="F36" s="1078" t="s">
        <v>118</v>
      </c>
      <c r="G36" s="2609"/>
      <c r="H36" s="2550"/>
      <c r="I36" s="2482"/>
      <c r="J36" s="2623"/>
      <c r="K36" s="2550"/>
      <c r="L36" s="2550"/>
      <c r="M36" s="2550"/>
      <c r="N36" s="308"/>
      <c r="O36" s="2609"/>
      <c r="P36" s="1507">
        <f t="shared" si="2"/>
        <v>0</v>
      </c>
      <c r="Q36" s="1507"/>
      <c r="R36" s="985">
        <f>'Ab1. RMNCH+A'!Q72</f>
        <v>0</v>
      </c>
      <c r="S36" s="1508">
        <f>'Ab1. RMNCH+A'!R72</f>
        <v>0</v>
      </c>
    </row>
    <row r="37" spans="1:19" x14ac:dyDescent="0.2">
      <c r="A37" s="1366">
        <v>12</v>
      </c>
      <c r="B37" s="1397" t="s">
        <v>798</v>
      </c>
      <c r="C37" s="501" t="s">
        <v>793</v>
      </c>
      <c r="D37" s="501" t="s">
        <v>794</v>
      </c>
      <c r="E37" s="1451" t="s">
        <v>90</v>
      </c>
      <c r="F37" s="1078" t="s">
        <v>118</v>
      </c>
      <c r="G37" s="2620"/>
      <c r="H37" s="2610"/>
      <c r="I37" s="2624"/>
      <c r="J37" s="2611"/>
      <c r="K37" s="2625"/>
      <c r="L37" s="2448"/>
      <c r="M37" s="2448"/>
      <c r="N37" s="308"/>
      <c r="O37" s="2620"/>
      <c r="P37" s="1507">
        <f t="shared" si="2"/>
        <v>0</v>
      </c>
      <c r="Q37" s="1507"/>
      <c r="R37" s="985">
        <f>'Ab1. RMNCH+A'!Q73</f>
        <v>0</v>
      </c>
      <c r="S37" s="1508">
        <f>'Ab1. RMNCH+A'!R73</f>
        <v>0</v>
      </c>
    </row>
    <row r="38" spans="1:19" x14ac:dyDescent="0.2">
      <c r="A38" s="1366">
        <v>13</v>
      </c>
      <c r="B38" s="1397" t="s">
        <v>801</v>
      </c>
      <c r="C38" s="501" t="s">
        <v>796</v>
      </c>
      <c r="D38" s="501" t="s">
        <v>797</v>
      </c>
      <c r="E38" s="1451" t="s">
        <v>90</v>
      </c>
      <c r="F38" s="1078" t="s">
        <v>118</v>
      </c>
      <c r="G38" s="2609"/>
      <c r="H38" s="2550"/>
      <c r="I38" s="2482"/>
      <c r="J38" s="2550"/>
      <c r="K38" s="2550"/>
      <c r="L38" s="2550"/>
      <c r="M38" s="2550"/>
      <c r="N38" s="308"/>
      <c r="O38" s="2609"/>
      <c r="P38" s="1507">
        <f t="shared" si="2"/>
        <v>0</v>
      </c>
      <c r="Q38" s="1507"/>
      <c r="R38" s="985">
        <f>'Ab1. RMNCH+A'!Q74</f>
        <v>0</v>
      </c>
      <c r="S38" s="1508">
        <f>'Ab1. RMNCH+A'!R74</f>
        <v>0</v>
      </c>
    </row>
    <row r="39" spans="1:19" x14ac:dyDescent="0.2">
      <c r="A39" s="1366">
        <v>14</v>
      </c>
      <c r="B39" s="1397" t="s">
        <v>804</v>
      </c>
      <c r="C39" s="501" t="s">
        <v>799</v>
      </c>
      <c r="D39" s="501" t="s">
        <v>800</v>
      </c>
      <c r="E39" s="1451" t="s">
        <v>90</v>
      </c>
      <c r="F39" s="1078" t="s">
        <v>118</v>
      </c>
      <c r="G39" s="2609"/>
      <c r="H39" s="2619"/>
      <c r="I39" s="2619"/>
      <c r="J39" s="2619"/>
      <c r="K39" s="2619"/>
      <c r="L39" s="2619"/>
      <c r="M39" s="2619"/>
      <c r="N39" s="308"/>
      <c r="O39" s="2609"/>
      <c r="P39" s="1507">
        <f t="shared" si="2"/>
        <v>0</v>
      </c>
      <c r="Q39" s="1507"/>
      <c r="R39" s="985">
        <f>'Ab1. RMNCH+A'!Q75</f>
        <v>0</v>
      </c>
      <c r="S39" s="1508">
        <f>'Ab1. RMNCH+A'!R75</f>
        <v>0</v>
      </c>
    </row>
    <row r="40" spans="1:19" x14ac:dyDescent="0.2">
      <c r="A40" s="1366">
        <v>15</v>
      </c>
      <c r="B40" s="1397" t="s">
        <v>807</v>
      </c>
      <c r="C40" s="501" t="s">
        <v>802</v>
      </c>
      <c r="D40" s="501" t="s">
        <v>803</v>
      </c>
      <c r="E40" s="1451" t="s">
        <v>90</v>
      </c>
      <c r="F40" s="1078" t="s">
        <v>118</v>
      </c>
      <c r="G40" s="2609"/>
      <c r="H40" s="2550"/>
      <c r="I40" s="2482"/>
      <c r="J40" s="2550"/>
      <c r="K40" s="2550"/>
      <c r="L40" s="2550"/>
      <c r="M40" s="2550"/>
      <c r="N40" s="308"/>
      <c r="O40" s="2609"/>
      <c r="P40" s="1507">
        <f t="shared" si="2"/>
        <v>0</v>
      </c>
      <c r="Q40" s="1507"/>
      <c r="R40" s="985">
        <f>'Ab1. RMNCH+A'!Q76</f>
        <v>0</v>
      </c>
      <c r="S40" s="1508">
        <f>'Ab1. RMNCH+A'!R76</f>
        <v>0</v>
      </c>
    </row>
    <row r="41" spans="1:19" x14ac:dyDescent="0.2">
      <c r="A41" s="1366">
        <v>16</v>
      </c>
      <c r="B41" s="1397" t="s">
        <v>810</v>
      </c>
      <c r="C41" s="568"/>
      <c r="D41" s="501" t="s">
        <v>2459</v>
      </c>
      <c r="E41" s="1451" t="s">
        <v>90</v>
      </c>
      <c r="F41" s="1078" t="s">
        <v>118</v>
      </c>
      <c r="G41" s="2609"/>
      <c r="H41" s="2619"/>
      <c r="I41" s="2619"/>
      <c r="J41" s="2619"/>
      <c r="K41" s="2619"/>
      <c r="L41" s="2619"/>
      <c r="M41" s="2619"/>
      <c r="N41" s="308"/>
      <c r="O41" s="2609"/>
      <c r="P41" s="1507">
        <f t="shared" si="2"/>
        <v>0</v>
      </c>
      <c r="Q41" s="1507"/>
      <c r="R41" s="985">
        <f>'Ab1. RMNCH+A'!Q77</f>
        <v>0</v>
      </c>
      <c r="S41" s="1508">
        <f>'Ab1. RMNCH+A'!R77</f>
        <v>0</v>
      </c>
    </row>
    <row r="42" spans="1:19" x14ac:dyDescent="0.2">
      <c r="A42" s="1366">
        <v>17</v>
      </c>
      <c r="B42" s="1397" t="s">
        <v>813</v>
      </c>
      <c r="C42" s="501" t="s">
        <v>805</v>
      </c>
      <c r="D42" s="501" t="s">
        <v>806</v>
      </c>
      <c r="E42" s="1451" t="s">
        <v>90</v>
      </c>
      <c r="F42" s="1078" t="s">
        <v>118</v>
      </c>
      <c r="G42" s="2609"/>
      <c r="H42" s="2619"/>
      <c r="I42" s="2619"/>
      <c r="J42" s="2619"/>
      <c r="K42" s="2619"/>
      <c r="L42" s="2471"/>
      <c r="M42" s="2619"/>
      <c r="N42" s="308"/>
      <c r="O42" s="2609"/>
      <c r="P42" s="1507">
        <f t="shared" si="2"/>
        <v>0</v>
      </c>
      <c r="Q42" s="1507"/>
      <c r="R42" s="985">
        <f>'Ab1. RMNCH+A'!Q78</f>
        <v>0</v>
      </c>
      <c r="S42" s="1508">
        <f>'Ab1. RMNCH+A'!R78</f>
        <v>0</v>
      </c>
    </row>
    <row r="43" spans="1:19" x14ac:dyDescent="0.2">
      <c r="A43" s="1366">
        <v>18</v>
      </c>
      <c r="B43" s="1397" t="s">
        <v>2368</v>
      </c>
      <c r="C43" s="501" t="s">
        <v>808</v>
      </c>
      <c r="D43" s="501" t="s">
        <v>809</v>
      </c>
      <c r="E43" s="1451" t="s">
        <v>90</v>
      </c>
      <c r="F43" s="1078" t="s">
        <v>118</v>
      </c>
      <c r="G43" s="2626"/>
      <c r="H43" s="2627"/>
      <c r="I43" s="2624"/>
      <c r="J43" s="2624"/>
      <c r="K43" s="2613"/>
      <c r="L43" s="2613"/>
      <c r="M43" s="2628"/>
      <c r="N43" s="308"/>
      <c r="O43" s="2626"/>
      <c r="P43" s="1507">
        <f t="shared" si="2"/>
        <v>0</v>
      </c>
      <c r="Q43" s="1507"/>
      <c r="R43" s="985">
        <f>'Ab1. RMNCH+A'!Q79</f>
        <v>0</v>
      </c>
      <c r="S43" s="1508">
        <f>'Ab1. RMNCH+A'!R79</f>
        <v>0</v>
      </c>
    </row>
    <row r="44" spans="1:19" x14ac:dyDescent="0.2">
      <c r="A44" s="1366">
        <v>19</v>
      </c>
      <c r="B44" s="1397" t="s">
        <v>2369</v>
      </c>
      <c r="C44" s="501" t="s">
        <v>811</v>
      </c>
      <c r="D44" s="501" t="s">
        <v>812</v>
      </c>
      <c r="E44" s="1451" t="s">
        <v>90</v>
      </c>
      <c r="F44" s="1078" t="s">
        <v>118</v>
      </c>
      <c r="G44" s="2629"/>
      <c r="H44" s="2471"/>
      <c r="I44" s="2630"/>
      <c r="J44" s="2471"/>
      <c r="K44" s="2471"/>
      <c r="L44" s="2471"/>
      <c r="M44" s="2471"/>
      <c r="N44" s="308"/>
      <c r="O44" s="2629"/>
      <c r="P44" s="1507">
        <f t="shared" si="2"/>
        <v>0</v>
      </c>
      <c r="Q44" s="1507"/>
      <c r="R44" s="985">
        <f>'Ab1. RMNCH+A'!Q80</f>
        <v>0</v>
      </c>
      <c r="S44" s="1508">
        <f>'Ab1. RMNCH+A'!R80</f>
        <v>0</v>
      </c>
    </row>
    <row r="45" spans="1:19" x14ac:dyDescent="0.2">
      <c r="A45" s="1366">
        <v>20</v>
      </c>
      <c r="B45" s="1397" t="s">
        <v>2370</v>
      </c>
      <c r="C45" s="568"/>
      <c r="D45" s="851" t="s">
        <v>2365</v>
      </c>
      <c r="E45" s="1451" t="s">
        <v>90</v>
      </c>
      <c r="F45" s="1078" t="s">
        <v>118</v>
      </c>
      <c r="G45" s="2629"/>
      <c r="H45" s="2613"/>
      <c r="I45" s="2613"/>
      <c r="J45" s="2613"/>
      <c r="K45" s="2613"/>
      <c r="L45" s="2613"/>
      <c r="M45" s="2613"/>
      <c r="N45" s="308"/>
      <c r="O45" s="2629"/>
      <c r="P45" s="1507">
        <f t="shared" si="2"/>
        <v>0</v>
      </c>
      <c r="Q45" s="1507"/>
      <c r="R45" s="985">
        <f>'Ab1. RMNCH+A'!Q81</f>
        <v>0</v>
      </c>
      <c r="S45" s="1508">
        <f>'Ab1. RMNCH+A'!R81</f>
        <v>0</v>
      </c>
    </row>
    <row r="46" spans="1:19" x14ac:dyDescent="0.2">
      <c r="A46" s="1366">
        <v>21</v>
      </c>
      <c r="B46" s="1397" t="s">
        <v>2371</v>
      </c>
      <c r="C46" s="568"/>
      <c r="D46" s="851" t="s">
        <v>2366</v>
      </c>
      <c r="E46" s="1451" t="s">
        <v>90</v>
      </c>
      <c r="F46" s="1078" t="s">
        <v>118</v>
      </c>
      <c r="G46" s="2629"/>
      <c r="H46" s="2627"/>
      <c r="I46" s="2624"/>
      <c r="J46" s="2624"/>
      <c r="K46" s="2564"/>
      <c r="L46" s="2447"/>
      <c r="M46" s="2447"/>
      <c r="N46" s="308"/>
      <c r="O46" s="2629"/>
      <c r="P46" s="1507">
        <f t="shared" si="2"/>
        <v>0</v>
      </c>
      <c r="Q46" s="1507"/>
      <c r="R46" s="985">
        <f>'Ab1. RMNCH+A'!Q82</f>
        <v>0</v>
      </c>
      <c r="S46" s="1508">
        <f>'Ab1. RMNCH+A'!R82</f>
        <v>0</v>
      </c>
    </row>
    <row r="47" spans="1:19" x14ac:dyDescent="0.2">
      <c r="A47" s="1366">
        <v>22</v>
      </c>
      <c r="B47" s="1397" t="s">
        <v>2406</v>
      </c>
      <c r="C47" s="568"/>
      <c r="D47" s="851" t="s">
        <v>2410</v>
      </c>
      <c r="E47" s="1451" t="s">
        <v>90</v>
      </c>
      <c r="F47" s="1078" t="s">
        <v>118</v>
      </c>
      <c r="G47" s="2629"/>
      <c r="H47" s="2627"/>
      <c r="I47" s="2624"/>
      <c r="J47" s="2624"/>
      <c r="K47" s="2564"/>
      <c r="L47" s="2447"/>
      <c r="M47" s="2447"/>
      <c r="N47" s="308"/>
      <c r="O47" s="2629"/>
      <c r="P47" s="1507">
        <f t="shared" si="2"/>
        <v>0</v>
      </c>
      <c r="Q47" s="1507"/>
      <c r="R47" s="985">
        <f>'Ab1. RMNCH+A'!Q83</f>
        <v>0</v>
      </c>
      <c r="S47" s="1508">
        <f>'Ab1. RMNCH+A'!R83</f>
        <v>0</v>
      </c>
    </row>
    <row r="48" spans="1:19" x14ac:dyDescent="0.2">
      <c r="A48" s="1366">
        <v>23</v>
      </c>
      <c r="B48" s="1397" t="s">
        <v>2408</v>
      </c>
      <c r="C48" s="568"/>
      <c r="D48" s="851" t="s">
        <v>2460</v>
      </c>
      <c r="E48" s="1451" t="s">
        <v>90</v>
      </c>
      <c r="F48" s="1078" t="s">
        <v>118</v>
      </c>
      <c r="G48" s="2629"/>
      <c r="H48" s="2471"/>
      <c r="I48" s="2630"/>
      <c r="J48" s="2471"/>
      <c r="K48" s="2471"/>
      <c r="L48" s="2471"/>
      <c r="M48" s="2471"/>
      <c r="N48" s="308"/>
      <c r="O48" s="2629"/>
      <c r="P48" s="1507">
        <f t="shared" si="2"/>
        <v>0</v>
      </c>
      <c r="Q48" s="1507"/>
      <c r="R48" s="985">
        <f>'Ab1. RMNCH+A'!Q84</f>
        <v>0</v>
      </c>
      <c r="S48" s="1508">
        <f>'Ab1. RMNCH+A'!R84</f>
        <v>0</v>
      </c>
    </row>
    <row r="49" spans="1:19" x14ac:dyDescent="0.2">
      <c r="A49" s="1366">
        <v>24</v>
      </c>
      <c r="B49" s="1397" t="s">
        <v>2409</v>
      </c>
      <c r="C49" s="568"/>
      <c r="D49" s="851" t="s">
        <v>2367</v>
      </c>
      <c r="E49" s="1451" t="s">
        <v>90</v>
      </c>
      <c r="F49" s="1078" t="s">
        <v>118</v>
      </c>
      <c r="G49" s="2629"/>
      <c r="H49" s="2627"/>
      <c r="I49" s="2624"/>
      <c r="J49" s="2624"/>
      <c r="K49" s="2631"/>
      <c r="L49" s="2447"/>
      <c r="M49" s="2447"/>
      <c r="N49" s="308"/>
      <c r="O49" s="2629"/>
      <c r="P49" s="1507">
        <f>N49*O49</f>
        <v>0</v>
      </c>
      <c r="Q49" s="1507"/>
      <c r="R49" s="985">
        <f>'Ab1. RMNCH+A'!Q85</f>
        <v>0</v>
      </c>
      <c r="S49" s="1508">
        <f>'Ab1. RMNCH+A'!R85</f>
        <v>0</v>
      </c>
    </row>
    <row r="50" spans="1:19" x14ac:dyDescent="0.2">
      <c r="A50" s="1366">
        <v>25</v>
      </c>
      <c r="B50" s="1397" t="s">
        <v>2411</v>
      </c>
      <c r="C50" s="568"/>
      <c r="D50" s="851" t="s">
        <v>773</v>
      </c>
      <c r="E50" s="1451" t="s">
        <v>90</v>
      </c>
      <c r="F50" s="1078" t="s">
        <v>118</v>
      </c>
      <c r="G50" s="2629"/>
      <c r="H50" s="2613"/>
      <c r="I50" s="2613"/>
      <c r="J50" s="2613"/>
      <c r="K50" s="2613"/>
      <c r="L50" s="2613"/>
      <c r="M50" s="2613"/>
      <c r="N50" s="308"/>
      <c r="O50" s="2629"/>
      <c r="P50" s="1507">
        <f>N50*O50</f>
        <v>0</v>
      </c>
      <c r="Q50" s="1507"/>
      <c r="R50" s="985">
        <f>'Ab1. RMNCH+A'!Q86</f>
        <v>0</v>
      </c>
      <c r="S50" s="1508">
        <f>'Ab1. RMNCH+A'!R86</f>
        <v>0</v>
      </c>
    </row>
    <row r="51" spans="1:19" ht="30" x14ac:dyDescent="0.2">
      <c r="A51" s="1366">
        <v>26</v>
      </c>
      <c r="B51" s="474" t="s">
        <v>2412</v>
      </c>
      <c r="C51" s="568"/>
      <c r="D51" s="851" t="s">
        <v>3816</v>
      </c>
      <c r="E51" s="1451" t="s">
        <v>90</v>
      </c>
      <c r="F51" s="1078" t="s">
        <v>118</v>
      </c>
      <c r="G51" s="2609"/>
      <c r="H51" s="2619"/>
      <c r="I51" s="2619"/>
      <c r="J51" s="2619"/>
      <c r="K51" s="2619"/>
      <c r="L51" s="2619"/>
      <c r="M51" s="2619"/>
      <c r="N51" s="308"/>
      <c r="O51" s="2609"/>
      <c r="P51" s="1507">
        <f>N51*O51</f>
        <v>0</v>
      </c>
      <c r="Q51" s="1507"/>
      <c r="R51" s="985">
        <f>'Ab1. RMNCH+A'!Q87</f>
        <v>0</v>
      </c>
      <c r="S51" s="1508">
        <f>'Ab1. RMNCH+A'!R87</f>
        <v>0</v>
      </c>
    </row>
    <row r="52" spans="1:19" x14ac:dyDescent="0.2">
      <c r="A52" s="1366">
        <v>27</v>
      </c>
      <c r="B52" s="474" t="s">
        <v>3815</v>
      </c>
      <c r="C52" s="568"/>
      <c r="D52" s="851" t="s">
        <v>3817</v>
      </c>
      <c r="E52" s="1451" t="s">
        <v>90</v>
      </c>
      <c r="F52" s="1078" t="s">
        <v>118</v>
      </c>
      <c r="G52" s="2609"/>
      <c r="H52" s="2619"/>
      <c r="I52" s="2619"/>
      <c r="J52" s="2619"/>
      <c r="K52" s="2619"/>
      <c r="L52" s="2619"/>
      <c r="M52" s="2619"/>
      <c r="N52" s="308"/>
      <c r="O52" s="2609"/>
      <c r="P52" s="1507">
        <f>N52*O52</f>
        <v>0</v>
      </c>
      <c r="Q52" s="1507"/>
      <c r="R52" s="985">
        <f>'Ab1. RMNCH+A'!Q88</f>
        <v>0</v>
      </c>
      <c r="S52" s="1508">
        <f>'Ab1. RMNCH+A'!R88</f>
        <v>0</v>
      </c>
    </row>
    <row r="53" spans="1:19" x14ac:dyDescent="0.2">
      <c r="A53" s="1366">
        <v>28</v>
      </c>
      <c r="B53" s="1397" t="s">
        <v>3818</v>
      </c>
      <c r="C53" s="501" t="s">
        <v>814</v>
      </c>
      <c r="D53" s="501" t="s">
        <v>2461</v>
      </c>
      <c r="E53" s="1451" t="s">
        <v>90</v>
      </c>
      <c r="F53" s="1078" t="s">
        <v>118</v>
      </c>
      <c r="G53" s="2609"/>
      <c r="H53" s="2550"/>
      <c r="I53" s="2482"/>
      <c r="J53" s="2550"/>
      <c r="K53" s="2550"/>
      <c r="L53" s="2550"/>
      <c r="M53" s="2550"/>
      <c r="N53" s="308"/>
      <c r="O53" s="2609"/>
      <c r="P53" s="1507">
        <f>N53*O53</f>
        <v>0</v>
      </c>
      <c r="Q53" s="1507"/>
      <c r="R53" s="985">
        <f>'Ab1. RMNCH+A'!Q89</f>
        <v>0</v>
      </c>
      <c r="S53" s="1508">
        <f>'Ab1. RMNCH+A'!R89</f>
        <v>0</v>
      </c>
    </row>
    <row r="54" spans="1:19" s="1061" customFormat="1" x14ac:dyDescent="0.2">
      <c r="A54" s="1523" t="s">
        <v>4359</v>
      </c>
      <c r="B54" s="848" t="s">
        <v>826</v>
      </c>
      <c r="C54" s="1159"/>
      <c r="D54" s="1024" t="s">
        <v>827</v>
      </c>
      <c r="E54" s="973"/>
      <c r="F54" s="973"/>
      <c r="G54" s="236"/>
      <c r="H54" s="236"/>
      <c r="I54" s="1520"/>
      <c r="J54" s="1520"/>
      <c r="K54" s="1520"/>
      <c r="L54" s="236"/>
      <c r="M54" s="236"/>
      <c r="N54" s="1519"/>
      <c r="O54" s="421"/>
      <c r="P54" s="1520">
        <f>SUM(P55:P80)</f>
        <v>9.1529999999999987</v>
      </c>
      <c r="Q54" s="1520"/>
      <c r="R54" s="1115"/>
      <c r="S54" s="1521">
        <f>SUM(S55:S80)</f>
        <v>0</v>
      </c>
    </row>
    <row r="55" spans="1:19" ht="60" x14ac:dyDescent="0.2">
      <c r="A55" s="1366">
        <v>1</v>
      </c>
      <c r="B55" s="1397" t="s">
        <v>828</v>
      </c>
      <c r="C55" s="983" t="s">
        <v>829</v>
      </c>
      <c r="D55" s="502" t="s">
        <v>830</v>
      </c>
      <c r="E55" s="1524" t="s">
        <v>90</v>
      </c>
      <c r="F55" s="1078" t="s">
        <v>131</v>
      </c>
      <c r="G55" s="303"/>
      <c r="H55" s="303"/>
      <c r="I55" s="303"/>
      <c r="J55" s="2886"/>
      <c r="K55" s="303"/>
      <c r="L55" s="303"/>
      <c r="M55" s="304"/>
      <c r="N55" s="308"/>
      <c r="O55" s="304"/>
      <c r="P55" s="1507">
        <f t="shared" ref="P55:P80" si="3">N55*O55</f>
        <v>0</v>
      </c>
      <c r="Q55" s="1507"/>
      <c r="R55" s="985">
        <f>'Ab1. RMNCH+A'!Q147</f>
        <v>0</v>
      </c>
      <c r="S55" s="1508">
        <f>'Ab1. RMNCH+A'!R147</f>
        <v>0</v>
      </c>
    </row>
    <row r="56" spans="1:19" x14ac:dyDescent="0.2">
      <c r="A56" s="1366">
        <v>2</v>
      </c>
      <c r="B56" s="1397"/>
      <c r="C56" s="983"/>
      <c r="D56" s="502" t="s">
        <v>5029</v>
      </c>
      <c r="E56" s="1524" t="s">
        <v>90</v>
      </c>
      <c r="F56" s="1078" t="s">
        <v>131</v>
      </c>
      <c r="G56" s="303"/>
      <c r="H56" s="303"/>
      <c r="I56" s="303"/>
      <c r="J56" s="2886"/>
      <c r="K56" s="303"/>
      <c r="L56" s="303"/>
      <c r="M56" s="304"/>
      <c r="N56" s="308"/>
      <c r="O56" s="304"/>
      <c r="P56" s="1507">
        <f>N56*O56</f>
        <v>0</v>
      </c>
      <c r="Q56" s="1507"/>
      <c r="R56" s="985">
        <f>'Ab1. RMNCH+A'!Q148</f>
        <v>0</v>
      </c>
      <c r="S56" s="1508">
        <f>'Ab1. RMNCH+A'!R148</f>
        <v>0</v>
      </c>
    </row>
    <row r="57" spans="1:19" s="1061" customFormat="1" ht="45" x14ac:dyDescent="0.2">
      <c r="A57" s="1366">
        <v>3</v>
      </c>
      <c r="B57" s="1397" t="s">
        <v>831</v>
      </c>
      <c r="C57" s="1486" t="s">
        <v>832</v>
      </c>
      <c r="D57" s="495" t="s">
        <v>4369</v>
      </c>
      <c r="E57" s="1524" t="s">
        <v>90</v>
      </c>
      <c r="F57" s="1078" t="s">
        <v>131</v>
      </c>
      <c r="G57" s="2609"/>
      <c r="H57" s="2632"/>
      <c r="I57" s="2482"/>
      <c r="J57" s="2480"/>
      <c r="K57" s="2632"/>
      <c r="L57" s="2480"/>
      <c r="M57" s="2480"/>
      <c r="N57" s="308"/>
      <c r="O57" s="2609"/>
      <c r="P57" s="1507">
        <f t="shared" si="3"/>
        <v>0</v>
      </c>
      <c r="Q57" s="1507"/>
      <c r="R57" s="985">
        <f>'Ab1. RMNCH+A'!Q149</f>
        <v>0</v>
      </c>
      <c r="S57" s="1508">
        <f>'Ab1. RMNCH+A'!R149</f>
        <v>0</v>
      </c>
    </row>
    <row r="58" spans="1:19" s="1061" customFormat="1" ht="30" x14ac:dyDescent="0.2">
      <c r="A58" s="1366">
        <v>4</v>
      </c>
      <c r="B58" s="1397" t="s">
        <v>833</v>
      </c>
      <c r="C58" s="1486" t="s">
        <v>132</v>
      </c>
      <c r="D58" s="495" t="s">
        <v>4109</v>
      </c>
      <c r="E58" s="1524" t="s">
        <v>90</v>
      </c>
      <c r="F58" s="1078" t="s">
        <v>131</v>
      </c>
      <c r="G58" s="2609"/>
      <c r="H58" s="2633"/>
      <c r="I58" s="2633"/>
      <c r="J58" s="2633"/>
      <c r="K58" s="2633"/>
      <c r="L58" s="2633"/>
      <c r="M58" s="2633"/>
      <c r="N58" s="308"/>
      <c r="O58" s="2609"/>
      <c r="P58" s="1507">
        <f t="shared" si="3"/>
        <v>0</v>
      </c>
      <c r="Q58" s="1507"/>
      <c r="R58" s="985">
        <f>'Ab1. RMNCH+A'!Q150</f>
        <v>0</v>
      </c>
      <c r="S58" s="1508">
        <f>'Ab1. RMNCH+A'!R150</f>
        <v>0</v>
      </c>
    </row>
    <row r="59" spans="1:19" s="1061" customFormat="1" x14ac:dyDescent="0.2">
      <c r="A59" s="1366">
        <v>5</v>
      </c>
      <c r="B59" s="1397" t="s">
        <v>834</v>
      </c>
      <c r="C59" s="1486" t="s">
        <v>835</v>
      </c>
      <c r="D59" s="1525" t="s">
        <v>836</v>
      </c>
      <c r="E59" s="1451" t="s">
        <v>90</v>
      </c>
      <c r="F59" s="1078" t="s">
        <v>131</v>
      </c>
      <c r="G59" s="2609"/>
      <c r="H59" s="2610"/>
      <c r="I59" s="2611"/>
      <c r="J59" s="2611"/>
      <c r="K59" s="2612"/>
      <c r="L59" s="2612"/>
      <c r="M59" s="2612"/>
      <c r="N59" s="308"/>
      <c r="O59" s="2609"/>
      <c r="P59" s="1507">
        <f t="shared" si="3"/>
        <v>0</v>
      </c>
      <c r="Q59" s="1507"/>
      <c r="R59" s="985">
        <f>'Ab1. RMNCH+A'!Q151</f>
        <v>0</v>
      </c>
      <c r="S59" s="1508">
        <f>'Ab1. RMNCH+A'!R151</f>
        <v>0</v>
      </c>
    </row>
    <row r="60" spans="1:19" s="1061" customFormat="1" ht="60" x14ac:dyDescent="0.2">
      <c r="A60" s="1366">
        <v>6</v>
      </c>
      <c r="B60" s="1397" t="s">
        <v>837</v>
      </c>
      <c r="C60" s="501" t="s">
        <v>838</v>
      </c>
      <c r="D60" s="502" t="s">
        <v>839</v>
      </c>
      <c r="E60" s="1451" t="s">
        <v>90</v>
      </c>
      <c r="F60" s="1078" t="s">
        <v>131</v>
      </c>
      <c r="G60" s="2609"/>
      <c r="H60" s="2633"/>
      <c r="I60" s="2624"/>
      <c r="J60" s="2624"/>
      <c r="K60" s="2633"/>
      <c r="L60" s="2634"/>
      <c r="M60" s="2634"/>
      <c r="N60" s="308"/>
      <c r="O60" s="2609"/>
      <c r="P60" s="2848">
        <f t="shared" si="3"/>
        <v>0</v>
      </c>
      <c r="Q60" s="2848"/>
      <c r="R60" s="985">
        <f>'Ab1. RMNCH+A'!Q152</f>
        <v>0</v>
      </c>
      <c r="S60" s="1508">
        <f>'Ab1. RMNCH+A'!R152</f>
        <v>0</v>
      </c>
    </row>
    <row r="61" spans="1:19" x14ac:dyDescent="0.2">
      <c r="A61" s="1366">
        <v>7</v>
      </c>
      <c r="B61" s="1397" t="s">
        <v>840</v>
      </c>
      <c r="C61" s="501" t="s">
        <v>841</v>
      </c>
      <c r="D61" s="501" t="s">
        <v>842</v>
      </c>
      <c r="E61" s="1451" t="s">
        <v>90</v>
      </c>
      <c r="F61" s="1078" t="s">
        <v>131</v>
      </c>
      <c r="G61" s="2609"/>
      <c r="H61" s="2634"/>
      <c r="I61" s="2624"/>
      <c r="J61" s="2624"/>
      <c r="K61" s="2619"/>
      <c r="L61" s="2619"/>
      <c r="M61" s="2619"/>
      <c r="N61" s="308"/>
      <c r="O61" s="2609"/>
      <c r="P61" s="1507">
        <f t="shared" si="3"/>
        <v>0</v>
      </c>
      <c r="Q61" s="1507"/>
      <c r="R61" s="985">
        <f>'Ab1. RMNCH+A'!Q153</f>
        <v>0</v>
      </c>
      <c r="S61" s="1508">
        <f>'Ab1. RMNCH+A'!R153</f>
        <v>0</v>
      </c>
    </row>
    <row r="62" spans="1:19" x14ac:dyDescent="0.2">
      <c r="A62" s="1366">
        <v>8</v>
      </c>
      <c r="B62" s="1397" t="s">
        <v>843</v>
      </c>
      <c r="C62" s="501" t="s">
        <v>844</v>
      </c>
      <c r="D62" s="501" t="s">
        <v>845</v>
      </c>
      <c r="E62" s="1451" t="s">
        <v>90</v>
      </c>
      <c r="F62" s="1078" t="s">
        <v>131</v>
      </c>
      <c r="G62" s="2609"/>
      <c r="H62" s="2550"/>
      <c r="I62" s="2482"/>
      <c r="J62" s="2550"/>
      <c r="K62" s="2550"/>
      <c r="L62" s="2550"/>
      <c r="M62" s="2550"/>
      <c r="N62" s="308"/>
      <c r="O62" s="2609"/>
      <c r="P62" s="1507">
        <f t="shared" si="3"/>
        <v>0</v>
      </c>
      <c r="Q62" s="1507"/>
      <c r="R62" s="985">
        <f>'Ab1. RMNCH+A'!Q154</f>
        <v>0</v>
      </c>
      <c r="S62" s="1508">
        <f>'Ab1. RMNCH+A'!R154</f>
        <v>0</v>
      </c>
    </row>
    <row r="63" spans="1:19" x14ac:dyDescent="0.2">
      <c r="A63" s="1366">
        <v>9</v>
      </c>
      <c r="B63" s="1397" t="s">
        <v>846</v>
      </c>
      <c r="C63" s="501" t="s">
        <v>847</v>
      </c>
      <c r="D63" s="501" t="s">
        <v>848</v>
      </c>
      <c r="E63" s="1451" t="s">
        <v>90</v>
      </c>
      <c r="F63" s="1078" t="s">
        <v>131</v>
      </c>
      <c r="G63" s="2609"/>
      <c r="H63" s="2619"/>
      <c r="I63" s="2635"/>
      <c r="J63" s="2635"/>
      <c r="K63" s="2619"/>
      <c r="L63" s="2619"/>
      <c r="M63" s="2619"/>
      <c r="N63" s="308"/>
      <c r="O63" s="2609"/>
      <c r="P63" s="1507">
        <f t="shared" si="3"/>
        <v>0</v>
      </c>
      <c r="Q63" s="1507"/>
      <c r="R63" s="985">
        <f>'Ab1. RMNCH+A'!Q155</f>
        <v>0</v>
      </c>
      <c r="S63" s="1508">
        <f>'Ab1. RMNCH+A'!R155</f>
        <v>0</v>
      </c>
    </row>
    <row r="64" spans="1:19" x14ac:dyDescent="0.2">
      <c r="A64" s="1366">
        <v>10</v>
      </c>
      <c r="B64" s="1397" t="s">
        <v>849</v>
      </c>
      <c r="C64" s="501" t="s">
        <v>850</v>
      </c>
      <c r="D64" s="501" t="s">
        <v>851</v>
      </c>
      <c r="E64" s="1451" t="s">
        <v>90</v>
      </c>
      <c r="F64" s="1078" t="s">
        <v>131</v>
      </c>
      <c r="G64" s="2609"/>
      <c r="H64" s="2619"/>
      <c r="I64" s="2635"/>
      <c r="J64" s="2635"/>
      <c r="K64" s="2619"/>
      <c r="L64" s="2619"/>
      <c r="M64" s="2619"/>
      <c r="N64" s="308"/>
      <c r="O64" s="2609"/>
      <c r="P64" s="1507">
        <f t="shared" si="3"/>
        <v>0</v>
      </c>
      <c r="Q64" s="1507"/>
      <c r="R64" s="985">
        <f>'Ab1. RMNCH+A'!Q156</f>
        <v>0</v>
      </c>
      <c r="S64" s="1508">
        <f>'Ab1. RMNCH+A'!R156</f>
        <v>0</v>
      </c>
    </row>
    <row r="65" spans="1:19" x14ac:dyDescent="0.2">
      <c r="A65" s="1366">
        <v>11</v>
      </c>
      <c r="B65" s="1397" t="s">
        <v>852</v>
      </c>
      <c r="C65" s="501" t="s">
        <v>853</v>
      </c>
      <c r="D65" s="501" t="s">
        <v>854</v>
      </c>
      <c r="E65" s="1451" t="s">
        <v>90</v>
      </c>
      <c r="F65" s="1078" t="s">
        <v>131</v>
      </c>
      <c r="G65" s="2609"/>
      <c r="H65" s="2619"/>
      <c r="I65" s="2635"/>
      <c r="J65" s="2635"/>
      <c r="K65" s="2619"/>
      <c r="L65" s="2619"/>
      <c r="M65" s="2619"/>
      <c r="N65" s="308"/>
      <c r="O65" s="2609"/>
      <c r="P65" s="1507">
        <f t="shared" si="3"/>
        <v>0</v>
      </c>
      <c r="Q65" s="1507"/>
      <c r="R65" s="985">
        <f>'Ab1. RMNCH+A'!Q157</f>
        <v>0</v>
      </c>
      <c r="S65" s="1508">
        <f>'Ab1. RMNCH+A'!R157</f>
        <v>0</v>
      </c>
    </row>
    <row r="66" spans="1:19" ht="30" x14ac:dyDescent="0.2">
      <c r="A66" s="1366">
        <v>12</v>
      </c>
      <c r="B66" s="1397" t="s">
        <v>855</v>
      </c>
      <c r="C66" s="501" t="s">
        <v>858</v>
      </c>
      <c r="D66" s="501" t="s">
        <v>859</v>
      </c>
      <c r="E66" s="1451" t="s">
        <v>90</v>
      </c>
      <c r="F66" s="1078" t="s">
        <v>131</v>
      </c>
      <c r="G66" s="2609"/>
      <c r="H66" s="2612"/>
      <c r="I66" s="2448"/>
      <c r="J66" s="2448"/>
      <c r="K66" s="2612"/>
      <c r="L66" s="2612"/>
      <c r="M66" s="2612"/>
      <c r="N66" s="308"/>
      <c r="O66" s="2609"/>
      <c r="P66" s="1507">
        <f t="shared" si="3"/>
        <v>0</v>
      </c>
      <c r="Q66" s="1507"/>
      <c r="R66" s="985">
        <f>'Ab1. RMNCH+A'!Q158</f>
        <v>0</v>
      </c>
      <c r="S66" s="1508">
        <f>'Ab1. RMNCH+A'!R158</f>
        <v>0</v>
      </c>
    </row>
    <row r="67" spans="1:19" x14ac:dyDescent="0.2">
      <c r="A67" s="1366">
        <v>13</v>
      </c>
      <c r="B67" s="1397" t="s">
        <v>856</v>
      </c>
      <c r="C67" s="501" t="s">
        <v>861</v>
      </c>
      <c r="D67" s="501" t="s">
        <v>862</v>
      </c>
      <c r="E67" s="1451" t="s">
        <v>90</v>
      </c>
      <c r="F67" s="1078" t="s">
        <v>131</v>
      </c>
      <c r="G67" s="2609"/>
      <c r="H67" s="2619"/>
      <c r="I67" s="2635"/>
      <c r="J67" s="2635"/>
      <c r="K67" s="2619"/>
      <c r="L67" s="2619"/>
      <c r="M67" s="2619"/>
      <c r="N67" s="308"/>
      <c r="O67" s="2609"/>
      <c r="P67" s="1507">
        <f t="shared" si="3"/>
        <v>0</v>
      </c>
      <c r="Q67" s="1507"/>
      <c r="R67" s="985">
        <f>'Ab1. RMNCH+A'!Q159</f>
        <v>0</v>
      </c>
      <c r="S67" s="1508">
        <f>'Ab1. RMNCH+A'!R159</f>
        <v>0</v>
      </c>
    </row>
    <row r="68" spans="1:19" x14ac:dyDescent="0.2">
      <c r="A68" s="1366">
        <v>14</v>
      </c>
      <c r="B68" s="1397" t="s">
        <v>857</v>
      </c>
      <c r="C68" s="501" t="s">
        <v>864</v>
      </c>
      <c r="D68" s="501" t="s">
        <v>865</v>
      </c>
      <c r="E68" s="1451" t="s">
        <v>90</v>
      </c>
      <c r="F68" s="1078" t="s">
        <v>131</v>
      </c>
      <c r="G68" s="2609"/>
      <c r="H68" s="2619"/>
      <c r="I68" s="2636"/>
      <c r="J68" s="2636"/>
      <c r="K68" s="2619"/>
      <c r="L68" s="2619"/>
      <c r="M68" s="2619"/>
      <c r="N68" s="308"/>
      <c r="O68" s="2609"/>
      <c r="P68" s="1507">
        <f t="shared" si="3"/>
        <v>0</v>
      </c>
      <c r="Q68" s="1507"/>
      <c r="R68" s="985">
        <f>'Ab1. RMNCH+A'!Q160</f>
        <v>0</v>
      </c>
      <c r="S68" s="1508">
        <f>'Ab1. RMNCH+A'!R160</f>
        <v>0</v>
      </c>
    </row>
    <row r="69" spans="1:19" x14ac:dyDescent="0.2">
      <c r="A69" s="1366">
        <v>15</v>
      </c>
      <c r="B69" s="1397" t="s">
        <v>860</v>
      </c>
      <c r="C69" s="501" t="s">
        <v>867</v>
      </c>
      <c r="D69" s="501" t="s">
        <v>868</v>
      </c>
      <c r="E69" s="1451" t="s">
        <v>90</v>
      </c>
      <c r="F69" s="1078" t="s">
        <v>131</v>
      </c>
      <c r="G69" s="2609"/>
      <c r="H69" s="2619"/>
      <c r="I69" s="2636"/>
      <c r="J69" s="2636"/>
      <c r="K69" s="2619"/>
      <c r="L69" s="2619"/>
      <c r="M69" s="2619"/>
      <c r="N69" s="308"/>
      <c r="O69" s="2609"/>
      <c r="P69" s="1507">
        <f t="shared" si="3"/>
        <v>0</v>
      </c>
      <c r="Q69" s="1507"/>
      <c r="R69" s="985">
        <f>'Ab1. RMNCH+A'!Q161</f>
        <v>0</v>
      </c>
      <c r="S69" s="1508">
        <f>'Ab1. RMNCH+A'!R161</f>
        <v>0</v>
      </c>
    </row>
    <row r="70" spans="1:19" x14ac:dyDescent="0.2">
      <c r="A70" s="1366">
        <v>16</v>
      </c>
      <c r="B70" s="1397" t="s">
        <v>863</v>
      </c>
      <c r="C70" s="501" t="s">
        <v>870</v>
      </c>
      <c r="D70" s="501" t="s">
        <v>871</v>
      </c>
      <c r="E70" s="1451" t="s">
        <v>90</v>
      </c>
      <c r="F70" s="1078" t="s">
        <v>131</v>
      </c>
      <c r="G70" s="2609"/>
      <c r="H70" s="2550"/>
      <c r="I70" s="2482"/>
      <c r="J70" s="2550"/>
      <c r="K70" s="2550"/>
      <c r="L70" s="2550"/>
      <c r="M70" s="2550"/>
      <c r="N70" s="308"/>
      <c r="O70" s="2609"/>
      <c r="P70" s="1507">
        <f t="shared" si="3"/>
        <v>0</v>
      </c>
      <c r="Q70" s="1507"/>
      <c r="R70" s="985">
        <f>'Ab1. RMNCH+A'!Q162</f>
        <v>0</v>
      </c>
      <c r="S70" s="1508">
        <f>'Ab1. RMNCH+A'!R162</f>
        <v>0</v>
      </c>
    </row>
    <row r="71" spans="1:19" x14ac:dyDescent="0.2">
      <c r="A71" s="1366">
        <v>17</v>
      </c>
      <c r="B71" s="1397" t="s">
        <v>866</v>
      </c>
      <c r="C71" s="501" t="s">
        <v>873</v>
      </c>
      <c r="D71" s="501" t="s">
        <v>4110</v>
      </c>
      <c r="E71" s="1451" t="s">
        <v>90</v>
      </c>
      <c r="F71" s="1078" t="s">
        <v>131</v>
      </c>
      <c r="G71" s="2609"/>
      <c r="H71" s="2619"/>
      <c r="I71" s="2636"/>
      <c r="J71" s="2635"/>
      <c r="K71" s="2619"/>
      <c r="L71" s="2619"/>
      <c r="M71" s="2619"/>
      <c r="N71" s="308"/>
      <c r="O71" s="2609"/>
      <c r="P71" s="1507">
        <f t="shared" si="3"/>
        <v>0</v>
      </c>
      <c r="Q71" s="1507"/>
      <c r="R71" s="985">
        <f>'Ab1. RMNCH+A'!Q163</f>
        <v>0</v>
      </c>
      <c r="S71" s="1508">
        <f>'Ab1. RMNCH+A'!R163</f>
        <v>0</v>
      </c>
    </row>
    <row r="72" spans="1:19" ht="30" x14ac:dyDescent="0.2">
      <c r="A72" s="1366">
        <v>18</v>
      </c>
      <c r="B72" s="1397" t="s">
        <v>869</v>
      </c>
      <c r="C72" s="501" t="s">
        <v>875</v>
      </c>
      <c r="D72" s="501" t="s">
        <v>4111</v>
      </c>
      <c r="E72" s="1451" t="s">
        <v>90</v>
      </c>
      <c r="F72" s="1078" t="s">
        <v>131</v>
      </c>
      <c r="G72" s="2609"/>
      <c r="H72" s="2619"/>
      <c r="I72" s="2636"/>
      <c r="J72" s="2637"/>
      <c r="K72" s="2619"/>
      <c r="L72" s="2619"/>
      <c r="M72" s="2619"/>
      <c r="N72" s="308"/>
      <c r="O72" s="2609"/>
      <c r="P72" s="1507">
        <f t="shared" si="3"/>
        <v>0</v>
      </c>
      <c r="Q72" s="1507"/>
      <c r="R72" s="985">
        <f>'Ab1. RMNCH+A'!Q164</f>
        <v>0</v>
      </c>
      <c r="S72" s="1508">
        <f>'Ab1. RMNCH+A'!R164</f>
        <v>0</v>
      </c>
    </row>
    <row r="73" spans="1:19" ht="45" x14ac:dyDescent="0.2">
      <c r="A73" s="1366">
        <v>19</v>
      </c>
      <c r="B73" s="1397" t="s">
        <v>872</v>
      </c>
      <c r="C73" s="501" t="s">
        <v>877</v>
      </c>
      <c r="D73" s="501" t="s">
        <v>2480</v>
      </c>
      <c r="E73" s="1451" t="s">
        <v>90</v>
      </c>
      <c r="F73" s="1078" t="s">
        <v>131</v>
      </c>
      <c r="G73" s="2638"/>
      <c r="H73" s="2550"/>
      <c r="I73" s="2482"/>
      <c r="J73" s="2550"/>
      <c r="K73" s="2550"/>
      <c r="L73" s="2550"/>
      <c r="M73" s="2550"/>
      <c r="N73" s="308"/>
      <c r="O73" s="2638"/>
      <c r="P73" s="1507">
        <f t="shared" si="3"/>
        <v>0</v>
      </c>
      <c r="Q73" s="1507"/>
      <c r="R73" s="985">
        <f>'Ab1. RMNCH+A'!Q165</f>
        <v>0</v>
      </c>
      <c r="S73" s="1508">
        <f>'Ab1. RMNCH+A'!R165</f>
        <v>0</v>
      </c>
    </row>
    <row r="74" spans="1:19" x14ac:dyDescent="0.2">
      <c r="A74" s="1366">
        <v>20</v>
      </c>
      <c r="B74" s="1397" t="s">
        <v>874</v>
      </c>
      <c r="C74" s="501" t="s">
        <v>879</v>
      </c>
      <c r="D74" s="501" t="s">
        <v>880</v>
      </c>
      <c r="E74" s="1451" t="s">
        <v>90</v>
      </c>
      <c r="F74" s="1078" t="s">
        <v>131</v>
      </c>
      <c r="G74" s="2550"/>
      <c r="H74" s="2550"/>
      <c r="I74" s="2482"/>
      <c r="J74" s="2550"/>
      <c r="K74" s="2550"/>
      <c r="L74" s="2550"/>
      <c r="M74" s="2550"/>
      <c r="N74" s="308"/>
      <c r="O74" s="2550"/>
      <c r="P74" s="1507">
        <f t="shared" si="3"/>
        <v>0</v>
      </c>
      <c r="Q74" s="1507"/>
      <c r="R74" s="985">
        <f>'Ab1. RMNCH+A'!Q166</f>
        <v>0</v>
      </c>
      <c r="S74" s="1508">
        <f>'Ab1. RMNCH+A'!R166</f>
        <v>0</v>
      </c>
    </row>
    <row r="75" spans="1:19" x14ac:dyDescent="0.2">
      <c r="A75" s="1366">
        <v>21</v>
      </c>
      <c r="B75" s="1397" t="s">
        <v>876</v>
      </c>
      <c r="C75" s="568"/>
      <c r="D75" s="501" t="s">
        <v>2472</v>
      </c>
      <c r="E75" s="1451" t="s">
        <v>90</v>
      </c>
      <c r="F75" s="1078" t="s">
        <v>131</v>
      </c>
      <c r="G75" s="2609"/>
      <c r="H75" s="2619"/>
      <c r="I75" s="2619"/>
      <c r="J75" s="2619"/>
      <c r="K75" s="2619"/>
      <c r="L75" s="2619"/>
      <c r="M75" s="2619"/>
      <c r="N75" s="308"/>
      <c r="O75" s="2609"/>
      <c r="P75" s="1507">
        <f t="shared" si="3"/>
        <v>0</v>
      </c>
      <c r="Q75" s="1507"/>
      <c r="R75" s="985">
        <f>'Ab1. RMNCH+A'!Q167</f>
        <v>0</v>
      </c>
      <c r="S75" s="1508">
        <f>'Ab1. RMNCH+A'!R167</f>
        <v>0</v>
      </c>
    </row>
    <row r="76" spans="1:19" x14ac:dyDescent="0.2">
      <c r="A76" s="1366">
        <v>22</v>
      </c>
      <c r="B76" s="1397" t="s">
        <v>878</v>
      </c>
      <c r="C76" s="568"/>
      <c r="D76" s="501" t="s">
        <v>2473</v>
      </c>
      <c r="E76" s="1451" t="s">
        <v>90</v>
      </c>
      <c r="F76" s="1078" t="s">
        <v>131</v>
      </c>
      <c r="G76" s="2609"/>
      <c r="H76" s="2619"/>
      <c r="I76" s="2619"/>
      <c r="J76" s="2619"/>
      <c r="K76" s="2619"/>
      <c r="L76" s="2619"/>
      <c r="M76" s="2619"/>
      <c r="N76" s="308"/>
      <c r="O76" s="2609"/>
      <c r="P76" s="1507">
        <f t="shared" si="3"/>
        <v>0</v>
      </c>
      <c r="Q76" s="1507"/>
      <c r="R76" s="985">
        <f>'Ab1. RMNCH+A'!Q168</f>
        <v>0</v>
      </c>
      <c r="S76" s="1508">
        <f>'Ab1. RMNCH+A'!R168</f>
        <v>0</v>
      </c>
    </row>
    <row r="77" spans="1:19" ht="30" x14ac:dyDescent="0.2">
      <c r="A77" s="1366">
        <v>23</v>
      </c>
      <c r="B77" s="1397" t="s">
        <v>2471</v>
      </c>
      <c r="C77" s="568"/>
      <c r="D77" s="501" t="s">
        <v>2476</v>
      </c>
      <c r="E77" s="1451" t="s">
        <v>90</v>
      </c>
      <c r="F77" s="1078" t="s">
        <v>131</v>
      </c>
      <c r="G77" s="2609"/>
      <c r="H77" s="2619"/>
      <c r="I77" s="2619"/>
      <c r="J77" s="2619"/>
      <c r="K77" s="2619"/>
      <c r="L77" s="2619" t="s">
        <v>5738</v>
      </c>
      <c r="M77" s="2619">
        <v>156050</v>
      </c>
      <c r="N77" s="308">
        <f>+M77/100000</f>
        <v>1.5605</v>
      </c>
      <c r="O77" s="2646">
        <v>3</v>
      </c>
      <c r="P77" s="1507">
        <f t="shared" si="3"/>
        <v>4.6814999999999998</v>
      </c>
      <c r="Q77" s="3722" t="s">
        <v>6016</v>
      </c>
      <c r="R77" s="985">
        <f>'Ab1. RMNCH+A'!Q169</f>
        <v>0</v>
      </c>
      <c r="S77" s="1508">
        <f>'Ab1. RMNCH+A'!R169</f>
        <v>0</v>
      </c>
    </row>
    <row r="78" spans="1:19" ht="60" x14ac:dyDescent="0.2">
      <c r="A78" s="1366">
        <v>24</v>
      </c>
      <c r="B78" s="1526" t="s">
        <v>2576</v>
      </c>
      <c r="C78" s="568"/>
      <c r="D78" s="870" t="s">
        <v>4112</v>
      </c>
      <c r="E78" s="1451" t="s">
        <v>90</v>
      </c>
      <c r="F78" s="1078" t="s">
        <v>131</v>
      </c>
      <c r="G78" s="2609"/>
      <c r="H78" s="2610"/>
      <c r="I78" s="2611"/>
      <c r="J78" s="2611"/>
      <c r="K78" s="2622"/>
      <c r="L78" s="2612"/>
      <c r="M78" s="2612"/>
      <c r="N78" s="308"/>
      <c r="O78" s="2609"/>
      <c r="P78" s="1507">
        <f t="shared" si="3"/>
        <v>0</v>
      </c>
      <c r="Q78" s="1507"/>
      <c r="R78" s="985">
        <f>'Ab1. RMNCH+A'!Q170</f>
        <v>0</v>
      </c>
      <c r="S78" s="1508">
        <f>'Ab1. RMNCH+A'!R170</f>
        <v>0</v>
      </c>
    </row>
    <row r="79" spans="1:19" ht="30" x14ac:dyDescent="0.25">
      <c r="A79" s="1366">
        <v>25</v>
      </c>
      <c r="B79" s="1526" t="s">
        <v>3358</v>
      </c>
      <c r="C79" s="568"/>
      <c r="D79" s="1249" t="s">
        <v>4371</v>
      </c>
      <c r="E79" s="1451" t="s">
        <v>90</v>
      </c>
      <c r="F79" s="1078" t="s">
        <v>131</v>
      </c>
      <c r="G79" s="2609"/>
      <c r="H79" s="2610"/>
      <c r="I79" s="2611"/>
      <c r="J79" s="2611"/>
      <c r="K79" s="2622"/>
      <c r="L79" s="2613"/>
      <c r="M79" s="2613"/>
      <c r="N79" s="308"/>
      <c r="O79" s="2609"/>
      <c r="P79" s="1507">
        <f>N79*O79</f>
        <v>0</v>
      </c>
      <c r="Q79" s="1507"/>
      <c r="R79" s="985">
        <f>'Ab1. RMNCH+A'!Q171</f>
        <v>0</v>
      </c>
      <c r="S79" s="1508">
        <f>'Ab1. RMNCH+A'!R171</f>
        <v>0</v>
      </c>
    </row>
    <row r="80" spans="1:19" ht="30" x14ac:dyDescent="0.2">
      <c r="A80" s="1366">
        <v>26</v>
      </c>
      <c r="B80" s="1526" t="s">
        <v>4370</v>
      </c>
      <c r="C80" s="1526" t="s">
        <v>2576</v>
      </c>
      <c r="D80" s="501" t="s">
        <v>2577</v>
      </c>
      <c r="E80" s="1451" t="s">
        <v>90</v>
      </c>
      <c r="F80" s="1078" t="s">
        <v>131</v>
      </c>
      <c r="G80" s="2609"/>
      <c r="H80" s="2550"/>
      <c r="I80" s="2482"/>
      <c r="J80" s="2550"/>
      <c r="K80" s="2550"/>
      <c r="L80" s="2550" t="s">
        <v>5738</v>
      </c>
      <c r="M80" s="2550">
        <v>149050</v>
      </c>
      <c r="N80" s="308">
        <f>+M80/100000</f>
        <v>1.4904999999999999</v>
      </c>
      <c r="O80" s="2609">
        <v>3</v>
      </c>
      <c r="P80" s="1507">
        <f t="shared" si="3"/>
        <v>4.4714999999999998</v>
      </c>
      <c r="Q80" s="3722" t="s">
        <v>6017</v>
      </c>
      <c r="R80" s="985">
        <f>'Ab1. RMNCH+A'!Q172</f>
        <v>0</v>
      </c>
      <c r="S80" s="1508">
        <f>'Ab1. RMNCH+A'!R172</f>
        <v>0</v>
      </c>
    </row>
    <row r="81" spans="1:19" s="1061" customFormat="1" x14ac:dyDescent="0.2">
      <c r="A81" s="1500" t="s">
        <v>4362</v>
      </c>
      <c r="B81" s="848" t="s">
        <v>881</v>
      </c>
      <c r="C81" s="1159"/>
      <c r="D81" s="1024" t="s">
        <v>882</v>
      </c>
      <c r="E81" s="973"/>
      <c r="F81" s="973"/>
      <c r="G81" s="236"/>
      <c r="H81" s="236"/>
      <c r="I81" s="1520"/>
      <c r="J81" s="1520"/>
      <c r="K81" s="1520"/>
      <c r="L81" s="236"/>
      <c r="M81" s="236"/>
      <c r="N81" s="1519"/>
      <c r="O81" s="421"/>
      <c r="P81" s="1520">
        <f>SUM(P82:P109)</f>
        <v>0</v>
      </c>
      <c r="Q81" s="1520"/>
      <c r="R81" s="1115"/>
      <c r="S81" s="1521">
        <f>SUM(S82:S109)</f>
        <v>0</v>
      </c>
    </row>
    <row r="82" spans="1:19" x14ac:dyDescent="0.2">
      <c r="A82" s="1366">
        <v>1</v>
      </c>
      <c r="B82" s="1397" t="s">
        <v>760</v>
      </c>
      <c r="C82" s="501" t="s">
        <v>761</v>
      </c>
      <c r="D82" s="501" t="s">
        <v>762</v>
      </c>
      <c r="E82" s="1451" t="s">
        <v>90</v>
      </c>
      <c r="F82" s="1078" t="s">
        <v>91</v>
      </c>
      <c r="G82" s="303"/>
      <c r="H82" s="303"/>
      <c r="I82" s="303"/>
      <c r="J82" s="2886"/>
      <c r="K82" s="303"/>
      <c r="L82" s="303"/>
      <c r="M82" s="304"/>
      <c r="N82" s="308"/>
      <c r="O82" s="304"/>
      <c r="P82" s="1507">
        <f>N82*O82</f>
        <v>0</v>
      </c>
      <c r="Q82" s="1507"/>
      <c r="R82" s="985">
        <f>'Ab1. RMNCH+A'!Q242</f>
        <v>0</v>
      </c>
      <c r="S82" s="1508">
        <f>'Ab1. RMNCH+A'!R242</f>
        <v>0</v>
      </c>
    </row>
    <row r="83" spans="1:19" s="1061" customFormat="1" ht="90" x14ac:dyDescent="0.2">
      <c r="A83" s="1366">
        <v>2</v>
      </c>
      <c r="B83" s="1397" t="s">
        <v>883</v>
      </c>
      <c r="C83" s="501" t="s">
        <v>226</v>
      </c>
      <c r="D83" s="502" t="s">
        <v>2490</v>
      </c>
      <c r="E83" s="1451" t="s">
        <v>90</v>
      </c>
      <c r="F83" s="1078" t="s">
        <v>91</v>
      </c>
      <c r="G83" s="2638"/>
      <c r="H83" s="2550"/>
      <c r="I83" s="2482"/>
      <c r="J83" s="2550"/>
      <c r="K83" s="2550"/>
      <c r="L83" s="2550"/>
      <c r="M83" s="2480"/>
      <c r="N83" s="308"/>
      <c r="O83" s="2638"/>
      <c r="P83" s="1507">
        <f t="shared" ref="P83:P109" si="4">N83*O83</f>
        <v>0</v>
      </c>
      <c r="Q83" s="1507"/>
      <c r="R83" s="985">
        <f>'Ab1. RMNCH+A'!Q243</f>
        <v>0</v>
      </c>
      <c r="S83" s="1508">
        <f>'Ab1. RMNCH+A'!R243</f>
        <v>0</v>
      </c>
    </row>
    <row r="84" spans="1:19" s="1061" customFormat="1" ht="30" x14ac:dyDescent="0.2">
      <c r="A84" s="1366">
        <v>3</v>
      </c>
      <c r="B84" s="1397" t="s">
        <v>884</v>
      </c>
      <c r="C84" s="501" t="s">
        <v>885</v>
      </c>
      <c r="D84" s="502" t="s">
        <v>886</v>
      </c>
      <c r="E84" s="1451" t="s">
        <v>90</v>
      </c>
      <c r="F84" s="1078" t="s">
        <v>91</v>
      </c>
      <c r="G84" s="2638"/>
      <c r="H84" s="2480"/>
      <c r="I84" s="2482"/>
      <c r="J84" s="2639"/>
      <c r="K84" s="2480"/>
      <c r="L84" s="2480"/>
      <c r="M84" s="2480"/>
      <c r="N84" s="308"/>
      <c r="O84" s="2638"/>
      <c r="P84" s="1507">
        <f t="shared" si="4"/>
        <v>0</v>
      </c>
      <c r="Q84" s="1507"/>
      <c r="R84" s="985">
        <f>'Ab1. RMNCH+A'!Q244</f>
        <v>0</v>
      </c>
      <c r="S84" s="1508">
        <f>'Ab1. RMNCH+A'!R244</f>
        <v>0</v>
      </c>
    </row>
    <row r="85" spans="1:19" x14ac:dyDescent="0.2">
      <c r="A85" s="1366">
        <v>4</v>
      </c>
      <c r="B85" s="1397" t="s">
        <v>887</v>
      </c>
      <c r="C85" s="501" t="s">
        <v>890</v>
      </c>
      <c r="D85" s="501" t="s">
        <v>891</v>
      </c>
      <c r="E85" s="1451" t="s">
        <v>90</v>
      </c>
      <c r="F85" s="1078" t="s">
        <v>91</v>
      </c>
      <c r="G85" s="2640"/>
      <c r="H85" s="2627"/>
      <c r="I85" s="2624"/>
      <c r="J85" s="2624"/>
      <c r="K85" s="2628"/>
      <c r="L85" s="2627"/>
      <c r="M85" s="2627"/>
      <c r="N85" s="308"/>
      <c r="O85" s="2640"/>
      <c r="P85" s="1507">
        <f t="shared" si="4"/>
        <v>0</v>
      </c>
      <c r="Q85" s="1507"/>
      <c r="R85" s="985">
        <f>'Ab1. RMNCH+A'!Q245</f>
        <v>0</v>
      </c>
      <c r="S85" s="1508">
        <f>'Ab1. RMNCH+A'!R245</f>
        <v>0</v>
      </c>
    </row>
    <row r="86" spans="1:19" ht="30" x14ac:dyDescent="0.2">
      <c r="A86" s="1366">
        <v>5</v>
      </c>
      <c r="B86" s="1397" t="s">
        <v>889</v>
      </c>
      <c r="C86" s="501" t="s">
        <v>893</v>
      </c>
      <c r="D86" s="501" t="s">
        <v>894</v>
      </c>
      <c r="E86" s="1451" t="s">
        <v>90</v>
      </c>
      <c r="F86" s="1078" t="s">
        <v>91</v>
      </c>
      <c r="G86" s="2638"/>
      <c r="H86" s="2550"/>
      <c r="I86" s="2482"/>
      <c r="J86" s="2550"/>
      <c r="K86" s="2550"/>
      <c r="L86" s="2550"/>
      <c r="M86" s="2550"/>
      <c r="N86" s="308"/>
      <c r="O86" s="2638"/>
      <c r="P86" s="1507">
        <f t="shared" si="4"/>
        <v>0</v>
      </c>
      <c r="Q86" s="1507"/>
      <c r="R86" s="985">
        <f>'Ab1. RMNCH+A'!Q246</f>
        <v>0</v>
      </c>
      <c r="S86" s="1508">
        <f>'Ab1. RMNCH+A'!R246</f>
        <v>0</v>
      </c>
    </row>
    <row r="87" spans="1:19" x14ac:dyDescent="0.2">
      <c r="A87" s="1366">
        <v>6</v>
      </c>
      <c r="B87" s="1397" t="s">
        <v>892</v>
      </c>
      <c r="C87" s="501" t="s">
        <v>896</v>
      </c>
      <c r="D87" s="501" t="s">
        <v>897</v>
      </c>
      <c r="E87" s="1451" t="s">
        <v>90</v>
      </c>
      <c r="F87" s="1078" t="s">
        <v>91</v>
      </c>
      <c r="G87" s="2638"/>
      <c r="H87" s="2550"/>
      <c r="I87" s="2482"/>
      <c r="J87" s="2550"/>
      <c r="K87" s="2550"/>
      <c r="L87" s="2550"/>
      <c r="M87" s="2550"/>
      <c r="N87" s="308"/>
      <c r="O87" s="2638"/>
      <c r="P87" s="1507">
        <f t="shared" si="4"/>
        <v>0</v>
      </c>
      <c r="Q87" s="1507"/>
      <c r="R87" s="985">
        <f>'Ab1. RMNCH+A'!Q247</f>
        <v>0</v>
      </c>
      <c r="S87" s="1508">
        <f>'Ab1. RMNCH+A'!R247</f>
        <v>0</v>
      </c>
    </row>
    <row r="88" spans="1:19" x14ac:dyDescent="0.2">
      <c r="A88" s="1366">
        <v>7</v>
      </c>
      <c r="B88" s="1397" t="s">
        <v>895</v>
      </c>
      <c r="C88" s="501" t="s">
        <v>899</v>
      </c>
      <c r="D88" s="501" t="s">
        <v>900</v>
      </c>
      <c r="E88" s="1451" t="s">
        <v>90</v>
      </c>
      <c r="F88" s="1078" t="s">
        <v>91</v>
      </c>
      <c r="G88" s="2638"/>
      <c r="H88" s="2550"/>
      <c r="I88" s="2482"/>
      <c r="J88" s="2550"/>
      <c r="K88" s="2550"/>
      <c r="L88" s="2550"/>
      <c r="M88" s="2550"/>
      <c r="N88" s="308"/>
      <c r="O88" s="2638"/>
      <c r="P88" s="1507">
        <f t="shared" si="4"/>
        <v>0</v>
      </c>
      <c r="Q88" s="1507"/>
      <c r="R88" s="985">
        <f>'Ab1. RMNCH+A'!Q248</f>
        <v>0</v>
      </c>
      <c r="S88" s="1508">
        <f>'Ab1. RMNCH+A'!R248</f>
        <v>0</v>
      </c>
    </row>
    <row r="89" spans="1:19" x14ac:dyDescent="0.2">
      <c r="A89" s="1366">
        <v>8</v>
      </c>
      <c r="B89" s="1397" t="s">
        <v>898</v>
      </c>
      <c r="C89" s="501" t="s">
        <v>902</v>
      </c>
      <c r="D89" s="501" t="s">
        <v>903</v>
      </c>
      <c r="E89" s="1451" t="s">
        <v>90</v>
      </c>
      <c r="F89" s="1078" t="s">
        <v>91</v>
      </c>
      <c r="G89" s="2638"/>
      <c r="H89" s="2550"/>
      <c r="I89" s="2482"/>
      <c r="J89" s="2550"/>
      <c r="K89" s="2550"/>
      <c r="L89" s="2550"/>
      <c r="M89" s="2550"/>
      <c r="N89" s="308"/>
      <c r="O89" s="2638"/>
      <c r="P89" s="1507">
        <f t="shared" si="4"/>
        <v>0</v>
      </c>
      <c r="Q89" s="1507"/>
      <c r="R89" s="985">
        <f>'Ab1. RMNCH+A'!Q249</f>
        <v>0</v>
      </c>
      <c r="S89" s="1508">
        <f>'Ab1. RMNCH+A'!R249</f>
        <v>0</v>
      </c>
    </row>
    <row r="90" spans="1:19" x14ac:dyDescent="0.2">
      <c r="A90" s="1366">
        <v>9</v>
      </c>
      <c r="B90" s="1397" t="s">
        <v>901</v>
      </c>
      <c r="C90" s="501" t="s">
        <v>905</v>
      </c>
      <c r="D90" s="501" t="s">
        <v>906</v>
      </c>
      <c r="E90" s="1451" t="s">
        <v>90</v>
      </c>
      <c r="F90" s="1078" t="s">
        <v>91</v>
      </c>
      <c r="G90" s="2638"/>
      <c r="H90" s="2550"/>
      <c r="I90" s="2482"/>
      <c r="J90" s="2550"/>
      <c r="K90" s="2550"/>
      <c r="L90" s="2550"/>
      <c r="M90" s="2550"/>
      <c r="N90" s="308"/>
      <c r="O90" s="2638"/>
      <c r="P90" s="1507">
        <f t="shared" si="4"/>
        <v>0</v>
      </c>
      <c r="Q90" s="1507"/>
      <c r="R90" s="985">
        <f>'Ab1. RMNCH+A'!Q250</f>
        <v>0</v>
      </c>
      <c r="S90" s="1508">
        <f>'Ab1. RMNCH+A'!R250</f>
        <v>0</v>
      </c>
    </row>
    <row r="91" spans="1:19" x14ac:dyDescent="0.2">
      <c r="A91" s="1366">
        <v>10</v>
      </c>
      <c r="B91" s="1397" t="s">
        <v>904</v>
      </c>
      <c r="C91" s="501" t="s">
        <v>908</v>
      </c>
      <c r="D91" s="501" t="s">
        <v>909</v>
      </c>
      <c r="E91" s="1451" t="s">
        <v>90</v>
      </c>
      <c r="F91" s="1078" t="s">
        <v>91</v>
      </c>
      <c r="G91" s="2638"/>
      <c r="H91" s="2550"/>
      <c r="I91" s="2482"/>
      <c r="J91" s="2550"/>
      <c r="K91" s="2550"/>
      <c r="L91" s="2550"/>
      <c r="M91" s="2550"/>
      <c r="N91" s="308"/>
      <c r="O91" s="2638"/>
      <c r="P91" s="1507">
        <f t="shared" si="4"/>
        <v>0</v>
      </c>
      <c r="Q91" s="1507"/>
      <c r="R91" s="985">
        <f>'Ab1. RMNCH+A'!Q251</f>
        <v>0</v>
      </c>
      <c r="S91" s="1508">
        <f>'Ab1. RMNCH+A'!R251</f>
        <v>0</v>
      </c>
    </row>
    <row r="92" spans="1:19" x14ac:dyDescent="0.2">
      <c r="A92" s="1366">
        <v>11</v>
      </c>
      <c r="B92" s="1397" t="s">
        <v>907</v>
      </c>
      <c r="C92" s="501" t="s">
        <v>911</v>
      </c>
      <c r="D92" s="501" t="s">
        <v>912</v>
      </c>
      <c r="E92" s="1451" t="s">
        <v>90</v>
      </c>
      <c r="F92" s="1078" t="s">
        <v>91</v>
      </c>
      <c r="G92" s="2638"/>
      <c r="H92" s="2550"/>
      <c r="I92" s="2482"/>
      <c r="J92" s="2550"/>
      <c r="K92" s="2550"/>
      <c r="L92" s="2550"/>
      <c r="M92" s="2550"/>
      <c r="N92" s="308"/>
      <c r="O92" s="2638"/>
      <c r="P92" s="1507">
        <f t="shared" si="4"/>
        <v>0</v>
      </c>
      <c r="Q92" s="1507"/>
      <c r="R92" s="985">
        <f>'Ab1. RMNCH+A'!Q252</f>
        <v>0</v>
      </c>
      <c r="S92" s="1508">
        <f>'Ab1. RMNCH+A'!R252</f>
        <v>0</v>
      </c>
    </row>
    <row r="93" spans="1:19" x14ac:dyDescent="0.2">
      <c r="A93" s="1366">
        <v>12</v>
      </c>
      <c r="B93" s="1397" t="s">
        <v>910</v>
      </c>
      <c r="C93" s="501" t="s">
        <v>914</v>
      </c>
      <c r="D93" s="501" t="s">
        <v>915</v>
      </c>
      <c r="E93" s="1451" t="s">
        <v>90</v>
      </c>
      <c r="F93" s="1078" t="s">
        <v>91</v>
      </c>
      <c r="G93" s="2638"/>
      <c r="H93" s="2550"/>
      <c r="I93" s="2482"/>
      <c r="J93" s="2550"/>
      <c r="K93" s="2550"/>
      <c r="L93" s="2550"/>
      <c r="M93" s="2550"/>
      <c r="N93" s="308"/>
      <c r="O93" s="2638"/>
      <c r="P93" s="1507">
        <f t="shared" si="4"/>
        <v>0</v>
      </c>
      <c r="Q93" s="1507"/>
      <c r="R93" s="985">
        <f>'Ab1. RMNCH+A'!Q253</f>
        <v>0</v>
      </c>
      <c r="S93" s="1508">
        <f>'Ab1. RMNCH+A'!R253</f>
        <v>0</v>
      </c>
    </row>
    <row r="94" spans="1:19" ht="30" x14ac:dyDescent="0.2">
      <c r="A94" s="1366">
        <v>13</v>
      </c>
      <c r="B94" s="1397" t="s">
        <v>913</v>
      </c>
      <c r="C94" s="501" t="s">
        <v>917</v>
      </c>
      <c r="D94" s="501" t="s">
        <v>918</v>
      </c>
      <c r="E94" s="1451" t="s">
        <v>90</v>
      </c>
      <c r="F94" s="1078" t="s">
        <v>91</v>
      </c>
      <c r="G94" s="2638"/>
      <c r="H94" s="2550"/>
      <c r="I94" s="2482"/>
      <c r="J94" s="2550"/>
      <c r="K94" s="2550"/>
      <c r="L94" s="2550"/>
      <c r="M94" s="2550"/>
      <c r="N94" s="308"/>
      <c r="O94" s="2638"/>
      <c r="P94" s="1507">
        <f t="shared" si="4"/>
        <v>0</v>
      </c>
      <c r="Q94" s="1507"/>
      <c r="R94" s="985">
        <f>'Ab1. RMNCH+A'!Q254</f>
        <v>0</v>
      </c>
      <c r="S94" s="1508">
        <f>'Ab1. RMNCH+A'!R254</f>
        <v>0</v>
      </c>
    </row>
    <row r="95" spans="1:19" x14ac:dyDescent="0.2">
      <c r="A95" s="1366">
        <v>14</v>
      </c>
      <c r="B95" s="1397" t="s">
        <v>916</v>
      </c>
      <c r="C95" s="501" t="s">
        <v>920</v>
      </c>
      <c r="D95" s="501" t="s">
        <v>921</v>
      </c>
      <c r="E95" s="1451" t="s">
        <v>90</v>
      </c>
      <c r="F95" s="1078" t="s">
        <v>91</v>
      </c>
      <c r="G95" s="2638"/>
      <c r="H95" s="2550"/>
      <c r="I95" s="2482"/>
      <c r="J95" s="2550"/>
      <c r="K95" s="2550"/>
      <c r="L95" s="2550"/>
      <c r="M95" s="2550"/>
      <c r="N95" s="308"/>
      <c r="O95" s="2638"/>
      <c r="P95" s="1507">
        <f t="shared" si="4"/>
        <v>0</v>
      </c>
      <c r="Q95" s="1507"/>
      <c r="R95" s="985">
        <f>'Ab1. RMNCH+A'!Q255</f>
        <v>0</v>
      </c>
      <c r="S95" s="1508">
        <f>'Ab1. RMNCH+A'!R255</f>
        <v>0</v>
      </c>
    </row>
    <row r="96" spans="1:19" ht="30" x14ac:dyDescent="0.2">
      <c r="A96" s="1366">
        <v>15</v>
      </c>
      <c r="B96" s="1397" t="s">
        <v>919</v>
      </c>
      <c r="C96" s="501" t="s">
        <v>923</v>
      </c>
      <c r="D96" s="501" t="s">
        <v>924</v>
      </c>
      <c r="E96" s="1451" t="s">
        <v>90</v>
      </c>
      <c r="F96" s="1078" t="s">
        <v>91</v>
      </c>
      <c r="G96" s="2638"/>
      <c r="H96" s="2550"/>
      <c r="I96" s="2482"/>
      <c r="J96" s="2550"/>
      <c r="K96" s="2550"/>
      <c r="L96" s="2550"/>
      <c r="M96" s="2550"/>
      <c r="N96" s="308"/>
      <c r="O96" s="2638"/>
      <c r="P96" s="1507">
        <f t="shared" si="4"/>
        <v>0</v>
      </c>
      <c r="Q96" s="1507"/>
      <c r="R96" s="985">
        <f>'Ab1. RMNCH+A'!Q256</f>
        <v>0</v>
      </c>
      <c r="S96" s="1508">
        <f>'Ab1. RMNCH+A'!R256</f>
        <v>0</v>
      </c>
    </row>
    <row r="97" spans="1:19" x14ac:dyDescent="0.2">
      <c r="A97" s="1366">
        <v>16</v>
      </c>
      <c r="B97" s="1397" t="s">
        <v>922</v>
      </c>
      <c r="C97" s="501" t="s">
        <v>926</v>
      </c>
      <c r="D97" s="501" t="s">
        <v>927</v>
      </c>
      <c r="E97" s="1451" t="s">
        <v>90</v>
      </c>
      <c r="F97" s="1078" t="s">
        <v>91</v>
      </c>
      <c r="G97" s="2638"/>
      <c r="H97" s="2550"/>
      <c r="I97" s="2482"/>
      <c r="J97" s="2550"/>
      <c r="K97" s="2550"/>
      <c r="L97" s="2550"/>
      <c r="M97" s="2550"/>
      <c r="N97" s="308"/>
      <c r="O97" s="2638"/>
      <c r="P97" s="1507">
        <f t="shared" si="4"/>
        <v>0</v>
      </c>
      <c r="Q97" s="1507"/>
      <c r="R97" s="985">
        <f>'Ab1. RMNCH+A'!Q257</f>
        <v>0</v>
      </c>
      <c r="S97" s="1508">
        <f>'Ab1. RMNCH+A'!R257</f>
        <v>0</v>
      </c>
    </row>
    <row r="98" spans="1:19" ht="30" x14ac:dyDescent="0.2">
      <c r="A98" s="1366">
        <v>17</v>
      </c>
      <c r="B98" s="1397" t="s">
        <v>925</v>
      </c>
      <c r="C98" s="501" t="s">
        <v>929</v>
      </c>
      <c r="D98" s="501" t="s">
        <v>930</v>
      </c>
      <c r="E98" s="1451" t="s">
        <v>90</v>
      </c>
      <c r="F98" s="1078" t="s">
        <v>91</v>
      </c>
      <c r="G98" s="2638"/>
      <c r="H98" s="2550"/>
      <c r="I98" s="2482"/>
      <c r="J98" s="2550"/>
      <c r="K98" s="2550"/>
      <c r="L98" s="2550"/>
      <c r="M98" s="2550"/>
      <c r="N98" s="308"/>
      <c r="O98" s="2638"/>
      <c r="P98" s="1507">
        <f t="shared" si="4"/>
        <v>0</v>
      </c>
      <c r="Q98" s="1507"/>
      <c r="R98" s="985">
        <f>'Ab1. RMNCH+A'!Q258</f>
        <v>0</v>
      </c>
      <c r="S98" s="1508">
        <f>'Ab1. RMNCH+A'!R258</f>
        <v>0</v>
      </c>
    </row>
    <row r="99" spans="1:19" ht="30" x14ac:dyDescent="0.2">
      <c r="A99" s="1366">
        <v>18</v>
      </c>
      <c r="B99" s="1397" t="s">
        <v>928</v>
      </c>
      <c r="C99" s="501" t="s">
        <v>932</v>
      </c>
      <c r="D99" s="501" t="s">
        <v>933</v>
      </c>
      <c r="E99" s="1451" t="s">
        <v>90</v>
      </c>
      <c r="F99" s="1078" t="s">
        <v>91</v>
      </c>
      <c r="G99" s="2638"/>
      <c r="H99" s="2550"/>
      <c r="I99" s="2482"/>
      <c r="J99" s="2550"/>
      <c r="K99" s="2550"/>
      <c r="L99" s="2550"/>
      <c r="M99" s="2550"/>
      <c r="N99" s="308"/>
      <c r="O99" s="2638"/>
      <c r="P99" s="1507">
        <f t="shared" si="4"/>
        <v>0</v>
      </c>
      <c r="Q99" s="1507"/>
      <c r="R99" s="985">
        <f>'Ab1. RMNCH+A'!Q259</f>
        <v>0</v>
      </c>
      <c r="S99" s="1508">
        <f>'Ab1. RMNCH+A'!R259</f>
        <v>0</v>
      </c>
    </row>
    <row r="100" spans="1:19" ht="30" x14ac:dyDescent="0.2">
      <c r="A100" s="1366">
        <v>19</v>
      </c>
      <c r="B100" s="1397" t="s">
        <v>931</v>
      </c>
      <c r="C100" s="501" t="s">
        <v>935</v>
      </c>
      <c r="D100" s="501" t="s">
        <v>936</v>
      </c>
      <c r="E100" s="1451" t="s">
        <v>90</v>
      </c>
      <c r="F100" s="1078" t="s">
        <v>91</v>
      </c>
      <c r="G100" s="2638"/>
      <c r="H100" s="2550"/>
      <c r="I100" s="2482"/>
      <c r="J100" s="2550"/>
      <c r="K100" s="2550"/>
      <c r="L100" s="2550"/>
      <c r="M100" s="2550"/>
      <c r="N100" s="308"/>
      <c r="O100" s="2638"/>
      <c r="P100" s="1507">
        <f t="shared" si="4"/>
        <v>0</v>
      </c>
      <c r="Q100" s="1507"/>
      <c r="R100" s="985">
        <f>'Ab1. RMNCH+A'!Q260</f>
        <v>0</v>
      </c>
      <c r="S100" s="1508">
        <f>'Ab1. RMNCH+A'!R260</f>
        <v>0</v>
      </c>
    </row>
    <row r="101" spans="1:19" x14ac:dyDescent="0.2">
      <c r="A101" s="1366">
        <v>20</v>
      </c>
      <c r="B101" s="1397" t="s">
        <v>934</v>
      </c>
      <c r="C101" s="501" t="s">
        <v>938</v>
      </c>
      <c r="D101" s="501" t="s">
        <v>939</v>
      </c>
      <c r="E101" s="1451" t="s">
        <v>90</v>
      </c>
      <c r="F101" s="1078" t="s">
        <v>91</v>
      </c>
      <c r="G101" s="2638"/>
      <c r="H101" s="2550"/>
      <c r="I101" s="2482"/>
      <c r="J101" s="2550"/>
      <c r="K101" s="2550"/>
      <c r="L101" s="2550"/>
      <c r="M101" s="2550"/>
      <c r="N101" s="308"/>
      <c r="O101" s="2638"/>
      <c r="P101" s="1507">
        <f t="shared" si="4"/>
        <v>0</v>
      </c>
      <c r="Q101" s="1507"/>
      <c r="R101" s="985">
        <f>'Ab1. RMNCH+A'!Q261</f>
        <v>0</v>
      </c>
      <c r="S101" s="1508">
        <f>'Ab1. RMNCH+A'!R261</f>
        <v>0</v>
      </c>
    </row>
    <row r="102" spans="1:19" x14ac:dyDescent="0.2">
      <c r="A102" s="1366">
        <v>21</v>
      </c>
      <c r="B102" s="1397" t="s">
        <v>937</v>
      </c>
      <c r="C102" s="501" t="s">
        <v>941</v>
      </c>
      <c r="D102" s="501" t="s">
        <v>942</v>
      </c>
      <c r="E102" s="1451" t="s">
        <v>90</v>
      </c>
      <c r="F102" s="1078" t="s">
        <v>91</v>
      </c>
      <c r="G102" s="2638"/>
      <c r="H102" s="2550"/>
      <c r="I102" s="2482"/>
      <c r="J102" s="2550"/>
      <c r="K102" s="2550"/>
      <c r="L102" s="2550"/>
      <c r="M102" s="2550"/>
      <c r="N102" s="308"/>
      <c r="O102" s="2638"/>
      <c r="P102" s="1507">
        <f t="shared" si="4"/>
        <v>0</v>
      </c>
      <c r="Q102" s="1507"/>
      <c r="R102" s="985">
        <f>'Ab1. RMNCH+A'!Q262</f>
        <v>0</v>
      </c>
      <c r="S102" s="1508">
        <f>'Ab1. RMNCH+A'!R262</f>
        <v>0</v>
      </c>
    </row>
    <row r="103" spans="1:19" x14ac:dyDescent="0.2">
      <c r="A103" s="1366">
        <v>22</v>
      </c>
      <c r="B103" s="1397" t="s">
        <v>940</v>
      </c>
      <c r="C103" s="501" t="s">
        <v>944</v>
      </c>
      <c r="D103" s="501" t="s">
        <v>4113</v>
      </c>
      <c r="E103" s="1451" t="s">
        <v>90</v>
      </c>
      <c r="F103" s="1078" t="s">
        <v>91</v>
      </c>
      <c r="G103" s="2638"/>
      <c r="H103" s="2550"/>
      <c r="I103" s="2482"/>
      <c r="J103" s="2550"/>
      <c r="K103" s="2550"/>
      <c r="L103" s="2550"/>
      <c r="M103" s="2550"/>
      <c r="N103" s="308"/>
      <c r="O103" s="2638"/>
      <c r="P103" s="1507">
        <f t="shared" si="4"/>
        <v>0</v>
      </c>
      <c r="Q103" s="1507"/>
      <c r="R103" s="985">
        <f>'Ab1. RMNCH+A'!Q263</f>
        <v>0</v>
      </c>
      <c r="S103" s="1508">
        <f>'Ab1. RMNCH+A'!R263</f>
        <v>0</v>
      </c>
    </row>
    <row r="104" spans="1:19" ht="30" x14ac:dyDescent="0.2">
      <c r="A104" s="1366">
        <v>23</v>
      </c>
      <c r="B104" s="1397" t="s">
        <v>943</v>
      </c>
      <c r="C104" s="501" t="s">
        <v>946</v>
      </c>
      <c r="D104" s="501" t="s">
        <v>4114</v>
      </c>
      <c r="E104" s="1451" t="s">
        <v>90</v>
      </c>
      <c r="F104" s="1078" t="s">
        <v>91</v>
      </c>
      <c r="G104" s="2638"/>
      <c r="H104" s="2550"/>
      <c r="I104" s="2482"/>
      <c r="J104" s="2550"/>
      <c r="K104" s="2550"/>
      <c r="L104" s="2550"/>
      <c r="M104" s="2550"/>
      <c r="N104" s="308"/>
      <c r="O104" s="2638"/>
      <c r="P104" s="1507">
        <f t="shared" si="4"/>
        <v>0</v>
      </c>
      <c r="Q104" s="1507"/>
      <c r="R104" s="985">
        <f>'Ab1. RMNCH+A'!Q264</f>
        <v>0</v>
      </c>
      <c r="S104" s="1508">
        <f>'Ab1. RMNCH+A'!R264</f>
        <v>0</v>
      </c>
    </row>
    <row r="105" spans="1:19" ht="30" x14ac:dyDescent="0.2">
      <c r="A105" s="1366">
        <v>24</v>
      </c>
      <c r="B105" s="1397" t="s">
        <v>945</v>
      </c>
      <c r="C105" s="501" t="s">
        <v>948</v>
      </c>
      <c r="D105" s="501" t="s">
        <v>4115</v>
      </c>
      <c r="E105" s="1451" t="s">
        <v>90</v>
      </c>
      <c r="F105" s="1078" t="s">
        <v>91</v>
      </c>
      <c r="G105" s="2638"/>
      <c r="H105" s="2550"/>
      <c r="I105" s="2482"/>
      <c r="J105" s="2550"/>
      <c r="K105" s="2550"/>
      <c r="L105" s="2550"/>
      <c r="M105" s="2550"/>
      <c r="N105" s="308"/>
      <c r="O105" s="2638"/>
      <c r="P105" s="1507">
        <f t="shared" si="4"/>
        <v>0</v>
      </c>
      <c r="Q105" s="1507"/>
      <c r="R105" s="985">
        <f>'Ab1. RMNCH+A'!Q265</f>
        <v>0</v>
      </c>
      <c r="S105" s="1508">
        <f>'Ab1. RMNCH+A'!R265</f>
        <v>0</v>
      </c>
    </row>
    <row r="106" spans="1:19" ht="30" x14ac:dyDescent="0.2">
      <c r="A106" s="1366">
        <v>25</v>
      </c>
      <c r="B106" s="1397" t="s">
        <v>947</v>
      </c>
      <c r="C106" s="501" t="s">
        <v>950</v>
      </c>
      <c r="D106" s="501" t="s">
        <v>4116</v>
      </c>
      <c r="E106" s="1451" t="s">
        <v>90</v>
      </c>
      <c r="F106" s="1078" t="s">
        <v>91</v>
      </c>
      <c r="G106" s="2638"/>
      <c r="H106" s="2550"/>
      <c r="I106" s="2482"/>
      <c r="J106" s="2550"/>
      <c r="K106" s="2550"/>
      <c r="L106" s="2550"/>
      <c r="M106" s="2550"/>
      <c r="N106" s="308"/>
      <c r="O106" s="2638"/>
      <c r="P106" s="1507">
        <f t="shared" si="4"/>
        <v>0</v>
      </c>
      <c r="Q106" s="1507"/>
      <c r="R106" s="985">
        <f>'Ab1. RMNCH+A'!Q266</f>
        <v>0</v>
      </c>
      <c r="S106" s="1508">
        <f>'Ab1. RMNCH+A'!R266</f>
        <v>0</v>
      </c>
    </row>
    <row r="107" spans="1:19" x14ac:dyDescent="0.2">
      <c r="A107" s="1366">
        <v>26</v>
      </c>
      <c r="B107" s="1397" t="s">
        <v>949</v>
      </c>
      <c r="C107" s="501" t="s">
        <v>952</v>
      </c>
      <c r="D107" s="501" t="s">
        <v>953</v>
      </c>
      <c r="E107" s="1451" t="s">
        <v>90</v>
      </c>
      <c r="F107" s="1078" t="s">
        <v>91</v>
      </c>
      <c r="G107" s="2638"/>
      <c r="H107" s="2550"/>
      <c r="I107" s="2482"/>
      <c r="J107" s="2550"/>
      <c r="K107" s="2550"/>
      <c r="L107" s="2550"/>
      <c r="M107" s="2550"/>
      <c r="N107" s="308"/>
      <c r="O107" s="2638"/>
      <c r="P107" s="1507">
        <f t="shared" si="4"/>
        <v>0</v>
      </c>
      <c r="Q107" s="1507"/>
      <c r="R107" s="985">
        <f>'Ab1. RMNCH+A'!Q267</f>
        <v>0</v>
      </c>
      <c r="S107" s="1508">
        <f>'Ab1. RMNCH+A'!R267</f>
        <v>0</v>
      </c>
    </row>
    <row r="108" spans="1:19" x14ac:dyDescent="0.2">
      <c r="A108" s="1366">
        <v>27</v>
      </c>
      <c r="B108" s="1397" t="s">
        <v>951</v>
      </c>
      <c r="C108" s="568"/>
      <c r="D108" s="501" t="s">
        <v>2491</v>
      </c>
      <c r="E108" s="1451" t="s">
        <v>90</v>
      </c>
      <c r="F108" s="1078" t="s">
        <v>91</v>
      </c>
      <c r="G108" s="2638"/>
      <c r="H108" s="2550"/>
      <c r="I108" s="2482"/>
      <c r="J108" s="2550"/>
      <c r="K108" s="2550"/>
      <c r="L108" s="2550"/>
      <c r="M108" s="2550"/>
      <c r="N108" s="308"/>
      <c r="O108" s="2638"/>
      <c r="P108" s="1507">
        <f t="shared" si="4"/>
        <v>0</v>
      </c>
      <c r="Q108" s="1507"/>
      <c r="R108" s="985">
        <f>'Ab1. RMNCH+A'!Q268</f>
        <v>0</v>
      </c>
      <c r="S108" s="1508">
        <f>'Ab1. RMNCH+A'!R268</f>
        <v>0</v>
      </c>
    </row>
    <row r="109" spans="1:19" x14ac:dyDescent="0.2">
      <c r="A109" s="1366">
        <v>28</v>
      </c>
      <c r="B109" s="1397" t="s">
        <v>2578</v>
      </c>
      <c r="C109" s="568"/>
      <c r="D109" s="501" t="s">
        <v>2579</v>
      </c>
      <c r="E109" s="1451" t="s">
        <v>90</v>
      </c>
      <c r="F109" s="1078" t="s">
        <v>91</v>
      </c>
      <c r="G109" s="2641"/>
      <c r="H109" s="2610"/>
      <c r="I109" s="2611"/>
      <c r="J109" s="2611"/>
      <c r="K109" s="2612"/>
      <c r="L109" s="2612"/>
      <c r="M109" s="2610"/>
      <c r="N109" s="308"/>
      <c r="O109" s="2641"/>
      <c r="P109" s="1507">
        <f t="shared" si="4"/>
        <v>0</v>
      </c>
      <c r="Q109" s="1507"/>
      <c r="R109" s="985">
        <f>'Ab1. RMNCH+A'!Q269</f>
        <v>0</v>
      </c>
      <c r="S109" s="1508">
        <f>'Ab1. RMNCH+A'!R269</f>
        <v>0</v>
      </c>
    </row>
    <row r="110" spans="1:19" s="1061" customFormat="1" x14ac:dyDescent="0.2">
      <c r="A110" s="1500" t="s">
        <v>4363</v>
      </c>
      <c r="B110" s="848" t="s">
        <v>954</v>
      </c>
      <c r="C110" s="1159"/>
      <c r="D110" s="1024" t="s">
        <v>955</v>
      </c>
      <c r="E110" s="973"/>
      <c r="F110" s="973"/>
      <c r="G110" s="236"/>
      <c r="H110" s="236"/>
      <c r="I110" s="1520"/>
      <c r="J110" s="1520"/>
      <c r="K110" s="1520"/>
      <c r="L110" s="236"/>
      <c r="M110" s="236"/>
      <c r="N110" s="1519"/>
      <c r="O110" s="421"/>
      <c r="P110" s="1520">
        <f>SUM(P111:P123)+P127</f>
        <v>0</v>
      </c>
      <c r="Q110" s="1520"/>
      <c r="R110" s="1115"/>
      <c r="S110" s="1521">
        <f>SUM(S111:S123)+S127</f>
        <v>0</v>
      </c>
    </row>
    <row r="111" spans="1:19" s="1061" customFormat="1" x14ac:dyDescent="0.2">
      <c r="A111" s="1366">
        <v>1</v>
      </c>
      <c r="B111" s="1397" t="s">
        <v>956</v>
      </c>
      <c r="C111" s="501" t="s">
        <v>957</v>
      </c>
      <c r="D111" s="502" t="s">
        <v>958</v>
      </c>
      <c r="E111" s="1451" t="s">
        <v>90</v>
      </c>
      <c r="F111" s="1078" t="s">
        <v>193</v>
      </c>
      <c r="G111" s="423"/>
      <c r="H111" s="423"/>
      <c r="I111" s="419"/>
      <c r="J111" s="419"/>
      <c r="K111" s="423"/>
      <c r="L111" s="260"/>
      <c r="M111" s="304"/>
      <c r="N111" s="308"/>
      <c r="O111" s="304"/>
      <c r="P111" s="1507">
        <f t="shared" ref="P111:P122" si="5">N111*O111</f>
        <v>0</v>
      </c>
      <c r="Q111" s="1507"/>
      <c r="R111" s="985">
        <f>'Ab1. RMNCH+A'!Q314</f>
        <v>0</v>
      </c>
      <c r="S111" s="1508">
        <f>'Ab1. RMNCH+A'!R314</f>
        <v>0</v>
      </c>
    </row>
    <row r="112" spans="1:19" s="1368" customFormat="1" x14ac:dyDescent="0.2">
      <c r="A112" s="1368">
        <v>2</v>
      </c>
      <c r="B112" s="474" t="s">
        <v>959</v>
      </c>
      <c r="C112" s="568" t="s">
        <v>960</v>
      </c>
      <c r="D112" s="568" t="s">
        <v>961</v>
      </c>
      <c r="E112" s="1451" t="s">
        <v>90</v>
      </c>
      <c r="F112" s="1038" t="s">
        <v>193</v>
      </c>
      <c r="G112" s="313"/>
      <c r="H112" s="314"/>
      <c r="I112" s="424"/>
      <c r="J112" s="424"/>
      <c r="K112" s="313"/>
      <c r="L112" s="313"/>
      <c r="M112" s="304"/>
      <c r="N112" s="308"/>
      <c r="O112" s="304"/>
      <c r="P112" s="1507">
        <f t="shared" si="5"/>
        <v>0</v>
      </c>
      <c r="Q112" s="1507"/>
      <c r="R112" s="985">
        <f>'Ab1. RMNCH+A'!Q315</f>
        <v>0</v>
      </c>
      <c r="S112" s="1508">
        <f>'Ab1. RMNCH+A'!R315</f>
        <v>0</v>
      </c>
    </row>
    <row r="113" spans="1:19" x14ac:dyDescent="0.2">
      <c r="A113" s="1366">
        <v>3</v>
      </c>
      <c r="B113" s="1397" t="s">
        <v>962</v>
      </c>
      <c r="C113" s="501" t="s">
        <v>963</v>
      </c>
      <c r="D113" s="501" t="s">
        <v>964</v>
      </c>
      <c r="E113" s="1451" t="s">
        <v>90</v>
      </c>
      <c r="F113" s="1078" t="s">
        <v>193</v>
      </c>
      <c r="G113" s="259"/>
      <c r="H113" s="260"/>
      <c r="I113" s="419"/>
      <c r="J113" s="419"/>
      <c r="K113" s="259"/>
      <c r="L113" s="259"/>
      <c r="M113" s="304"/>
      <c r="N113" s="308"/>
      <c r="O113" s="304"/>
      <c r="P113" s="1507">
        <f t="shared" si="5"/>
        <v>0</v>
      </c>
      <c r="Q113" s="1507"/>
      <c r="R113" s="985">
        <f>'Ab1. RMNCH+A'!Q316</f>
        <v>0</v>
      </c>
      <c r="S113" s="1508">
        <f>'Ab1. RMNCH+A'!R316</f>
        <v>0</v>
      </c>
    </row>
    <row r="114" spans="1:19" x14ac:dyDescent="0.2">
      <c r="A114" s="1366">
        <v>4</v>
      </c>
      <c r="B114" s="1397" t="s">
        <v>965</v>
      </c>
      <c r="C114" s="501" t="s">
        <v>966</v>
      </c>
      <c r="D114" s="501" t="s">
        <v>2498</v>
      </c>
      <c r="E114" s="1451" t="s">
        <v>90</v>
      </c>
      <c r="F114" s="1078" t="s">
        <v>193</v>
      </c>
      <c r="G114" s="259"/>
      <c r="H114" s="426"/>
      <c r="I114" s="419"/>
      <c r="J114" s="419"/>
      <c r="K114" s="350"/>
      <c r="L114" s="259"/>
      <c r="M114" s="304"/>
      <c r="N114" s="308"/>
      <c r="O114" s="304"/>
      <c r="P114" s="1507">
        <f t="shared" si="5"/>
        <v>0</v>
      </c>
      <c r="Q114" s="1507"/>
      <c r="R114" s="985">
        <f>'Ab1. RMNCH+A'!Q317</f>
        <v>0</v>
      </c>
      <c r="S114" s="1508">
        <f>'Ab1. RMNCH+A'!R317</f>
        <v>0</v>
      </c>
    </row>
    <row r="115" spans="1:19" x14ac:dyDescent="0.2">
      <c r="A115" s="1366">
        <v>5</v>
      </c>
      <c r="B115" s="1397" t="s">
        <v>2580</v>
      </c>
      <c r="C115" s="501" t="s">
        <v>968</v>
      </c>
      <c r="D115" s="501" t="s">
        <v>969</v>
      </c>
      <c r="E115" s="1451" t="s">
        <v>90</v>
      </c>
      <c r="F115" s="1078" t="s">
        <v>193</v>
      </c>
      <c r="G115" s="303"/>
      <c r="H115" s="303"/>
      <c r="I115" s="303"/>
      <c r="J115" s="2886"/>
      <c r="K115" s="303"/>
      <c r="L115" s="303"/>
      <c r="M115" s="304"/>
      <c r="N115" s="308"/>
      <c r="O115" s="304"/>
      <c r="P115" s="1507">
        <f t="shared" si="5"/>
        <v>0</v>
      </c>
      <c r="Q115" s="1507"/>
      <c r="R115" s="985">
        <f>'Ab1. RMNCH+A'!Q318</f>
        <v>0</v>
      </c>
      <c r="S115" s="1508">
        <f>'Ab1. RMNCH+A'!R318</f>
        <v>0</v>
      </c>
    </row>
    <row r="116" spans="1:19" x14ac:dyDescent="0.2">
      <c r="A116" s="1366">
        <v>6</v>
      </c>
      <c r="B116" s="1397" t="s">
        <v>967</v>
      </c>
      <c r="C116" s="501" t="s">
        <v>971</v>
      </c>
      <c r="D116" s="501" t="s">
        <v>972</v>
      </c>
      <c r="E116" s="1451" t="s">
        <v>90</v>
      </c>
      <c r="F116" s="1078" t="s">
        <v>193</v>
      </c>
      <c r="G116" s="303"/>
      <c r="H116" s="303"/>
      <c r="I116" s="303"/>
      <c r="J116" s="2886"/>
      <c r="K116" s="303"/>
      <c r="L116" s="303"/>
      <c r="M116" s="304"/>
      <c r="N116" s="308"/>
      <c r="O116" s="304"/>
      <c r="P116" s="1507">
        <f t="shared" si="5"/>
        <v>0</v>
      </c>
      <c r="Q116" s="1507"/>
      <c r="R116" s="985">
        <f>'Ab1. RMNCH+A'!Q319</f>
        <v>0</v>
      </c>
      <c r="S116" s="1508">
        <f>'Ab1. RMNCH+A'!R319</f>
        <v>0</v>
      </c>
    </row>
    <row r="117" spans="1:19" x14ac:dyDescent="0.2">
      <c r="A117" s="1366">
        <v>7</v>
      </c>
      <c r="B117" s="1397" t="s">
        <v>970</v>
      </c>
      <c r="C117" s="501" t="s">
        <v>974</v>
      </c>
      <c r="D117" s="501" t="s">
        <v>975</v>
      </c>
      <c r="E117" s="1451" t="s">
        <v>90</v>
      </c>
      <c r="F117" s="1078" t="s">
        <v>193</v>
      </c>
      <c r="G117" s="303"/>
      <c r="H117" s="303"/>
      <c r="I117" s="303"/>
      <c r="J117" s="2886"/>
      <c r="K117" s="303"/>
      <c r="L117" s="303"/>
      <c r="M117" s="304"/>
      <c r="N117" s="308"/>
      <c r="O117" s="304"/>
      <c r="P117" s="1507">
        <f t="shared" si="5"/>
        <v>0</v>
      </c>
      <c r="Q117" s="1507"/>
      <c r="R117" s="985">
        <f>'Ab1. RMNCH+A'!Q320</f>
        <v>0</v>
      </c>
      <c r="S117" s="1508">
        <f>'Ab1. RMNCH+A'!R320</f>
        <v>0</v>
      </c>
    </row>
    <row r="118" spans="1:19" x14ac:dyDescent="0.2">
      <c r="A118" s="1366">
        <v>8</v>
      </c>
      <c r="B118" s="1397" t="s">
        <v>973</v>
      </c>
      <c r="C118" s="501" t="s">
        <v>977</v>
      </c>
      <c r="D118" s="1527" t="s">
        <v>978</v>
      </c>
      <c r="E118" s="1451" t="s">
        <v>90</v>
      </c>
      <c r="F118" s="1078" t="s">
        <v>193</v>
      </c>
      <c r="G118" s="303"/>
      <c r="H118" s="303"/>
      <c r="I118" s="303"/>
      <c r="J118" s="2886"/>
      <c r="K118" s="303"/>
      <c r="L118" s="303"/>
      <c r="M118" s="304"/>
      <c r="N118" s="308"/>
      <c r="O118" s="304"/>
      <c r="P118" s="1507">
        <f t="shared" si="5"/>
        <v>0</v>
      </c>
      <c r="Q118" s="1507"/>
      <c r="R118" s="985">
        <f>'Ab1. RMNCH+A'!Q321</f>
        <v>0</v>
      </c>
      <c r="S118" s="1508">
        <f>'Ab1. RMNCH+A'!R321</f>
        <v>0</v>
      </c>
    </row>
    <row r="119" spans="1:19" x14ac:dyDescent="0.2">
      <c r="A119" s="1366">
        <v>9</v>
      </c>
      <c r="B119" s="1397" t="s">
        <v>976</v>
      </c>
      <c r="C119" s="501" t="s">
        <v>980</v>
      </c>
      <c r="D119" s="501" t="s">
        <v>981</v>
      </c>
      <c r="E119" s="1451" t="s">
        <v>90</v>
      </c>
      <c r="F119" s="1078" t="s">
        <v>193</v>
      </c>
      <c r="G119" s="259"/>
      <c r="H119" s="260"/>
      <c r="I119" s="419"/>
      <c r="J119" s="419"/>
      <c r="K119" s="259"/>
      <c r="L119" s="259"/>
      <c r="M119" s="304"/>
      <c r="N119" s="308"/>
      <c r="O119" s="304"/>
      <c r="P119" s="1507">
        <f t="shared" si="5"/>
        <v>0</v>
      </c>
      <c r="Q119" s="1507"/>
      <c r="R119" s="985">
        <f>'Ab1. RMNCH+A'!Q322</f>
        <v>0</v>
      </c>
      <c r="S119" s="1508">
        <f>'Ab1. RMNCH+A'!R322</f>
        <v>0</v>
      </c>
    </row>
    <row r="120" spans="1:19" x14ac:dyDescent="0.2">
      <c r="A120" s="1366">
        <v>10</v>
      </c>
      <c r="B120" s="1397" t="s">
        <v>979</v>
      </c>
      <c r="C120" s="501" t="s">
        <v>983</v>
      </c>
      <c r="D120" s="501" t="s">
        <v>984</v>
      </c>
      <c r="E120" s="1451" t="s">
        <v>90</v>
      </c>
      <c r="F120" s="1078" t="s">
        <v>193</v>
      </c>
      <c r="G120" s="259"/>
      <c r="H120" s="260"/>
      <c r="I120" s="419"/>
      <c r="J120" s="419"/>
      <c r="K120" s="259"/>
      <c r="L120" s="259"/>
      <c r="M120" s="304"/>
      <c r="N120" s="308"/>
      <c r="O120" s="304"/>
      <c r="P120" s="1507">
        <f t="shared" si="5"/>
        <v>0</v>
      </c>
      <c r="Q120" s="1507"/>
      <c r="R120" s="985">
        <f>'Ab1. RMNCH+A'!Q323</f>
        <v>0</v>
      </c>
      <c r="S120" s="1508">
        <f>'Ab1. RMNCH+A'!R323</f>
        <v>0</v>
      </c>
    </row>
    <row r="121" spans="1:19" x14ac:dyDescent="0.2">
      <c r="A121" s="1366">
        <v>11</v>
      </c>
      <c r="B121" s="1397" t="s">
        <v>982</v>
      </c>
      <c r="C121" s="501" t="s">
        <v>986</v>
      </c>
      <c r="D121" s="501" t="s">
        <v>987</v>
      </c>
      <c r="E121" s="1451" t="s">
        <v>90</v>
      </c>
      <c r="F121" s="1078" t="s">
        <v>193</v>
      </c>
      <c r="G121" s="303"/>
      <c r="H121" s="303"/>
      <c r="I121" s="303"/>
      <c r="J121" s="2886"/>
      <c r="K121" s="303"/>
      <c r="L121" s="303"/>
      <c r="M121" s="304"/>
      <c r="N121" s="308"/>
      <c r="O121" s="304"/>
      <c r="P121" s="1507">
        <f t="shared" si="5"/>
        <v>0</v>
      </c>
      <c r="Q121" s="1507"/>
      <c r="R121" s="985">
        <f>'Ab1. RMNCH+A'!Q324</f>
        <v>0</v>
      </c>
      <c r="S121" s="1508">
        <f>'Ab1. RMNCH+A'!R324</f>
        <v>0</v>
      </c>
    </row>
    <row r="122" spans="1:19" x14ac:dyDescent="0.2">
      <c r="A122" s="1366">
        <v>12</v>
      </c>
      <c r="B122" s="1397" t="s">
        <v>985</v>
      </c>
      <c r="C122" s="501" t="s">
        <v>989</v>
      </c>
      <c r="D122" s="501" t="s">
        <v>990</v>
      </c>
      <c r="E122" s="1451" t="s">
        <v>90</v>
      </c>
      <c r="F122" s="1078" t="s">
        <v>193</v>
      </c>
      <c r="G122" s="303"/>
      <c r="H122" s="303"/>
      <c r="I122" s="303"/>
      <c r="J122" s="2886"/>
      <c r="K122" s="303"/>
      <c r="L122" s="303"/>
      <c r="M122" s="304"/>
      <c r="N122" s="308"/>
      <c r="O122" s="304"/>
      <c r="P122" s="1507">
        <f t="shared" si="5"/>
        <v>0</v>
      </c>
      <c r="Q122" s="1507"/>
      <c r="R122" s="985">
        <f>'Ab1. RMNCH+A'!Q325</f>
        <v>0</v>
      </c>
      <c r="S122" s="1508">
        <f>'Ab1. RMNCH+A'!R325</f>
        <v>0</v>
      </c>
    </row>
    <row r="123" spans="1:19" x14ac:dyDescent="0.2">
      <c r="A123" s="1366">
        <v>13</v>
      </c>
      <c r="B123" s="505" t="s">
        <v>988</v>
      </c>
      <c r="C123" s="505" t="s">
        <v>1007</v>
      </c>
      <c r="D123" s="505" t="s">
        <v>4150</v>
      </c>
      <c r="E123" s="1451"/>
      <c r="F123" s="1528"/>
      <c r="G123" s="427"/>
      <c r="H123" s="427"/>
      <c r="I123" s="428"/>
      <c r="J123" s="427"/>
      <c r="K123" s="427"/>
      <c r="L123" s="427"/>
      <c r="M123" s="427"/>
      <c r="N123" s="1529"/>
      <c r="O123" s="428"/>
      <c r="P123" s="1529">
        <f>SUM(P124:P126)</f>
        <v>0</v>
      </c>
      <c r="Q123" s="1529"/>
      <c r="R123" s="981"/>
      <c r="S123" s="1530">
        <f>SUM(S124:S126)</f>
        <v>0</v>
      </c>
    </row>
    <row r="124" spans="1:19" ht="30" x14ac:dyDescent="0.25">
      <c r="A124" s="1366" t="s">
        <v>4941</v>
      </c>
      <c r="B124" s="1397" t="s">
        <v>4332</v>
      </c>
      <c r="C124" s="501" t="s">
        <v>1008</v>
      </c>
      <c r="D124" s="1531" t="s">
        <v>3348</v>
      </c>
      <c r="E124" s="1451" t="s">
        <v>90</v>
      </c>
      <c r="F124" s="1130" t="s">
        <v>193</v>
      </c>
      <c r="G124" s="303"/>
      <c r="H124" s="303"/>
      <c r="I124" s="303"/>
      <c r="J124" s="2886"/>
      <c r="K124" s="303"/>
      <c r="L124" s="303"/>
      <c r="M124" s="304"/>
      <c r="N124" s="308"/>
      <c r="O124" s="304"/>
      <c r="P124" s="1507">
        <f>N124*O124</f>
        <v>0</v>
      </c>
      <c r="Q124" s="1507"/>
      <c r="R124" s="985">
        <f>'Ab1. RMNCH+A'!Q326</f>
        <v>0</v>
      </c>
      <c r="S124" s="1508">
        <f>'Ab1. RMNCH+A'!R326</f>
        <v>0</v>
      </c>
    </row>
    <row r="125" spans="1:19" x14ac:dyDescent="0.2">
      <c r="A125" s="1366" t="s">
        <v>4942</v>
      </c>
      <c r="B125" s="1397" t="s">
        <v>4333</v>
      </c>
      <c r="C125" s="501" t="s">
        <v>1009</v>
      </c>
      <c r="D125" s="501" t="s">
        <v>1010</v>
      </c>
      <c r="E125" s="1451" t="s">
        <v>90</v>
      </c>
      <c r="F125" s="1130" t="s">
        <v>193</v>
      </c>
      <c r="G125" s="259"/>
      <c r="H125" s="260"/>
      <c r="I125" s="419"/>
      <c r="J125" s="419"/>
      <c r="K125" s="259"/>
      <c r="L125" s="259"/>
      <c r="M125" s="304"/>
      <c r="N125" s="308"/>
      <c r="O125" s="304"/>
      <c r="P125" s="1507">
        <f>N125*O125</f>
        <v>0</v>
      </c>
      <c r="Q125" s="1507"/>
      <c r="R125" s="985">
        <f>'Ab1. RMNCH+A'!Q327</f>
        <v>0</v>
      </c>
      <c r="S125" s="1508">
        <f>'Ab1. RMNCH+A'!R327</f>
        <v>0</v>
      </c>
    </row>
    <row r="126" spans="1:19" x14ac:dyDescent="0.2">
      <c r="A126" s="1366" t="s">
        <v>4825</v>
      </c>
      <c r="B126" s="1397" t="s">
        <v>4334</v>
      </c>
      <c r="C126" s="568"/>
      <c r="D126" s="501" t="s">
        <v>1310</v>
      </c>
      <c r="E126" s="1451" t="s">
        <v>90</v>
      </c>
      <c r="F126" s="1130" t="s">
        <v>193</v>
      </c>
      <c r="G126" s="303"/>
      <c r="H126" s="303"/>
      <c r="I126" s="303"/>
      <c r="J126" s="2886"/>
      <c r="K126" s="303"/>
      <c r="L126" s="2886"/>
      <c r="M126" s="304"/>
      <c r="N126" s="308"/>
      <c r="O126" s="304"/>
      <c r="P126" s="1507">
        <f>N126*O126</f>
        <v>0</v>
      </c>
      <c r="Q126" s="1507"/>
      <c r="R126" s="985">
        <f>'Ab1. RMNCH+A'!Q328</f>
        <v>0</v>
      </c>
      <c r="S126" s="1508">
        <f>'Ab1. RMNCH+A'!R328</f>
        <v>0</v>
      </c>
    </row>
    <row r="127" spans="1:19" x14ac:dyDescent="0.2">
      <c r="A127" s="1366">
        <v>15</v>
      </c>
      <c r="B127" s="1397" t="s">
        <v>2858</v>
      </c>
      <c r="C127" s="501" t="s">
        <v>991</v>
      </c>
      <c r="D127" s="501" t="s">
        <v>2581</v>
      </c>
      <c r="E127" s="1451" t="s">
        <v>90</v>
      </c>
      <c r="F127" s="1078" t="s">
        <v>193</v>
      </c>
      <c r="G127" s="303"/>
      <c r="H127" s="303"/>
      <c r="I127" s="303"/>
      <c r="J127" s="2886"/>
      <c r="K127" s="303"/>
      <c r="L127" s="303"/>
      <c r="M127" s="304"/>
      <c r="N127" s="308"/>
      <c r="O127" s="304"/>
      <c r="P127" s="1507">
        <f>N127*O127</f>
        <v>0</v>
      </c>
      <c r="Q127" s="1507"/>
      <c r="R127" s="985">
        <f>'Ab1. RMNCH+A'!Q329</f>
        <v>0</v>
      </c>
      <c r="S127" s="1508">
        <f>'Ab1. RMNCH+A'!R329</f>
        <v>0</v>
      </c>
    </row>
    <row r="128" spans="1:19" s="1061" customFormat="1" x14ac:dyDescent="0.2">
      <c r="A128" s="1500" t="s">
        <v>4364</v>
      </c>
      <c r="B128" s="848" t="s">
        <v>992</v>
      </c>
      <c r="C128" s="1159"/>
      <c r="D128" s="1024" t="s">
        <v>2582</v>
      </c>
      <c r="E128" s="973"/>
      <c r="F128" s="973"/>
      <c r="G128" s="236"/>
      <c r="H128" s="236"/>
      <c r="I128" s="1520"/>
      <c r="J128" s="1520"/>
      <c r="K128" s="1520"/>
      <c r="L128" s="236"/>
      <c r="M128" s="236"/>
      <c r="N128" s="1519"/>
      <c r="O128" s="421"/>
      <c r="P128" s="1520">
        <f>SUM(P129:P133)</f>
        <v>0</v>
      </c>
      <c r="Q128" s="1520"/>
      <c r="R128" s="1115"/>
      <c r="S128" s="1521">
        <f>SUM(S129:S133)</f>
        <v>0</v>
      </c>
    </row>
    <row r="129" spans="1:19" ht="30" x14ac:dyDescent="0.2">
      <c r="A129" s="1366">
        <v>1</v>
      </c>
      <c r="B129" s="1397" t="s">
        <v>993</v>
      </c>
      <c r="C129" s="501" t="s">
        <v>994</v>
      </c>
      <c r="D129" s="501" t="s">
        <v>995</v>
      </c>
      <c r="E129" s="1451" t="s">
        <v>90</v>
      </c>
      <c r="F129" s="1078" t="s">
        <v>96</v>
      </c>
      <c r="G129" s="2609"/>
      <c r="H129" s="2550"/>
      <c r="I129" s="2482"/>
      <c r="J129" s="2550"/>
      <c r="K129" s="2550"/>
      <c r="L129" s="2550"/>
      <c r="M129" s="2550"/>
      <c r="N129" s="308"/>
      <c r="O129" s="2609"/>
      <c r="P129" s="1507">
        <f>N129*O129</f>
        <v>0</v>
      </c>
      <c r="Q129" s="1507"/>
      <c r="R129" s="985">
        <f>'Ab1. RMNCH+A'!Q365</f>
        <v>0</v>
      </c>
      <c r="S129" s="1508">
        <f>'Ab1. RMNCH+A'!R365</f>
        <v>0</v>
      </c>
    </row>
    <row r="130" spans="1:19" x14ac:dyDescent="0.2">
      <c r="A130" s="1366">
        <v>2</v>
      </c>
      <c r="B130" s="1397" t="s">
        <v>996</v>
      </c>
      <c r="C130" s="501" t="s">
        <v>997</v>
      </c>
      <c r="D130" s="501" t="s">
        <v>998</v>
      </c>
      <c r="E130" s="1451" t="s">
        <v>90</v>
      </c>
      <c r="F130" s="1078" t="s">
        <v>96</v>
      </c>
      <c r="G130" s="2609"/>
      <c r="H130" s="2550"/>
      <c r="I130" s="2482"/>
      <c r="J130" s="2550"/>
      <c r="K130" s="2550"/>
      <c r="L130" s="2550"/>
      <c r="M130" s="2550"/>
      <c r="N130" s="308"/>
      <c r="O130" s="2609"/>
      <c r="P130" s="1507">
        <f>N130*O130</f>
        <v>0</v>
      </c>
      <c r="Q130" s="1507"/>
      <c r="R130" s="985">
        <f>'Ab1. RMNCH+A'!Q366</f>
        <v>0</v>
      </c>
      <c r="S130" s="1508">
        <f>'Ab1. RMNCH+A'!R366</f>
        <v>0</v>
      </c>
    </row>
    <row r="131" spans="1:19" ht="30" x14ac:dyDescent="0.2">
      <c r="A131" s="1366">
        <v>3</v>
      </c>
      <c r="B131" s="1397" t="s">
        <v>999</v>
      </c>
      <c r="C131" s="501" t="s">
        <v>1000</v>
      </c>
      <c r="D131" s="501" t="s">
        <v>1001</v>
      </c>
      <c r="E131" s="1451" t="s">
        <v>90</v>
      </c>
      <c r="F131" s="1078" t="s">
        <v>96</v>
      </c>
      <c r="G131" s="2609"/>
      <c r="H131" s="2610"/>
      <c r="I131" s="2611"/>
      <c r="J131" s="2611"/>
      <c r="K131" s="2612"/>
      <c r="L131" s="2550"/>
      <c r="M131" s="2613"/>
      <c r="N131" s="308"/>
      <c r="O131" s="304"/>
      <c r="P131" s="1507">
        <f>N131*O131</f>
        <v>0</v>
      </c>
      <c r="Q131" s="1507"/>
      <c r="R131" s="3443">
        <f>'Ab1. RMNCH+A'!Q367</f>
        <v>0</v>
      </c>
      <c r="S131" s="3617">
        <v>0</v>
      </c>
    </row>
    <row r="132" spans="1:19" ht="30" x14ac:dyDescent="0.2">
      <c r="A132" s="1366">
        <v>4</v>
      </c>
      <c r="B132" s="1397" t="s">
        <v>1002</v>
      </c>
      <c r="C132" s="501" t="s">
        <v>1003</v>
      </c>
      <c r="D132" s="501" t="s">
        <v>1004</v>
      </c>
      <c r="E132" s="1451" t="s">
        <v>90</v>
      </c>
      <c r="F132" s="1078" t="s">
        <v>96</v>
      </c>
      <c r="G132" s="2609"/>
      <c r="H132" s="2619"/>
      <c r="I132" s="2619"/>
      <c r="J132" s="2619"/>
      <c r="K132" s="2619"/>
      <c r="L132" s="2619"/>
      <c r="M132" s="2619"/>
      <c r="N132" s="308"/>
      <c r="O132" s="304"/>
      <c r="P132" s="1507">
        <f>N132*O132</f>
        <v>0</v>
      </c>
      <c r="Q132" s="1507"/>
      <c r="R132" s="985">
        <f>'Ab1. RMNCH+A'!Q368</f>
        <v>0</v>
      </c>
      <c r="S132" s="1508">
        <f>'Ab1. RMNCH+A'!R368</f>
        <v>0</v>
      </c>
    </row>
    <row r="133" spans="1:19" x14ac:dyDescent="0.2">
      <c r="A133" s="1366">
        <v>5</v>
      </c>
      <c r="B133" s="1397" t="s">
        <v>2583</v>
      </c>
      <c r="C133" s="568"/>
      <c r="D133" s="501" t="s">
        <v>2584</v>
      </c>
      <c r="E133" s="1451" t="s">
        <v>90</v>
      </c>
      <c r="F133" s="1078" t="s">
        <v>96</v>
      </c>
      <c r="G133" s="2609"/>
      <c r="H133" s="2619"/>
      <c r="I133" s="2619"/>
      <c r="J133" s="2619"/>
      <c r="K133" s="2619"/>
      <c r="L133" s="2619"/>
      <c r="M133" s="2619"/>
      <c r="N133" s="308"/>
      <c r="O133" s="304"/>
      <c r="P133" s="1507">
        <f>N133*O133</f>
        <v>0</v>
      </c>
      <c r="Q133" s="1507"/>
      <c r="R133" s="985">
        <f>'Ab1. RMNCH+A'!Q369</f>
        <v>0</v>
      </c>
      <c r="S133" s="1508">
        <f>'Ab1. RMNCH+A'!R369</f>
        <v>0</v>
      </c>
    </row>
    <row r="134" spans="1:19" x14ac:dyDescent="0.2">
      <c r="A134" s="1500" t="s">
        <v>4673</v>
      </c>
      <c r="B134" s="848" t="s">
        <v>1130</v>
      </c>
      <c r="C134" s="1159"/>
      <c r="D134" s="1024" t="s">
        <v>1131</v>
      </c>
      <c r="E134" s="973"/>
      <c r="F134" s="973"/>
      <c r="G134" s="236"/>
      <c r="H134" s="236"/>
      <c r="I134" s="1520"/>
      <c r="J134" s="1520"/>
      <c r="K134" s="1520"/>
      <c r="L134" s="236"/>
      <c r="M134" s="236"/>
      <c r="N134" s="1519"/>
      <c r="O134" s="421"/>
      <c r="P134" s="1520">
        <f>SUM(P135:P138)</f>
        <v>0</v>
      </c>
      <c r="Q134" s="1520"/>
      <c r="R134" s="1115"/>
      <c r="S134" s="1225">
        <f>SUM(S135:S138)</f>
        <v>0</v>
      </c>
    </row>
    <row r="135" spans="1:19" ht="30" x14ac:dyDescent="0.25">
      <c r="A135" s="1366">
        <v>1</v>
      </c>
      <c r="B135" s="1526" t="s">
        <v>1132</v>
      </c>
      <c r="C135" s="501" t="s">
        <v>1133</v>
      </c>
      <c r="D135" s="1532" t="s">
        <v>3349</v>
      </c>
      <c r="E135" s="1533" t="s">
        <v>90</v>
      </c>
      <c r="F135" s="1534" t="s">
        <v>1134</v>
      </c>
      <c r="G135" s="303"/>
      <c r="H135" s="303"/>
      <c r="I135" s="303"/>
      <c r="J135" s="2886"/>
      <c r="K135" s="303"/>
      <c r="L135" s="303"/>
      <c r="M135" s="304"/>
      <c r="N135" s="308"/>
      <c r="O135" s="304"/>
      <c r="P135" s="1507">
        <f>N135*O135</f>
        <v>0</v>
      </c>
      <c r="Q135" s="1507"/>
      <c r="R135" s="985">
        <f>'Ab1. RMNCH+A'!Q379</f>
        <v>0</v>
      </c>
      <c r="S135" s="1508">
        <f>'Ab1. RMNCH+A'!R379</f>
        <v>0</v>
      </c>
    </row>
    <row r="136" spans="1:19" ht="30" x14ac:dyDescent="0.2">
      <c r="A136" s="1366">
        <v>2</v>
      </c>
      <c r="B136" s="1526" t="s">
        <v>2380</v>
      </c>
      <c r="C136" s="568"/>
      <c r="D136" s="870" t="s">
        <v>3350</v>
      </c>
      <c r="E136" s="1533" t="s">
        <v>90</v>
      </c>
      <c r="F136" s="1534" t="s">
        <v>1134</v>
      </c>
      <c r="G136" s="303"/>
      <c r="H136" s="303"/>
      <c r="I136" s="2619"/>
      <c r="J136" s="2619"/>
      <c r="K136" s="303"/>
      <c r="L136" s="2619"/>
      <c r="M136" s="2619"/>
      <c r="N136" s="308"/>
      <c r="O136" s="304"/>
      <c r="P136" s="1507">
        <f>N136*O136</f>
        <v>0</v>
      </c>
      <c r="Q136" s="1507"/>
      <c r="R136" s="985">
        <f>'Ab1. RMNCH+A'!Q380</f>
        <v>0</v>
      </c>
      <c r="S136" s="1508">
        <f>'Ab1. RMNCH+A'!R380</f>
        <v>0</v>
      </c>
    </row>
    <row r="137" spans="1:19" x14ac:dyDescent="0.2">
      <c r="A137" s="1366">
        <v>3</v>
      </c>
      <c r="B137" s="1526" t="s">
        <v>3359</v>
      </c>
      <c r="C137" s="568"/>
      <c r="D137" s="870" t="s">
        <v>3351</v>
      </c>
      <c r="E137" s="1533" t="s">
        <v>90</v>
      </c>
      <c r="F137" s="1534" t="s">
        <v>1134</v>
      </c>
      <c r="G137" s="303"/>
      <c r="H137" s="303"/>
      <c r="I137" s="303"/>
      <c r="J137" s="2886"/>
      <c r="K137" s="303"/>
      <c r="L137" s="2619"/>
      <c r="M137" s="2619"/>
      <c r="N137" s="308"/>
      <c r="O137" s="304"/>
      <c r="P137" s="1507">
        <f>N137*O137</f>
        <v>0</v>
      </c>
      <c r="Q137" s="1507"/>
      <c r="R137" s="985">
        <f>'Ab1. RMNCH+A'!Q381</f>
        <v>0</v>
      </c>
      <c r="S137" s="1508">
        <f>'Ab1. RMNCH+A'!R381</f>
        <v>0</v>
      </c>
    </row>
    <row r="138" spans="1:19" x14ac:dyDescent="0.2">
      <c r="A138" s="1366">
        <v>4</v>
      </c>
      <c r="B138" s="1526" t="s">
        <v>3360</v>
      </c>
      <c r="C138" s="1526" t="s">
        <v>2380</v>
      </c>
      <c r="D138" s="1535" t="s">
        <v>1310</v>
      </c>
      <c r="E138" s="1536" t="s">
        <v>90</v>
      </c>
      <c r="F138" s="1537" t="s">
        <v>1134</v>
      </c>
      <c r="G138" s="303"/>
      <c r="H138" s="303"/>
      <c r="I138" s="303"/>
      <c r="J138" s="2886"/>
      <c r="K138" s="303"/>
      <c r="L138" s="303"/>
      <c r="M138" s="304"/>
      <c r="N138" s="308"/>
      <c r="O138" s="304"/>
      <c r="P138" s="1507">
        <f>N138*O138</f>
        <v>0</v>
      </c>
      <c r="Q138" s="1507"/>
      <c r="R138" s="985">
        <f>'Ab1. RMNCH+A'!Q382</f>
        <v>0</v>
      </c>
      <c r="S138" s="1508">
        <f>'Ab1. RMNCH+A'!R382</f>
        <v>0</v>
      </c>
    </row>
    <row r="139" spans="1:19" x14ac:dyDescent="0.2">
      <c r="A139" s="1500" t="s">
        <v>4674</v>
      </c>
      <c r="B139" s="848" t="s">
        <v>1035</v>
      </c>
      <c r="C139" s="1159"/>
      <c r="D139" s="1024" t="s">
        <v>1036</v>
      </c>
      <c r="E139" s="973"/>
      <c r="F139" s="973"/>
      <c r="G139" s="236"/>
      <c r="H139" s="236"/>
      <c r="I139" s="1520"/>
      <c r="J139" s="1520"/>
      <c r="K139" s="1520"/>
      <c r="L139" s="236"/>
      <c r="M139" s="236"/>
      <c r="N139" s="1519"/>
      <c r="O139" s="421"/>
      <c r="P139" s="1520">
        <f>SUM(P140:P141)</f>
        <v>0</v>
      </c>
      <c r="Q139" s="1520"/>
      <c r="R139" s="1115"/>
      <c r="S139" s="1225">
        <f>SUM(S140:S141)</f>
        <v>0</v>
      </c>
    </row>
    <row r="140" spans="1:19" x14ac:dyDescent="0.2">
      <c r="A140" s="1366">
        <v>1</v>
      </c>
      <c r="B140" s="501" t="s">
        <v>1037</v>
      </c>
      <c r="C140" s="501" t="s">
        <v>1038</v>
      </c>
      <c r="D140" s="501" t="s">
        <v>1039</v>
      </c>
      <c r="E140" s="1451" t="s">
        <v>90</v>
      </c>
      <c r="F140" s="1078" t="s">
        <v>205</v>
      </c>
      <c r="G140" s="2609"/>
      <c r="H140" s="2619"/>
      <c r="I140" s="2624"/>
      <c r="J140" s="2624"/>
      <c r="K140" s="2613"/>
      <c r="L140" s="2550"/>
      <c r="M140" s="2613"/>
      <c r="N140" s="308"/>
      <c r="O140" s="2609"/>
      <c r="P140" s="1507">
        <f>N140*O140</f>
        <v>0</v>
      </c>
      <c r="Q140" s="1507"/>
      <c r="R140" s="985">
        <f>'Ab1. RMNCH+A'!Q415</f>
        <v>0</v>
      </c>
      <c r="S140" s="1508">
        <f>'Ab1. RMNCH+A'!R415</f>
        <v>0</v>
      </c>
    </row>
    <row r="141" spans="1:19" x14ac:dyDescent="0.2">
      <c r="A141" s="1366">
        <v>2</v>
      </c>
      <c r="B141" s="501" t="s">
        <v>2590</v>
      </c>
      <c r="C141" s="568"/>
      <c r="D141" s="501" t="s">
        <v>1310</v>
      </c>
      <c r="E141" s="1451" t="s">
        <v>90</v>
      </c>
      <c r="F141" s="1078" t="s">
        <v>205</v>
      </c>
      <c r="G141" s="2609"/>
      <c r="H141" s="2619"/>
      <c r="I141" s="2619"/>
      <c r="J141" s="2619"/>
      <c r="K141" s="2619"/>
      <c r="L141" s="2550"/>
      <c r="M141" s="2619"/>
      <c r="N141" s="308"/>
      <c r="O141" s="2609"/>
      <c r="P141" s="1507">
        <f>N141*O141</f>
        <v>0</v>
      </c>
      <c r="Q141" s="1507"/>
      <c r="R141" s="985">
        <f>'Ab1. RMNCH+A'!Q416</f>
        <v>0</v>
      </c>
      <c r="S141" s="1508">
        <f>'Ab1. RMNCH+A'!R416</f>
        <v>0</v>
      </c>
    </row>
    <row r="142" spans="1:19" x14ac:dyDescent="0.2">
      <c r="A142" s="1523" t="s">
        <v>4675</v>
      </c>
      <c r="B142" s="1538"/>
      <c r="C142" s="1538"/>
      <c r="D142" s="1538" t="s">
        <v>5057</v>
      </c>
      <c r="E142" s="928"/>
      <c r="F142" s="928"/>
      <c r="G142" s="431"/>
      <c r="H142" s="431"/>
      <c r="I142" s="1540"/>
      <c r="J142" s="1540"/>
      <c r="K142" s="1540"/>
      <c r="L142" s="431"/>
      <c r="M142" s="431"/>
      <c r="N142" s="1539"/>
      <c r="O142" s="444"/>
      <c r="P142" s="1540">
        <f>SUM(P143:P144)</f>
        <v>0</v>
      </c>
      <c r="Q142" s="1540"/>
      <c r="R142" s="974"/>
      <c r="S142" s="1225">
        <f>SUM(S143:S144)</f>
        <v>0</v>
      </c>
    </row>
    <row r="143" spans="1:19" ht="45" x14ac:dyDescent="0.2">
      <c r="A143" s="1366">
        <v>1</v>
      </c>
      <c r="B143" s="1541" t="s">
        <v>3366</v>
      </c>
      <c r="C143" s="568"/>
      <c r="D143" s="1541" t="s">
        <v>4117</v>
      </c>
      <c r="E143" s="1533" t="s">
        <v>90</v>
      </c>
      <c r="F143" s="1542" t="s">
        <v>90</v>
      </c>
      <c r="G143" s="303"/>
      <c r="H143" s="303"/>
      <c r="I143" s="303"/>
      <c r="J143" s="2886"/>
      <c r="K143" s="303"/>
      <c r="L143" s="303"/>
      <c r="M143" s="304"/>
      <c r="N143" s="308"/>
      <c r="O143" s="304"/>
      <c r="P143" s="1507">
        <f>N143*O143</f>
        <v>0</v>
      </c>
      <c r="Q143" s="1507"/>
      <c r="R143" s="985">
        <f>'Ab1. RMNCH+A'!Q441</f>
        <v>0</v>
      </c>
      <c r="S143" s="1508">
        <f>'Ab1. RMNCH+A'!R441</f>
        <v>0</v>
      </c>
    </row>
    <row r="144" spans="1:19" ht="30.6" customHeight="1" x14ac:dyDescent="0.2">
      <c r="A144" s="1368">
        <v>2</v>
      </c>
      <c r="B144" s="568" t="s">
        <v>4552</v>
      </c>
      <c r="C144" s="474"/>
      <c r="D144" s="1543" t="s">
        <v>1310</v>
      </c>
      <c r="E144" s="1533" t="s">
        <v>90</v>
      </c>
      <c r="F144" s="1542" t="s">
        <v>90</v>
      </c>
      <c r="G144" s="2547"/>
      <c r="H144" s="2545"/>
      <c r="I144" s="2648"/>
      <c r="J144" s="2545"/>
      <c r="K144" s="2545"/>
      <c r="L144" s="2545"/>
      <c r="M144" s="2549"/>
      <c r="N144" s="308"/>
      <c r="O144" s="304"/>
      <c r="P144" s="1516">
        <f>N144*O144</f>
        <v>0</v>
      </c>
      <c r="Q144" s="1516"/>
      <c r="R144" s="3443">
        <f>'Ab1. RMNCH+A'!Q442</f>
        <v>0</v>
      </c>
      <c r="S144" s="3617">
        <v>0</v>
      </c>
    </row>
    <row r="145" spans="1:19" s="1061" customFormat="1" x14ac:dyDescent="0.2">
      <c r="A145" s="1500"/>
      <c r="B145" s="3947" t="s">
        <v>5047</v>
      </c>
      <c r="C145" s="3948"/>
      <c r="D145" s="3949"/>
      <c r="E145" s="1120"/>
      <c r="F145" s="1120"/>
      <c r="G145" s="331"/>
      <c r="H145" s="331"/>
      <c r="I145" s="331"/>
      <c r="J145" s="331"/>
      <c r="K145" s="331"/>
      <c r="L145" s="331"/>
      <c r="M145" s="331"/>
      <c r="N145" s="1517"/>
      <c r="O145" s="602"/>
      <c r="P145" s="1517"/>
      <c r="Q145" s="1517"/>
      <c r="R145" s="1125"/>
      <c r="S145" s="1518"/>
    </row>
    <row r="146" spans="1:19" x14ac:dyDescent="0.2">
      <c r="A146" s="1500" t="s">
        <v>4358</v>
      </c>
      <c r="B146" s="848" t="s">
        <v>1011</v>
      </c>
      <c r="C146" s="1159"/>
      <c r="D146" s="1024" t="s">
        <v>2585</v>
      </c>
      <c r="E146" s="916"/>
      <c r="F146" s="916"/>
      <c r="G146" s="105"/>
      <c r="H146" s="105"/>
      <c r="I146" s="1546"/>
      <c r="J146" s="1546"/>
      <c r="K146" s="1546"/>
      <c r="L146" s="105"/>
      <c r="M146" s="105"/>
      <c r="N146" s="1545"/>
      <c r="O146" s="429"/>
      <c r="P146" s="1546">
        <f>SUM(P147:P149)</f>
        <v>0</v>
      </c>
      <c r="Q146" s="1546"/>
      <c r="R146" s="1115"/>
      <c r="S146" s="1521">
        <f>SUM(S147:S149)</f>
        <v>0</v>
      </c>
    </row>
    <row r="147" spans="1:19" x14ac:dyDescent="0.2">
      <c r="A147" s="1366">
        <v>1</v>
      </c>
      <c r="B147" s="1397" t="s">
        <v>1012</v>
      </c>
      <c r="C147" s="501" t="s">
        <v>815</v>
      </c>
      <c r="D147" s="501" t="s">
        <v>816</v>
      </c>
      <c r="E147" s="886" t="s">
        <v>70</v>
      </c>
      <c r="F147" s="1078" t="s">
        <v>2091</v>
      </c>
      <c r="G147" s="2609"/>
      <c r="H147" s="2610"/>
      <c r="I147" s="2628"/>
      <c r="J147" s="351"/>
      <c r="K147" s="259"/>
      <c r="L147" s="259"/>
      <c r="M147" s="304"/>
      <c r="N147" s="308"/>
      <c r="O147" s="304"/>
      <c r="P147" s="1507">
        <f>N147*O147</f>
        <v>0</v>
      </c>
      <c r="Q147" s="1507"/>
      <c r="R147" s="985">
        <f>'Abs5. Blood services &amp; Disorder'!Q20</f>
        <v>0</v>
      </c>
      <c r="S147" s="1547">
        <f>'Abs5. Blood services &amp; Disorder'!R20</f>
        <v>0</v>
      </c>
    </row>
    <row r="148" spans="1:19" x14ac:dyDescent="0.2">
      <c r="A148" s="1366">
        <v>2</v>
      </c>
      <c r="B148" s="1397" t="s">
        <v>2102</v>
      </c>
      <c r="C148" s="501" t="s">
        <v>815</v>
      </c>
      <c r="D148" s="501" t="s">
        <v>2374</v>
      </c>
      <c r="E148" s="886" t="s">
        <v>70</v>
      </c>
      <c r="F148" s="1078" t="s">
        <v>2091</v>
      </c>
      <c r="G148" s="303"/>
      <c r="H148" s="303"/>
      <c r="I148" s="303"/>
      <c r="J148" s="2886"/>
      <c r="K148" s="303"/>
      <c r="L148" s="303"/>
      <c r="M148" s="304"/>
      <c r="N148" s="308"/>
      <c r="O148" s="304"/>
      <c r="P148" s="1507">
        <f>N148*O148</f>
        <v>0</v>
      </c>
      <c r="Q148" s="1507"/>
      <c r="R148" s="985">
        <f>'Abs5. Blood services &amp; Disorder'!Q21</f>
        <v>0</v>
      </c>
      <c r="S148" s="1547">
        <f>'Abs5. Blood services &amp; Disorder'!R21</f>
        <v>0</v>
      </c>
    </row>
    <row r="149" spans="1:19" ht="30" x14ac:dyDescent="0.2">
      <c r="A149" s="1366">
        <v>3</v>
      </c>
      <c r="B149" s="1397" t="s">
        <v>2586</v>
      </c>
      <c r="C149" s="568"/>
      <c r="D149" s="501" t="s">
        <v>4380</v>
      </c>
      <c r="E149" s="886" t="s">
        <v>70</v>
      </c>
      <c r="F149" s="1078" t="s">
        <v>2091</v>
      </c>
      <c r="G149" s="303"/>
      <c r="H149" s="303"/>
      <c r="I149" s="303"/>
      <c r="J149" s="2886"/>
      <c r="K149" s="303"/>
      <c r="L149" s="303"/>
      <c r="M149" s="304"/>
      <c r="N149" s="308"/>
      <c r="O149" s="304"/>
      <c r="P149" s="1507">
        <f>N149*O149</f>
        <v>0</v>
      </c>
      <c r="Q149" s="1507"/>
      <c r="R149" s="985">
        <f>'Abs5. Blood services &amp; Disorder'!Q22</f>
        <v>0</v>
      </c>
      <c r="S149" s="1547">
        <f>'Abs5. Blood services &amp; Disorder'!R22</f>
        <v>0</v>
      </c>
    </row>
    <row r="150" spans="1:19" x14ac:dyDescent="0.2">
      <c r="A150" s="1500" t="s">
        <v>4359</v>
      </c>
      <c r="B150" s="848" t="s">
        <v>1120</v>
      </c>
      <c r="C150" s="1159"/>
      <c r="D150" s="1024" t="s">
        <v>1121</v>
      </c>
      <c r="E150" s="973"/>
      <c r="F150" s="973"/>
      <c r="G150" s="236"/>
      <c r="H150" s="236"/>
      <c r="I150" s="1520"/>
      <c r="J150" s="1520"/>
      <c r="K150" s="1520"/>
      <c r="L150" s="236"/>
      <c r="M150" s="236"/>
      <c r="N150" s="1519"/>
      <c r="O150" s="421"/>
      <c r="P150" s="1520">
        <f>P151+P155+P159</f>
        <v>0</v>
      </c>
      <c r="Q150" s="1520"/>
      <c r="R150" s="1115"/>
      <c r="S150" s="1521">
        <f>S151+S155+S159</f>
        <v>0</v>
      </c>
    </row>
    <row r="151" spans="1:19" s="1061" customFormat="1" x14ac:dyDescent="0.2">
      <c r="A151" s="1061">
        <v>1</v>
      </c>
      <c r="B151" s="1417" t="s">
        <v>1122</v>
      </c>
      <c r="C151" s="1417" t="s">
        <v>1123</v>
      </c>
      <c r="D151" s="1417" t="s">
        <v>1124</v>
      </c>
      <c r="E151" s="1418"/>
      <c r="F151" s="1418"/>
      <c r="G151" s="125"/>
      <c r="H151" s="125"/>
      <c r="I151" s="125"/>
      <c r="J151" s="125"/>
      <c r="K151" s="125"/>
      <c r="L151" s="125"/>
      <c r="M151" s="125"/>
      <c r="N151" s="1548"/>
      <c r="O151" s="430"/>
      <c r="P151" s="1549">
        <f>SUM(P152:P154)</f>
        <v>0</v>
      </c>
      <c r="Q151" s="1549"/>
      <c r="R151" s="1322"/>
      <c r="S151" s="1235">
        <f>SUM(S152:S154)</f>
        <v>0</v>
      </c>
    </row>
    <row r="152" spans="1:19" x14ac:dyDescent="0.2">
      <c r="A152" s="1366" t="s">
        <v>4941</v>
      </c>
      <c r="B152" s="1397" t="s">
        <v>4335</v>
      </c>
      <c r="C152" s="568"/>
      <c r="D152" s="501" t="s">
        <v>2911</v>
      </c>
      <c r="E152" s="886" t="s">
        <v>70</v>
      </c>
      <c r="F152" s="1078" t="s">
        <v>3966</v>
      </c>
      <c r="G152" s="303"/>
      <c r="H152" s="303"/>
      <c r="I152" s="303"/>
      <c r="J152" s="2886"/>
      <c r="K152" s="303"/>
      <c r="L152" s="303"/>
      <c r="M152" s="304"/>
      <c r="N152" s="308"/>
      <c r="O152" s="304"/>
      <c r="P152" s="1507">
        <f>N152*O152</f>
        <v>0</v>
      </c>
      <c r="Q152" s="1507"/>
      <c r="R152" s="987"/>
      <c r="S152" s="1254"/>
    </row>
    <row r="153" spans="1:19" x14ac:dyDescent="0.2">
      <c r="A153" s="1366" t="s">
        <v>4942</v>
      </c>
      <c r="B153" s="1397" t="s">
        <v>4336</v>
      </c>
      <c r="C153" s="568"/>
      <c r="D153" s="501" t="s">
        <v>2912</v>
      </c>
      <c r="E153" s="886" t="s">
        <v>70</v>
      </c>
      <c r="F153" s="1078" t="s">
        <v>3964</v>
      </c>
      <c r="G153" s="303"/>
      <c r="H153" s="303"/>
      <c r="I153" s="303"/>
      <c r="J153" s="2886"/>
      <c r="K153" s="303"/>
      <c r="L153" s="303"/>
      <c r="M153" s="304"/>
      <c r="N153" s="308"/>
      <c r="O153" s="304"/>
      <c r="P153" s="1507">
        <f>N153*O153</f>
        <v>0</v>
      </c>
      <c r="Q153" s="1507"/>
      <c r="R153" s="987"/>
      <c r="S153" s="1254"/>
    </row>
    <row r="154" spans="1:19" x14ac:dyDescent="0.2">
      <c r="A154" s="1366" t="s">
        <v>4825</v>
      </c>
      <c r="B154" s="1397" t="s">
        <v>4337</v>
      </c>
      <c r="C154" s="568"/>
      <c r="D154" s="409" t="s">
        <v>1310</v>
      </c>
      <c r="E154" s="886" t="s">
        <v>70</v>
      </c>
      <c r="F154" s="1078" t="s">
        <v>70</v>
      </c>
      <c r="G154" s="303"/>
      <c r="H154" s="303"/>
      <c r="I154" s="303"/>
      <c r="J154" s="2886"/>
      <c r="K154" s="303"/>
      <c r="L154" s="303"/>
      <c r="M154" s="304"/>
      <c r="N154" s="308"/>
      <c r="O154" s="304"/>
      <c r="P154" s="1507">
        <f>N154*O154</f>
        <v>0</v>
      </c>
      <c r="Q154" s="1507"/>
      <c r="R154" s="987"/>
      <c r="S154" s="1254"/>
    </row>
    <row r="155" spans="1:19" s="1061" customFormat="1" x14ac:dyDescent="0.2">
      <c r="A155" s="1061">
        <v>2</v>
      </c>
      <c r="B155" s="1417" t="s">
        <v>1125</v>
      </c>
      <c r="C155" s="1417" t="s">
        <v>1126</v>
      </c>
      <c r="D155" s="1417" t="s">
        <v>1127</v>
      </c>
      <c r="E155" s="1418"/>
      <c r="F155" s="1418"/>
      <c r="G155" s="125"/>
      <c r="H155" s="125"/>
      <c r="I155" s="1549"/>
      <c r="J155" s="1549"/>
      <c r="K155" s="1549"/>
      <c r="L155" s="125"/>
      <c r="M155" s="125"/>
      <c r="N155" s="1548"/>
      <c r="O155" s="430"/>
      <c r="P155" s="1549">
        <f>SUM(P156:P158)</f>
        <v>0</v>
      </c>
      <c r="Q155" s="1549"/>
      <c r="R155" s="1322"/>
      <c r="S155" s="1235">
        <f>SUM(S156:S158)</f>
        <v>0</v>
      </c>
    </row>
    <row r="156" spans="1:19" x14ac:dyDescent="0.2">
      <c r="A156" s="1366" t="s">
        <v>4941</v>
      </c>
      <c r="B156" s="1397" t="s">
        <v>4338</v>
      </c>
      <c r="C156" s="568"/>
      <c r="D156" s="501" t="s">
        <v>2911</v>
      </c>
      <c r="E156" s="886" t="s">
        <v>70</v>
      </c>
      <c r="F156" s="1078" t="s">
        <v>3966</v>
      </c>
      <c r="G156" s="2609"/>
      <c r="H156" s="2619"/>
      <c r="I156" s="2619"/>
      <c r="J156" s="2619"/>
      <c r="K156" s="2619"/>
      <c r="L156" s="2619"/>
      <c r="M156" s="2619"/>
      <c r="N156" s="308"/>
      <c r="O156" s="304"/>
      <c r="P156" s="1507">
        <f>N156*O156</f>
        <v>0</v>
      </c>
      <c r="Q156" s="1507"/>
      <c r="R156" s="3451"/>
      <c r="S156" s="1254"/>
    </row>
    <row r="157" spans="1:19" x14ac:dyDescent="0.2">
      <c r="A157" s="1366" t="s">
        <v>4942</v>
      </c>
      <c r="B157" s="1397" t="s">
        <v>4339</v>
      </c>
      <c r="C157" s="568"/>
      <c r="D157" s="501" t="s">
        <v>2912</v>
      </c>
      <c r="E157" s="886" t="s">
        <v>70</v>
      </c>
      <c r="F157" s="1078" t="s">
        <v>3964</v>
      </c>
      <c r="G157" s="2609"/>
      <c r="H157" s="2619"/>
      <c r="I157" s="2619"/>
      <c r="J157" s="2619"/>
      <c r="K157" s="2619"/>
      <c r="L157" s="2619"/>
      <c r="M157" s="2619"/>
      <c r="N157" s="308"/>
      <c r="O157" s="304"/>
      <c r="P157" s="1507">
        <f>N157*O157</f>
        <v>0</v>
      </c>
      <c r="Q157" s="1507"/>
      <c r="R157" s="3451"/>
      <c r="S157" s="1254"/>
    </row>
    <row r="158" spans="1:19" x14ac:dyDescent="0.2">
      <c r="A158" s="1366" t="s">
        <v>4825</v>
      </c>
      <c r="B158" s="1397" t="s">
        <v>4340</v>
      </c>
      <c r="C158" s="568"/>
      <c r="D158" s="409" t="s">
        <v>1310</v>
      </c>
      <c r="E158" s="886" t="s">
        <v>70</v>
      </c>
      <c r="F158" s="1078" t="s">
        <v>70</v>
      </c>
      <c r="G158" s="2609"/>
      <c r="H158" s="2550"/>
      <c r="I158" s="2482"/>
      <c r="J158" s="2550"/>
      <c r="K158" s="2550"/>
      <c r="L158" s="2550"/>
      <c r="M158" s="2550"/>
      <c r="N158" s="308"/>
      <c r="O158" s="304"/>
      <c r="P158" s="1507">
        <f>N158*O158</f>
        <v>0</v>
      </c>
      <c r="Q158" s="1507"/>
      <c r="R158" s="3451"/>
      <c r="S158" s="1254"/>
    </row>
    <row r="159" spans="1:19" s="1061" customFormat="1" x14ac:dyDescent="0.2">
      <c r="A159" s="1061">
        <v>3</v>
      </c>
      <c r="B159" s="1417" t="s">
        <v>2606</v>
      </c>
      <c r="C159" s="1417" t="s">
        <v>1128</v>
      </c>
      <c r="D159" s="1417" t="s">
        <v>1129</v>
      </c>
      <c r="E159" s="1418"/>
      <c r="F159" s="1418"/>
      <c r="G159" s="125"/>
      <c r="H159" s="125"/>
      <c r="I159" s="1549"/>
      <c r="J159" s="1549"/>
      <c r="K159" s="1549"/>
      <c r="L159" s="125"/>
      <c r="M159" s="125"/>
      <c r="N159" s="1548"/>
      <c r="O159" s="430"/>
      <c r="P159" s="1549">
        <f>SUM(P160:P162)</f>
        <v>0</v>
      </c>
      <c r="Q159" s="1549"/>
      <c r="R159" s="1322"/>
      <c r="S159" s="1235">
        <f>SUM(S160:S162)</f>
        <v>0</v>
      </c>
    </row>
    <row r="160" spans="1:19" x14ac:dyDescent="0.2">
      <c r="A160" s="1366" t="s">
        <v>4941</v>
      </c>
      <c r="B160" s="1397" t="s">
        <v>4341</v>
      </c>
      <c r="C160" s="568"/>
      <c r="D160" s="501" t="s">
        <v>2911</v>
      </c>
      <c r="E160" s="886" t="s">
        <v>70</v>
      </c>
      <c r="F160" s="1078" t="s">
        <v>3966</v>
      </c>
      <c r="G160" s="303"/>
      <c r="H160" s="303"/>
      <c r="I160" s="303"/>
      <c r="J160" s="2886"/>
      <c r="K160" s="303"/>
      <c r="L160" s="303"/>
      <c r="M160" s="304"/>
      <c r="N160" s="308"/>
      <c r="O160" s="304"/>
      <c r="P160" s="1507">
        <f>N160*O160</f>
        <v>0</v>
      </c>
      <c r="Q160" s="1507"/>
      <c r="R160" s="987"/>
      <c r="S160" s="1254"/>
    </row>
    <row r="161" spans="1:19" x14ac:dyDescent="0.2">
      <c r="A161" s="1366" t="s">
        <v>4942</v>
      </c>
      <c r="B161" s="1397" t="s">
        <v>4342</v>
      </c>
      <c r="C161" s="568"/>
      <c r="D161" s="501" t="s">
        <v>2912</v>
      </c>
      <c r="E161" s="886" t="s">
        <v>70</v>
      </c>
      <c r="F161" s="1078" t="s">
        <v>3964</v>
      </c>
      <c r="G161" s="303"/>
      <c r="H161" s="303"/>
      <c r="I161" s="303"/>
      <c r="J161" s="2886"/>
      <c r="K161" s="303"/>
      <c r="L161" s="303"/>
      <c r="M161" s="304"/>
      <c r="N161" s="308"/>
      <c r="O161" s="304"/>
      <c r="P161" s="1507">
        <f>N161*O161</f>
        <v>0</v>
      </c>
      <c r="Q161" s="1507"/>
      <c r="R161" s="987"/>
      <c r="S161" s="1254"/>
    </row>
    <row r="162" spans="1:19" x14ac:dyDescent="0.2">
      <c r="A162" s="1366" t="s">
        <v>4825</v>
      </c>
      <c r="B162" s="1397" t="s">
        <v>4343</v>
      </c>
      <c r="C162" s="568"/>
      <c r="D162" s="409" t="s">
        <v>1310</v>
      </c>
      <c r="E162" s="886" t="s">
        <v>70</v>
      </c>
      <c r="F162" s="1078" t="s">
        <v>70</v>
      </c>
      <c r="G162" s="303"/>
      <c r="H162" s="303"/>
      <c r="I162" s="303"/>
      <c r="J162" s="2886"/>
      <c r="K162" s="303"/>
      <c r="L162" s="303"/>
      <c r="M162" s="304"/>
      <c r="N162" s="308"/>
      <c r="O162" s="304"/>
      <c r="P162" s="1507">
        <f>N162*O162</f>
        <v>0</v>
      </c>
      <c r="Q162" s="1507"/>
      <c r="R162" s="987"/>
      <c r="S162" s="1254"/>
    </row>
    <row r="163" spans="1:19" x14ac:dyDescent="0.2">
      <c r="A163" s="1500" t="s">
        <v>4362</v>
      </c>
      <c r="B163" s="1550" t="s">
        <v>1135</v>
      </c>
      <c r="C163" s="1551"/>
      <c r="D163" s="1552" t="s">
        <v>2608</v>
      </c>
      <c r="E163" s="916"/>
      <c r="F163" s="916"/>
      <c r="G163" s="324"/>
      <c r="H163" s="324"/>
      <c r="I163" s="1546"/>
      <c r="J163" s="1546"/>
      <c r="K163" s="1546"/>
      <c r="L163" s="324"/>
      <c r="M163" s="324"/>
      <c r="N163" s="1546"/>
      <c r="O163" s="429"/>
      <c r="P163" s="1546">
        <f>SUM(P164:P168)</f>
        <v>0</v>
      </c>
      <c r="Q163" s="1546"/>
      <c r="R163" s="974"/>
      <c r="S163" s="1521">
        <f>SUM(S164:S168)</f>
        <v>0</v>
      </c>
    </row>
    <row r="164" spans="1:19" x14ac:dyDescent="0.2">
      <c r="A164" s="1366">
        <v>1</v>
      </c>
      <c r="B164" s="501" t="s">
        <v>1136</v>
      </c>
      <c r="C164" s="501" t="s">
        <v>1139</v>
      </c>
      <c r="D164" s="501" t="s">
        <v>2913</v>
      </c>
      <c r="E164" s="886" t="s">
        <v>70</v>
      </c>
      <c r="F164" s="1553" t="s">
        <v>4995</v>
      </c>
      <c r="G164" s="303"/>
      <c r="H164" s="303"/>
      <c r="I164" s="303"/>
      <c r="J164" s="2886"/>
      <c r="K164" s="303"/>
      <c r="L164" s="303"/>
      <c r="M164" s="304"/>
      <c r="N164" s="308"/>
      <c r="O164" s="304"/>
      <c r="P164" s="1507">
        <f>N164*O164</f>
        <v>0</v>
      </c>
      <c r="Q164" s="1507"/>
      <c r="R164" s="985">
        <f>'Ab3. ASHA'!Q89</f>
        <v>0</v>
      </c>
      <c r="S164" s="1547">
        <f>'Ab3. ASHA'!R89</f>
        <v>0</v>
      </c>
    </row>
    <row r="165" spans="1:19" x14ac:dyDescent="0.2">
      <c r="A165" s="1366">
        <v>2</v>
      </c>
      <c r="B165" s="501" t="s">
        <v>4344</v>
      </c>
      <c r="C165" s="501" t="s">
        <v>1140</v>
      </c>
      <c r="D165" s="501" t="s">
        <v>5051</v>
      </c>
      <c r="E165" s="886" t="s">
        <v>70</v>
      </c>
      <c r="F165" s="1553" t="s">
        <v>4995</v>
      </c>
      <c r="G165" s="297"/>
      <c r="H165" s="297"/>
      <c r="I165" s="297"/>
      <c r="J165" s="2885"/>
      <c r="K165" s="297"/>
      <c r="L165" s="297"/>
      <c r="M165" s="304"/>
      <c r="N165" s="308"/>
      <c r="O165" s="304"/>
      <c r="P165" s="1516">
        <f>N165*O165</f>
        <v>0</v>
      </c>
      <c r="Q165" s="1516"/>
      <c r="R165" s="985">
        <f>'Ab3. ASHA'!Q90</f>
        <v>0</v>
      </c>
      <c r="S165" s="1547">
        <f>'Ab3. ASHA'!R90</f>
        <v>0</v>
      </c>
    </row>
    <row r="166" spans="1:19" x14ac:dyDescent="0.2">
      <c r="A166" s="1366">
        <v>3</v>
      </c>
      <c r="B166" s="501" t="s">
        <v>4345</v>
      </c>
      <c r="C166" s="501" t="s">
        <v>1141</v>
      </c>
      <c r="D166" s="501" t="s">
        <v>5052</v>
      </c>
      <c r="E166" s="886" t="s">
        <v>70</v>
      </c>
      <c r="F166" s="1553" t="s">
        <v>4995</v>
      </c>
      <c r="G166" s="297"/>
      <c r="H166" s="297"/>
      <c r="I166" s="297"/>
      <c r="J166" s="2885"/>
      <c r="K166" s="297"/>
      <c r="L166" s="297"/>
      <c r="M166" s="304"/>
      <c r="N166" s="308"/>
      <c r="O166" s="304"/>
      <c r="P166" s="1516">
        <f>N166*O166</f>
        <v>0</v>
      </c>
      <c r="Q166" s="1516"/>
      <c r="R166" s="985">
        <f>'Ab3. ASHA'!Q91</f>
        <v>0</v>
      </c>
      <c r="S166" s="1547">
        <f>'Ab3. ASHA'!R91</f>
        <v>0</v>
      </c>
    </row>
    <row r="167" spans="1:19" x14ac:dyDescent="0.2">
      <c r="A167" s="1366">
        <v>4</v>
      </c>
      <c r="B167" s="501" t="s">
        <v>4346</v>
      </c>
      <c r="C167" s="501" t="s">
        <v>1142</v>
      </c>
      <c r="D167" s="501" t="s">
        <v>5053</v>
      </c>
      <c r="E167" s="886" t="s">
        <v>70</v>
      </c>
      <c r="F167" s="1553" t="s">
        <v>4995</v>
      </c>
      <c r="G167" s="297"/>
      <c r="H167" s="297"/>
      <c r="I167" s="297"/>
      <c r="J167" s="2545"/>
      <c r="K167" s="297"/>
      <c r="L167" s="297"/>
      <c r="M167" s="304"/>
      <c r="N167" s="308"/>
      <c r="O167" s="304"/>
      <c r="P167" s="1516">
        <f>N167*O167</f>
        <v>0</v>
      </c>
      <c r="Q167" s="1516"/>
      <c r="R167" s="985">
        <f>'Ab3. ASHA'!Q92</f>
        <v>0</v>
      </c>
      <c r="S167" s="1547">
        <f>'Ab3. ASHA'!R92</f>
        <v>0</v>
      </c>
    </row>
    <row r="168" spans="1:19" x14ac:dyDescent="0.2">
      <c r="A168" s="1366">
        <v>5</v>
      </c>
      <c r="B168" s="501" t="s">
        <v>2607</v>
      </c>
      <c r="C168" s="568"/>
      <c r="D168" s="501" t="s">
        <v>1310</v>
      </c>
      <c r="E168" s="886" t="s">
        <v>70</v>
      </c>
      <c r="F168" s="1553" t="s">
        <v>4995</v>
      </c>
      <c r="G168" s="297"/>
      <c r="H168" s="297"/>
      <c r="I168" s="297"/>
      <c r="J168" s="2885"/>
      <c r="K168" s="297"/>
      <c r="L168" s="297"/>
      <c r="M168" s="304"/>
      <c r="N168" s="308"/>
      <c r="O168" s="304"/>
      <c r="P168" s="1516">
        <f>N168*O168</f>
        <v>0</v>
      </c>
      <c r="Q168" s="1516"/>
      <c r="R168" s="985">
        <f>'Ab3. ASHA'!Q93</f>
        <v>0</v>
      </c>
      <c r="S168" s="1547">
        <f>'Ab3. ASHA'!R93</f>
        <v>0</v>
      </c>
    </row>
    <row r="169" spans="1:19" x14ac:dyDescent="0.2">
      <c r="A169" s="1500" t="s">
        <v>4363</v>
      </c>
      <c r="B169" s="1550" t="s">
        <v>2111</v>
      </c>
      <c r="C169" s="1551"/>
      <c r="D169" s="1552" t="s">
        <v>5113</v>
      </c>
      <c r="E169" s="916"/>
      <c r="F169" s="916"/>
      <c r="G169" s="324"/>
      <c r="H169" s="324"/>
      <c r="I169" s="1546"/>
      <c r="J169" s="1546"/>
      <c r="K169" s="1546"/>
      <c r="L169" s="324"/>
      <c r="M169" s="324"/>
      <c r="N169" s="1546"/>
      <c r="O169" s="429"/>
      <c r="P169" s="1546">
        <f>SUM(P170:P173)</f>
        <v>0</v>
      </c>
      <c r="Q169" s="1546"/>
      <c r="R169" s="974"/>
      <c r="S169" s="1225">
        <f>SUM(S170:S173)</f>
        <v>0</v>
      </c>
    </row>
    <row r="170" spans="1:19" x14ac:dyDescent="0.2">
      <c r="A170" s="1366">
        <v>1</v>
      </c>
      <c r="B170" s="501" t="s">
        <v>2112</v>
      </c>
      <c r="C170" s="501" t="s">
        <v>1143</v>
      </c>
      <c r="D170" s="501" t="s">
        <v>1144</v>
      </c>
      <c r="E170" s="886" t="s">
        <v>70</v>
      </c>
      <c r="F170" s="1078" t="s">
        <v>70</v>
      </c>
      <c r="G170" s="297"/>
      <c r="H170" s="297"/>
      <c r="I170" s="297"/>
      <c r="J170" s="2885"/>
      <c r="K170" s="297"/>
      <c r="L170" s="297"/>
      <c r="M170" s="304"/>
      <c r="N170" s="308"/>
      <c r="O170" s="304"/>
      <c r="P170" s="1516">
        <f>N170*O170</f>
        <v>0</v>
      </c>
      <c r="Q170" s="1516"/>
      <c r="R170" s="987"/>
      <c r="S170" s="1254"/>
    </row>
    <row r="171" spans="1:19" x14ac:dyDescent="0.2">
      <c r="A171" s="1366">
        <v>2</v>
      </c>
      <c r="B171" s="501" t="s">
        <v>2113</v>
      </c>
      <c r="C171" s="501" t="s">
        <v>1145</v>
      </c>
      <c r="D171" s="501" t="s">
        <v>1146</v>
      </c>
      <c r="E171" s="886" t="s">
        <v>70</v>
      </c>
      <c r="F171" s="1078" t="s">
        <v>70</v>
      </c>
      <c r="G171" s="297"/>
      <c r="H171" s="297"/>
      <c r="I171" s="297"/>
      <c r="J171" s="2885"/>
      <c r="K171" s="297"/>
      <c r="L171" s="297"/>
      <c r="M171" s="304"/>
      <c r="N171" s="308"/>
      <c r="O171" s="304"/>
      <c r="P171" s="1516">
        <f>N171*O171</f>
        <v>0</v>
      </c>
      <c r="Q171" s="1516"/>
      <c r="R171" s="987"/>
      <c r="S171" s="1254"/>
    </row>
    <row r="172" spans="1:19" x14ac:dyDescent="0.2">
      <c r="A172" s="1366">
        <v>3</v>
      </c>
      <c r="B172" s="501" t="s">
        <v>2114</v>
      </c>
      <c r="C172" s="501" t="s">
        <v>1147</v>
      </c>
      <c r="D172" s="501" t="s">
        <v>1148</v>
      </c>
      <c r="E172" s="886" t="s">
        <v>70</v>
      </c>
      <c r="F172" s="1078" t="s">
        <v>70</v>
      </c>
      <c r="G172" s="297"/>
      <c r="H172" s="297"/>
      <c r="I172" s="297"/>
      <c r="J172" s="2885"/>
      <c r="K172" s="297"/>
      <c r="L172" s="297"/>
      <c r="M172" s="304"/>
      <c r="N172" s="308"/>
      <c r="O172" s="304"/>
      <c r="P172" s="1516">
        <f>N172*O172</f>
        <v>0</v>
      </c>
      <c r="Q172" s="1516"/>
      <c r="R172" s="987"/>
      <c r="S172" s="1254"/>
    </row>
    <row r="173" spans="1:19" x14ac:dyDescent="0.2">
      <c r="A173" s="1366">
        <v>4</v>
      </c>
      <c r="B173" s="501" t="s">
        <v>2609</v>
      </c>
      <c r="C173" s="568"/>
      <c r="D173" s="501" t="s">
        <v>1310</v>
      </c>
      <c r="E173" s="886" t="s">
        <v>70</v>
      </c>
      <c r="F173" s="1078" t="s">
        <v>70</v>
      </c>
      <c r="G173" s="297"/>
      <c r="H173" s="297"/>
      <c r="I173" s="297"/>
      <c r="J173" s="2885"/>
      <c r="K173" s="297"/>
      <c r="L173" s="297"/>
      <c r="M173" s="304"/>
      <c r="N173" s="308"/>
      <c r="O173" s="304"/>
      <c r="P173" s="1516">
        <f>N173*O173</f>
        <v>0</v>
      </c>
      <c r="Q173" s="1516"/>
      <c r="R173" s="987"/>
      <c r="S173" s="1254"/>
    </row>
    <row r="174" spans="1:19" x14ac:dyDescent="0.2">
      <c r="A174" s="1500" t="s">
        <v>4364</v>
      </c>
      <c r="B174" s="1550" t="s">
        <v>2115</v>
      </c>
      <c r="C174" s="1551"/>
      <c r="D174" s="1552" t="s">
        <v>1149</v>
      </c>
      <c r="E174" s="916"/>
      <c r="F174" s="916"/>
      <c r="G174" s="324"/>
      <c r="H174" s="324"/>
      <c r="I174" s="1546"/>
      <c r="J174" s="1546"/>
      <c r="K174" s="1546"/>
      <c r="L174" s="324"/>
      <c r="M174" s="324"/>
      <c r="N174" s="1546"/>
      <c r="O174" s="429"/>
      <c r="P174" s="1546">
        <f>SUM(P175:P176)</f>
        <v>0</v>
      </c>
      <c r="Q174" s="1546"/>
      <c r="R174" s="974"/>
      <c r="S174" s="1225">
        <f>SUM(S175:S176)</f>
        <v>0</v>
      </c>
    </row>
    <row r="175" spans="1:19" x14ac:dyDescent="0.2">
      <c r="A175" s="1366">
        <v>1</v>
      </c>
      <c r="B175" s="501" t="s">
        <v>2116</v>
      </c>
      <c r="C175" s="501" t="s">
        <v>1150</v>
      </c>
      <c r="D175" s="501" t="s">
        <v>1151</v>
      </c>
      <c r="E175" s="886" t="s">
        <v>70</v>
      </c>
      <c r="F175" s="1078" t="s">
        <v>2859</v>
      </c>
      <c r="G175" s="2614"/>
      <c r="H175" s="2550"/>
      <c r="I175" s="2482"/>
      <c r="J175" s="2550"/>
      <c r="K175" s="2550"/>
      <c r="L175" s="2550"/>
      <c r="M175" s="2550"/>
      <c r="N175" s="308"/>
      <c r="O175" s="304"/>
      <c r="P175" s="1516">
        <f>N175*O175</f>
        <v>0</v>
      </c>
      <c r="Q175" s="1516"/>
      <c r="R175" s="985">
        <f>'Abs7. AYUSH'!Q12</f>
        <v>0</v>
      </c>
      <c r="S175" s="1547">
        <f>'Abs7. AYUSH'!R12</f>
        <v>0</v>
      </c>
    </row>
    <row r="176" spans="1:19" x14ac:dyDescent="0.2">
      <c r="A176" s="1366">
        <v>2</v>
      </c>
      <c r="B176" s="501" t="s">
        <v>2381</v>
      </c>
      <c r="C176" s="568"/>
      <c r="D176" s="501" t="s">
        <v>1310</v>
      </c>
      <c r="E176" s="886" t="s">
        <v>70</v>
      </c>
      <c r="F176" s="1078" t="s">
        <v>2859</v>
      </c>
      <c r="G176" s="297"/>
      <c r="H176" s="297"/>
      <c r="I176" s="297"/>
      <c r="J176" s="2885"/>
      <c r="K176" s="297"/>
      <c r="L176" s="2885"/>
      <c r="M176" s="304"/>
      <c r="N176" s="308"/>
      <c r="O176" s="304"/>
      <c r="P176" s="1516">
        <f>N176*O176</f>
        <v>0</v>
      </c>
      <c r="Q176" s="1516"/>
      <c r="R176" s="985">
        <f>'Abs7. AYUSH'!Q13</f>
        <v>0</v>
      </c>
      <c r="S176" s="1547">
        <f>'Abs7. AYUSH'!R13</f>
        <v>0</v>
      </c>
    </row>
    <row r="177" spans="1:20" x14ac:dyDescent="0.2">
      <c r="A177" s="1500" t="s">
        <v>4673</v>
      </c>
      <c r="B177" s="1550" t="s">
        <v>2117</v>
      </c>
      <c r="C177" s="1551"/>
      <c r="D177" s="1552" t="s">
        <v>1152</v>
      </c>
      <c r="E177" s="916"/>
      <c r="F177" s="916"/>
      <c r="G177" s="324"/>
      <c r="H177" s="324"/>
      <c r="I177" s="1546"/>
      <c r="J177" s="1546"/>
      <c r="K177" s="1546"/>
      <c r="L177" s="324"/>
      <c r="M177" s="324"/>
      <c r="N177" s="1546"/>
      <c r="O177" s="429"/>
      <c r="P177" s="1546">
        <f>SUM(P178:P183)</f>
        <v>0</v>
      </c>
      <c r="Q177" s="1546"/>
      <c r="R177" s="974"/>
      <c r="S177" s="1225">
        <f>SUM(S178:S183)</f>
        <v>0</v>
      </c>
    </row>
    <row r="178" spans="1:20" ht="59.45" customHeight="1" x14ac:dyDescent="0.2">
      <c r="A178" s="1366">
        <v>1</v>
      </c>
      <c r="B178" s="501" t="s">
        <v>2118</v>
      </c>
      <c r="C178" s="501" t="s">
        <v>1153</v>
      </c>
      <c r="D178" s="501" t="s">
        <v>4382</v>
      </c>
      <c r="E178" s="886" t="s">
        <v>70</v>
      </c>
      <c r="F178" s="1078" t="s">
        <v>3907</v>
      </c>
      <c r="G178" s="2638"/>
      <c r="H178" s="2550"/>
      <c r="I178" s="2482"/>
      <c r="J178" s="2550"/>
      <c r="K178" s="2550"/>
      <c r="L178" s="2550"/>
      <c r="M178" s="2550"/>
      <c r="N178" s="308"/>
      <c r="O178" s="2638"/>
      <c r="P178" s="1507">
        <f t="shared" ref="P178:P183" si="6">N178*O178</f>
        <v>0</v>
      </c>
      <c r="Q178" s="1507"/>
      <c r="R178" s="3397"/>
      <c r="S178" s="1254"/>
      <c r="T178" s="3423" t="s">
        <v>5907</v>
      </c>
    </row>
    <row r="179" spans="1:20" ht="39.6" customHeight="1" x14ac:dyDescent="0.2">
      <c r="A179" s="1366">
        <v>2</v>
      </c>
      <c r="B179" s="568" t="s">
        <v>2610</v>
      </c>
      <c r="C179" s="501" t="s">
        <v>1154</v>
      </c>
      <c r="D179" s="501" t="s">
        <v>4616</v>
      </c>
      <c r="E179" s="886" t="s">
        <v>70</v>
      </c>
      <c r="F179" s="1078" t="s">
        <v>3907</v>
      </c>
      <c r="G179" s="2638"/>
      <c r="H179" s="2550"/>
      <c r="I179" s="2482"/>
      <c r="J179" s="2550"/>
      <c r="K179" s="2550"/>
      <c r="L179" s="2550"/>
      <c r="M179" s="2550"/>
      <c r="N179" s="308"/>
      <c r="O179" s="2638"/>
      <c r="P179" s="1507">
        <f t="shared" si="6"/>
        <v>0</v>
      </c>
      <c r="Q179" s="1507"/>
      <c r="R179" s="3397"/>
      <c r="S179" s="3618"/>
    </row>
    <row r="180" spans="1:20" x14ac:dyDescent="0.2">
      <c r="A180" s="1366">
        <v>3</v>
      </c>
      <c r="B180" s="568" t="s">
        <v>2611</v>
      </c>
      <c r="C180" s="501" t="s">
        <v>1155</v>
      </c>
      <c r="D180" s="501" t="s">
        <v>1156</v>
      </c>
      <c r="E180" s="886" t="s">
        <v>70</v>
      </c>
      <c r="F180" s="1078" t="s">
        <v>3907</v>
      </c>
      <c r="G180" s="2638"/>
      <c r="H180" s="2550"/>
      <c r="I180" s="2482"/>
      <c r="J180" s="2550"/>
      <c r="K180" s="2550"/>
      <c r="L180" s="2550"/>
      <c r="M180" s="2550"/>
      <c r="N180" s="308"/>
      <c r="O180" s="2638"/>
      <c r="P180" s="1507">
        <f t="shared" si="6"/>
        <v>0</v>
      </c>
      <c r="Q180" s="1507"/>
      <c r="R180" s="3397"/>
      <c r="S180" s="1254"/>
    </row>
    <row r="181" spans="1:20" x14ac:dyDescent="0.2">
      <c r="A181" s="1366">
        <v>4</v>
      </c>
      <c r="B181" s="501" t="s">
        <v>2612</v>
      </c>
      <c r="C181" s="568"/>
      <c r="D181" s="501" t="s">
        <v>4020</v>
      </c>
      <c r="E181" s="886" t="s">
        <v>70</v>
      </c>
      <c r="F181" s="1078" t="s">
        <v>3907</v>
      </c>
      <c r="G181" s="2609"/>
      <c r="H181" s="2619"/>
      <c r="I181" s="2619"/>
      <c r="J181" s="2619"/>
      <c r="K181" s="2619"/>
      <c r="L181" s="2619"/>
      <c r="M181" s="2619"/>
      <c r="N181" s="308"/>
      <c r="O181" s="304"/>
      <c r="P181" s="1507">
        <f>N181*O181</f>
        <v>0</v>
      </c>
      <c r="Q181" s="1507"/>
      <c r="R181" s="3397"/>
      <c r="S181" s="3618"/>
    </row>
    <row r="182" spans="1:20" x14ac:dyDescent="0.2">
      <c r="A182" s="1366">
        <v>5</v>
      </c>
      <c r="B182" s="501" t="s">
        <v>4022</v>
      </c>
      <c r="C182" s="568"/>
      <c r="D182" s="501" t="s">
        <v>4021</v>
      </c>
      <c r="E182" s="886" t="s">
        <v>70</v>
      </c>
      <c r="F182" s="1078" t="s">
        <v>3907</v>
      </c>
      <c r="G182" s="2609"/>
      <c r="H182" s="2619"/>
      <c r="I182" s="2619"/>
      <c r="J182" s="2619"/>
      <c r="K182" s="2619"/>
      <c r="L182" s="2619"/>
      <c r="M182" s="2619"/>
      <c r="N182" s="308"/>
      <c r="O182" s="304"/>
      <c r="P182" s="1507">
        <f>N182*O182</f>
        <v>0</v>
      </c>
      <c r="Q182" s="1507"/>
      <c r="R182" s="3397"/>
      <c r="S182" s="1254"/>
    </row>
    <row r="183" spans="1:20" x14ac:dyDescent="0.2">
      <c r="A183" s="1366">
        <v>6</v>
      </c>
      <c r="B183" s="501" t="s">
        <v>4023</v>
      </c>
      <c r="C183" s="568"/>
      <c r="D183" s="501" t="s">
        <v>1310</v>
      </c>
      <c r="E183" s="886" t="s">
        <v>70</v>
      </c>
      <c r="F183" s="1078" t="s">
        <v>3907</v>
      </c>
      <c r="G183" s="2609"/>
      <c r="H183" s="2619"/>
      <c r="I183" s="2619"/>
      <c r="J183" s="2619"/>
      <c r="K183" s="2619"/>
      <c r="L183" s="2619"/>
      <c r="M183" s="2619"/>
      <c r="N183" s="308"/>
      <c r="O183" s="304"/>
      <c r="P183" s="1507">
        <f t="shared" si="6"/>
        <v>0</v>
      </c>
      <c r="Q183" s="1507"/>
      <c r="R183" s="987"/>
      <c r="S183" s="1254"/>
    </row>
    <row r="184" spans="1:20" x14ac:dyDescent="0.2">
      <c r="A184" s="1500" t="s">
        <v>4674</v>
      </c>
      <c r="B184" s="1550" t="s">
        <v>2119</v>
      </c>
      <c r="C184" s="1551"/>
      <c r="D184" s="1552" t="s">
        <v>2860</v>
      </c>
      <c r="E184" s="916"/>
      <c r="F184" s="916"/>
      <c r="G184" s="324"/>
      <c r="H184" s="324"/>
      <c r="I184" s="1546"/>
      <c r="J184" s="1546"/>
      <c r="K184" s="1546"/>
      <c r="L184" s="324"/>
      <c r="M184" s="324"/>
      <c r="N184" s="1546"/>
      <c r="O184" s="429"/>
      <c r="P184" s="1546">
        <f>SUM(P185:P188)</f>
        <v>0</v>
      </c>
      <c r="Q184" s="1546"/>
      <c r="R184" s="974"/>
      <c r="S184" s="1225">
        <f>SUM(S185:S188)</f>
        <v>0</v>
      </c>
    </row>
    <row r="185" spans="1:20" ht="30" x14ac:dyDescent="0.2">
      <c r="A185" s="1366">
        <v>1</v>
      </c>
      <c r="B185" s="501" t="s">
        <v>2120</v>
      </c>
      <c r="C185" s="501" t="s">
        <v>1157</v>
      </c>
      <c r="D185" s="501" t="s">
        <v>1158</v>
      </c>
      <c r="E185" s="886" t="s">
        <v>70</v>
      </c>
      <c r="F185" s="1078" t="s">
        <v>2383</v>
      </c>
      <c r="G185" s="2638"/>
      <c r="H185" s="2550"/>
      <c r="I185" s="2482"/>
      <c r="J185" s="2550"/>
      <c r="K185" s="2550"/>
      <c r="L185" s="2550"/>
      <c r="M185" s="2550"/>
      <c r="N185" s="308"/>
      <c r="O185" s="2638"/>
      <c r="P185" s="1507">
        <f>N185*O185</f>
        <v>0</v>
      </c>
      <c r="Q185" s="1507"/>
      <c r="R185" s="985">
        <f>'Ab4. HMIS-MCTS'!Q9</f>
        <v>0</v>
      </c>
      <c r="S185" s="1508">
        <f>'Ab4. HMIS-MCTS'!R9</f>
        <v>0</v>
      </c>
    </row>
    <row r="186" spans="1:20" ht="30" x14ac:dyDescent="0.2">
      <c r="A186" s="1366">
        <v>2</v>
      </c>
      <c r="B186" s="501" t="s">
        <v>2121</v>
      </c>
      <c r="C186" s="501" t="s">
        <v>1159</v>
      </c>
      <c r="D186" s="501" t="s">
        <v>1160</v>
      </c>
      <c r="E186" s="886" t="s">
        <v>70</v>
      </c>
      <c r="F186" s="1078" t="s">
        <v>2383</v>
      </c>
      <c r="G186" s="2638"/>
      <c r="H186" s="2550"/>
      <c r="I186" s="2482"/>
      <c r="J186" s="2550"/>
      <c r="K186" s="2550"/>
      <c r="L186" s="2550"/>
      <c r="M186" s="2550"/>
      <c r="N186" s="308"/>
      <c r="O186" s="2638"/>
      <c r="P186" s="1507">
        <f>N186*O186</f>
        <v>0</v>
      </c>
      <c r="Q186" s="1507"/>
      <c r="R186" s="985">
        <f>'Ab4. HMIS-MCTS'!Q10</f>
        <v>0</v>
      </c>
      <c r="S186" s="1508">
        <f>'Ab4. HMIS-MCTS'!R10</f>
        <v>0</v>
      </c>
    </row>
    <row r="187" spans="1:20" ht="101.45" customHeight="1" x14ac:dyDescent="0.2">
      <c r="A187" s="1366">
        <v>3</v>
      </c>
      <c r="B187" s="501" t="s">
        <v>2122</v>
      </c>
      <c r="C187" s="501" t="s">
        <v>1161</v>
      </c>
      <c r="D187" s="501" t="s">
        <v>1162</v>
      </c>
      <c r="E187" s="886" t="s">
        <v>70</v>
      </c>
      <c r="F187" s="1078" t="s">
        <v>2383</v>
      </c>
      <c r="G187" s="2638"/>
      <c r="H187" s="2550"/>
      <c r="I187" s="2482"/>
      <c r="J187" s="2550"/>
      <c r="K187" s="2550"/>
      <c r="L187" s="2550"/>
      <c r="M187" s="2550"/>
      <c r="N187" s="308"/>
      <c r="O187" s="2638"/>
      <c r="P187" s="1507">
        <f>N187*O187</f>
        <v>0</v>
      </c>
      <c r="Q187" s="1507"/>
      <c r="R187" s="985">
        <f>'Ab4. HMIS-MCTS'!Q11</f>
        <v>0</v>
      </c>
      <c r="S187" s="1508">
        <f>'Ab4. HMIS-MCTS'!R11</f>
        <v>0</v>
      </c>
    </row>
    <row r="188" spans="1:20" x14ac:dyDescent="0.2">
      <c r="A188" s="1366">
        <v>4</v>
      </c>
      <c r="B188" s="501" t="s">
        <v>2613</v>
      </c>
      <c r="C188" s="568"/>
      <c r="D188" s="501" t="s">
        <v>1310</v>
      </c>
      <c r="E188" s="886" t="s">
        <v>70</v>
      </c>
      <c r="F188" s="1078" t="s">
        <v>2383</v>
      </c>
      <c r="G188" s="303"/>
      <c r="H188" s="303"/>
      <c r="I188" s="303"/>
      <c r="J188" s="2886"/>
      <c r="K188" s="303"/>
      <c r="L188" s="303"/>
      <c r="M188" s="304"/>
      <c r="N188" s="308"/>
      <c r="O188" s="304"/>
      <c r="P188" s="1507">
        <f>N188*O188</f>
        <v>0</v>
      </c>
      <c r="Q188" s="1507"/>
      <c r="R188" s="985">
        <f>'Ab4. HMIS-MCTS'!Q12</f>
        <v>0</v>
      </c>
      <c r="S188" s="1508">
        <f>'Ab4. HMIS-MCTS'!R12</f>
        <v>0</v>
      </c>
    </row>
    <row r="189" spans="1:20" ht="30" x14ac:dyDescent="0.2">
      <c r="A189" s="1500" t="s">
        <v>4675</v>
      </c>
      <c r="B189" s="1550" t="s">
        <v>2123</v>
      </c>
      <c r="C189" s="1551"/>
      <c r="D189" s="1552" t="s">
        <v>4615</v>
      </c>
      <c r="E189" s="916"/>
      <c r="F189" s="916"/>
      <c r="G189" s="324"/>
      <c r="H189" s="324"/>
      <c r="I189" s="1546"/>
      <c r="J189" s="1546"/>
      <c r="K189" s="1546"/>
      <c r="L189" s="324"/>
      <c r="M189" s="324"/>
      <c r="N189" s="1546"/>
      <c r="O189" s="429"/>
      <c r="P189" s="1546">
        <f>SUM(P190:P194)</f>
        <v>0</v>
      </c>
      <c r="Q189" s="1546"/>
      <c r="R189" s="974"/>
      <c r="S189" s="1225">
        <f>SUM(S190:S194)</f>
        <v>0</v>
      </c>
    </row>
    <row r="190" spans="1:20" x14ac:dyDescent="0.2">
      <c r="A190" s="1366">
        <v>1</v>
      </c>
      <c r="B190" s="501" t="s">
        <v>2124</v>
      </c>
      <c r="C190" s="843" t="s">
        <v>2041</v>
      </c>
      <c r="D190" s="501" t="s">
        <v>4811</v>
      </c>
      <c r="E190" s="886" t="s">
        <v>70</v>
      </c>
      <c r="F190" s="1553" t="s">
        <v>4365</v>
      </c>
      <c r="G190" s="2645"/>
      <c r="H190" s="2613"/>
      <c r="I190" s="2613"/>
      <c r="J190" s="2613"/>
      <c r="K190" s="2613"/>
      <c r="L190" s="2613"/>
      <c r="M190" s="2613"/>
      <c r="N190" s="308"/>
      <c r="O190" s="304"/>
      <c r="P190" s="1507">
        <f>N190*O190</f>
        <v>0</v>
      </c>
      <c r="Q190" s="1507"/>
      <c r="R190" s="985">
        <f>'Abs6. CPHC'!Q23</f>
        <v>0</v>
      </c>
      <c r="S190" s="1547">
        <f>'Abs6. CPHC'!R23</f>
        <v>0</v>
      </c>
    </row>
    <row r="191" spans="1:20" ht="30" x14ac:dyDescent="0.2">
      <c r="A191" s="1366">
        <v>2</v>
      </c>
      <c r="B191" s="501" t="s">
        <v>2125</v>
      </c>
      <c r="C191" s="843" t="s">
        <v>2041</v>
      </c>
      <c r="D191" s="501" t="s">
        <v>4812</v>
      </c>
      <c r="E191" s="886" t="s">
        <v>70</v>
      </c>
      <c r="F191" s="1553" t="s">
        <v>4365</v>
      </c>
      <c r="G191" s="2645"/>
      <c r="H191" s="2613"/>
      <c r="I191" s="2613"/>
      <c r="J191" s="2613"/>
      <c r="K191" s="2613"/>
      <c r="L191" s="2613"/>
      <c r="M191" s="2613"/>
      <c r="N191" s="308"/>
      <c r="O191" s="304"/>
      <c r="P191" s="1507">
        <f>N191*O191</f>
        <v>0</v>
      </c>
      <c r="Q191" s="1507"/>
      <c r="R191" s="985">
        <f>'Abs6. CPHC'!Q24</f>
        <v>0</v>
      </c>
      <c r="S191" s="1547">
        <f>'Abs6. CPHC'!R24</f>
        <v>0</v>
      </c>
    </row>
    <row r="192" spans="1:20" x14ac:dyDescent="0.2">
      <c r="A192" s="1366">
        <v>3</v>
      </c>
      <c r="B192" s="501" t="s">
        <v>2126</v>
      </c>
      <c r="C192" s="501" t="s">
        <v>1165</v>
      </c>
      <c r="D192" s="501" t="s">
        <v>4813</v>
      </c>
      <c r="E192" s="886" t="s">
        <v>70</v>
      </c>
      <c r="F192" s="1553" t="s">
        <v>4365</v>
      </c>
      <c r="G192" s="2646"/>
      <c r="H192" s="2619"/>
      <c r="I192" s="2619"/>
      <c r="J192" s="2619"/>
      <c r="K192" s="2619"/>
      <c r="L192" s="2619"/>
      <c r="M192" s="2619"/>
      <c r="N192" s="308"/>
      <c r="O192" s="304"/>
      <c r="P192" s="1507">
        <f>N192*O192</f>
        <v>0</v>
      </c>
      <c r="Q192" s="1507"/>
      <c r="R192" s="985">
        <f>'Abs6. CPHC'!Q25</f>
        <v>0</v>
      </c>
      <c r="S192" s="1547">
        <f>'Abs6. CPHC'!R25</f>
        <v>0</v>
      </c>
    </row>
    <row r="193" spans="1:19" x14ac:dyDescent="0.2">
      <c r="A193" s="1366">
        <v>4</v>
      </c>
      <c r="B193" s="1554"/>
      <c r="C193" s="1554"/>
      <c r="D193" s="501" t="s">
        <v>4814</v>
      </c>
      <c r="E193" s="886" t="s">
        <v>70</v>
      </c>
      <c r="F193" s="1553" t="s">
        <v>4365</v>
      </c>
      <c r="G193" s="303"/>
      <c r="H193" s="303"/>
      <c r="I193" s="303"/>
      <c r="J193" s="2886"/>
      <c r="K193" s="303"/>
      <c r="L193" s="3031"/>
      <c r="M193" s="304"/>
      <c r="N193" s="308"/>
      <c r="O193" s="304"/>
      <c r="P193" s="1507">
        <f>N193*O193</f>
        <v>0</v>
      </c>
      <c r="Q193" s="1507"/>
      <c r="R193" s="985">
        <f>'Abs6. CPHC'!Q26</f>
        <v>0</v>
      </c>
      <c r="S193" s="1547">
        <f>'Abs6. CPHC'!R26</f>
        <v>0</v>
      </c>
    </row>
    <row r="194" spans="1:19" x14ac:dyDescent="0.2">
      <c r="A194" s="1366">
        <v>5</v>
      </c>
      <c r="B194" s="501" t="s">
        <v>2614</v>
      </c>
      <c r="C194" s="568"/>
      <c r="D194" s="501" t="s">
        <v>1310</v>
      </c>
      <c r="E194" s="886" t="s">
        <v>70</v>
      </c>
      <c r="F194" s="1553" t="s">
        <v>4365</v>
      </c>
      <c r="G194" s="2646"/>
      <c r="H194" s="2550"/>
      <c r="I194" s="2482"/>
      <c r="J194" s="2550"/>
      <c r="K194" s="2550"/>
      <c r="L194" s="2550"/>
      <c r="M194" s="2550"/>
      <c r="N194" s="308"/>
      <c r="O194" s="304"/>
      <c r="P194" s="1507">
        <f>N194*O194</f>
        <v>0</v>
      </c>
      <c r="Q194" s="1507"/>
      <c r="R194" s="985">
        <f>'Abs6. CPHC'!Q27</f>
        <v>0</v>
      </c>
      <c r="S194" s="1547">
        <f>'Abs6. CPHC'!R27</f>
        <v>0</v>
      </c>
    </row>
    <row r="195" spans="1:19" x14ac:dyDescent="0.2">
      <c r="A195" s="1500" t="s">
        <v>4784</v>
      </c>
      <c r="B195" s="1538" t="s">
        <v>3365</v>
      </c>
      <c r="C195" s="1538" t="s">
        <v>817</v>
      </c>
      <c r="D195" s="1538" t="s">
        <v>818</v>
      </c>
      <c r="E195" s="928"/>
      <c r="F195" s="928"/>
      <c r="G195" s="431"/>
      <c r="H195" s="431"/>
      <c r="I195" s="1540"/>
      <c r="J195" s="1540"/>
      <c r="K195" s="1540"/>
      <c r="L195" s="431"/>
      <c r="M195" s="431"/>
      <c r="N195" s="1540"/>
      <c r="O195" s="444"/>
      <c r="P195" s="1540">
        <f>SUM(P196:P199)</f>
        <v>0</v>
      </c>
      <c r="Q195" s="1540"/>
      <c r="R195" s="974"/>
      <c r="S195" s="1225">
        <f>SUM(S196:S199)</f>
        <v>0</v>
      </c>
    </row>
    <row r="196" spans="1:19" x14ac:dyDescent="0.2">
      <c r="A196" s="1366">
        <v>1</v>
      </c>
      <c r="B196" s="501" t="s">
        <v>4347</v>
      </c>
      <c r="C196" s="501" t="s">
        <v>819</v>
      </c>
      <c r="D196" s="501" t="s">
        <v>820</v>
      </c>
      <c r="E196" s="886" t="s">
        <v>70</v>
      </c>
      <c r="F196" s="1534" t="s">
        <v>70</v>
      </c>
      <c r="G196" s="2609"/>
      <c r="H196" s="2619"/>
      <c r="I196" s="2619"/>
      <c r="J196" s="2619"/>
      <c r="K196" s="2619"/>
      <c r="L196" s="2619"/>
      <c r="M196" s="2619"/>
      <c r="N196" s="308"/>
      <c r="O196" s="2609"/>
      <c r="P196" s="1507">
        <f>N196*O196</f>
        <v>0</v>
      </c>
      <c r="Q196" s="1507"/>
      <c r="R196" s="987"/>
      <c r="S196" s="1254"/>
    </row>
    <row r="197" spans="1:19" ht="30" x14ac:dyDescent="0.2">
      <c r="A197" s="1366">
        <v>2</v>
      </c>
      <c r="B197" s="501" t="s">
        <v>4348</v>
      </c>
      <c r="C197" s="501" t="s">
        <v>821</v>
      </c>
      <c r="D197" s="501" t="s">
        <v>822</v>
      </c>
      <c r="E197" s="886" t="s">
        <v>70</v>
      </c>
      <c r="F197" s="1534" t="s">
        <v>70</v>
      </c>
      <c r="G197" s="2609"/>
      <c r="H197" s="2619"/>
      <c r="I197" s="2619"/>
      <c r="J197" s="2619"/>
      <c r="K197" s="2619"/>
      <c r="L197" s="2619"/>
      <c r="M197" s="2619"/>
      <c r="N197" s="308"/>
      <c r="O197" s="2609"/>
      <c r="P197" s="1507">
        <f>N197*O197</f>
        <v>0</v>
      </c>
      <c r="Q197" s="1507"/>
      <c r="R197" s="987"/>
      <c r="S197" s="1254"/>
    </row>
    <row r="198" spans="1:19" x14ac:dyDescent="0.2">
      <c r="A198" s="1366">
        <v>3</v>
      </c>
      <c r="B198" s="501" t="s">
        <v>4349</v>
      </c>
      <c r="C198" s="501" t="s">
        <v>823</v>
      </c>
      <c r="D198" s="501" t="s">
        <v>824</v>
      </c>
      <c r="E198" s="886" t="s">
        <v>70</v>
      </c>
      <c r="F198" s="1534" t="s">
        <v>70</v>
      </c>
      <c r="G198" s="2609"/>
      <c r="H198" s="2619"/>
      <c r="I198" s="2619"/>
      <c r="J198" s="2619"/>
      <c r="K198" s="2619"/>
      <c r="L198" s="2619"/>
      <c r="M198" s="2619"/>
      <c r="N198" s="308"/>
      <c r="O198" s="2609"/>
      <c r="P198" s="1507">
        <f>N198*O198</f>
        <v>0</v>
      </c>
      <c r="Q198" s="1507"/>
      <c r="R198" s="987"/>
      <c r="S198" s="1254"/>
    </row>
    <row r="199" spans="1:19" x14ac:dyDescent="0.2">
      <c r="A199" s="1366">
        <v>4</v>
      </c>
      <c r="B199" s="501" t="s">
        <v>4350</v>
      </c>
      <c r="C199" s="501" t="s">
        <v>825</v>
      </c>
      <c r="D199" s="1541" t="s">
        <v>1767</v>
      </c>
      <c r="E199" s="886" t="s">
        <v>70</v>
      </c>
      <c r="F199" s="1542" t="s">
        <v>70</v>
      </c>
      <c r="G199" s="2629"/>
      <c r="H199" s="2613"/>
      <c r="I199" s="2613"/>
      <c r="J199" s="2613"/>
      <c r="K199" s="2613"/>
      <c r="L199" s="2613"/>
      <c r="M199" s="2613"/>
      <c r="N199" s="308"/>
      <c r="O199" s="2609"/>
      <c r="P199" s="1507">
        <f>N199*O199</f>
        <v>0</v>
      </c>
      <c r="Q199" s="1507"/>
      <c r="R199" s="3397"/>
      <c r="S199" s="1254"/>
    </row>
    <row r="200" spans="1:19" x14ac:dyDescent="0.2">
      <c r="B200" s="1538"/>
      <c r="C200" s="1538"/>
      <c r="D200" s="1538" t="s">
        <v>5056</v>
      </c>
      <c r="E200" s="952"/>
      <c r="F200" s="1555"/>
      <c r="G200" s="402"/>
      <c r="H200" s="402"/>
      <c r="I200" s="1540"/>
      <c r="J200" s="1540"/>
      <c r="K200" s="1540"/>
      <c r="L200" s="402"/>
      <c r="M200" s="64"/>
      <c r="N200" s="65"/>
      <c r="O200" s="64"/>
      <c r="P200" s="1540">
        <f>SUM(P201:P207)</f>
        <v>0</v>
      </c>
      <c r="Q200" s="1540"/>
      <c r="R200" s="974"/>
      <c r="S200" s="1225"/>
    </row>
    <row r="201" spans="1:19" x14ac:dyDescent="0.2">
      <c r="A201" s="1500" t="s">
        <v>4784</v>
      </c>
      <c r="B201" s="2942" t="s">
        <v>3361</v>
      </c>
      <c r="C201" s="501" t="s">
        <v>1163</v>
      </c>
      <c r="D201" s="501" t="s">
        <v>1164</v>
      </c>
      <c r="E201" s="886" t="s">
        <v>70</v>
      </c>
      <c r="F201" s="1078" t="s">
        <v>70</v>
      </c>
      <c r="G201" s="2609"/>
      <c r="H201" s="2619"/>
      <c r="I201" s="2619"/>
      <c r="J201" s="2619"/>
      <c r="K201" s="2619"/>
      <c r="L201" s="2619"/>
      <c r="M201" s="2619"/>
      <c r="N201" s="308"/>
      <c r="O201" s="2609"/>
      <c r="P201" s="2848">
        <f t="shared" ref="P201:P206" si="7">N201*O201</f>
        <v>0</v>
      </c>
      <c r="Q201" s="2848"/>
      <c r="R201" s="987"/>
      <c r="S201" s="1254"/>
    </row>
    <row r="202" spans="1:19" ht="30" x14ac:dyDescent="0.2">
      <c r="A202" s="1500" t="s">
        <v>4927</v>
      </c>
      <c r="B202" s="1526" t="s">
        <v>3362</v>
      </c>
      <c r="C202" s="501" t="s">
        <v>1166</v>
      </c>
      <c r="D202" s="1527" t="s">
        <v>1167</v>
      </c>
      <c r="E202" s="886" t="s">
        <v>70</v>
      </c>
      <c r="F202" s="1078" t="s">
        <v>70</v>
      </c>
      <c r="G202" s="2609"/>
      <c r="H202" s="2619"/>
      <c r="I202" s="2619"/>
      <c r="J202" s="2619"/>
      <c r="K202" s="2619"/>
      <c r="L202" s="2619"/>
      <c r="M202" s="2619"/>
      <c r="N202" s="308"/>
      <c r="O202" s="2609"/>
      <c r="P202" s="1507">
        <f t="shared" si="7"/>
        <v>0</v>
      </c>
      <c r="Q202" s="1507"/>
      <c r="R202" s="987"/>
      <c r="S202" s="1254"/>
    </row>
    <row r="203" spans="1:19" ht="30" x14ac:dyDescent="0.2">
      <c r="A203" s="1500" t="s">
        <v>4928</v>
      </c>
      <c r="B203" s="1526" t="s">
        <v>3363</v>
      </c>
      <c r="C203" s="501" t="s">
        <v>1013</v>
      </c>
      <c r="D203" s="501" t="s">
        <v>1014</v>
      </c>
      <c r="E203" s="886" t="s">
        <v>70</v>
      </c>
      <c r="F203" s="1078" t="s">
        <v>70</v>
      </c>
      <c r="G203" s="2609"/>
      <c r="H203" s="2619"/>
      <c r="I203" s="2619"/>
      <c r="J203" s="2619"/>
      <c r="K203" s="2619"/>
      <c r="L203" s="2619"/>
      <c r="M203" s="2619"/>
      <c r="N203" s="308"/>
      <c r="O203" s="2609"/>
      <c r="P203" s="1507">
        <f t="shared" si="7"/>
        <v>0</v>
      </c>
      <c r="Q203" s="1507"/>
      <c r="R203" s="987"/>
      <c r="S203" s="1254"/>
    </row>
    <row r="204" spans="1:19" x14ac:dyDescent="0.2">
      <c r="A204" s="1500" t="s">
        <v>4929</v>
      </c>
      <c r="B204" s="2942" t="s">
        <v>3364</v>
      </c>
      <c r="C204" s="501" t="s">
        <v>1015</v>
      </c>
      <c r="D204" s="501" t="s">
        <v>1016</v>
      </c>
      <c r="E204" s="886" t="s">
        <v>70</v>
      </c>
      <c r="F204" s="1078" t="s">
        <v>70</v>
      </c>
      <c r="G204" s="2609"/>
      <c r="H204" s="2550"/>
      <c r="I204" s="2482"/>
      <c r="J204" s="2550"/>
      <c r="K204" s="2550"/>
      <c r="L204" s="2550"/>
      <c r="M204" s="2550"/>
      <c r="N204" s="308"/>
      <c r="O204" s="2609"/>
      <c r="P204" s="1507">
        <f t="shared" si="7"/>
        <v>0</v>
      </c>
      <c r="Q204" s="1507"/>
      <c r="R204" s="3397"/>
      <c r="S204" s="3619">
        <v>0</v>
      </c>
    </row>
    <row r="205" spans="1:19" s="1368" customFormat="1" ht="30" x14ac:dyDescent="0.2">
      <c r="A205" s="1523" t="s">
        <v>4930</v>
      </c>
      <c r="B205" s="568" t="s">
        <v>4503</v>
      </c>
      <c r="C205" s="568"/>
      <c r="D205" s="568" t="s">
        <v>4505</v>
      </c>
      <c r="E205" s="886" t="s">
        <v>70</v>
      </c>
      <c r="F205" s="1461" t="s">
        <v>5550</v>
      </c>
      <c r="G205" s="432"/>
      <c r="H205" s="432"/>
      <c r="I205" s="432"/>
      <c r="J205" s="2887"/>
      <c r="K205" s="432"/>
      <c r="L205" s="432"/>
      <c r="M205" s="304"/>
      <c r="N205" s="308"/>
      <c r="O205" s="304"/>
      <c r="P205" s="1469">
        <f t="shared" si="7"/>
        <v>0</v>
      </c>
      <c r="Q205" s="1469"/>
      <c r="R205" s="985"/>
      <c r="S205" s="1547"/>
    </row>
    <row r="206" spans="1:19" s="1368" customFormat="1" ht="60" x14ac:dyDescent="0.2">
      <c r="A206" s="1523" t="s">
        <v>4864</v>
      </c>
      <c r="B206" s="568" t="s">
        <v>4504</v>
      </c>
      <c r="C206" s="568"/>
      <c r="D206" s="568" t="s">
        <v>4550</v>
      </c>
      <c r="E206" s="886" t="s">
        <v>70</v>
      </c>
      <c r="F206" s="1556" t="s">
        <v>4925</v>
      </c>
      <c r="G206" s="432"/>
      <c r="H206" s="432"/>
      <c r="I206" s="432"/>
      <c r="J206" s="2887"/>
      <c r="K206" s="432"/>
      <c r="L206" s="432"/>
      <c r="M206" s="304"/>
      <c r="N206" s="308"/>
      <c r="O206" s="304"/>
      <c r="P206" s="1469">
        <f t="shared" si="7"/>
        <v>0</v>
      </c>
      <c r="Q206" s="1469"/>
      <c r="R206" s="985"/>
      <c r="S206" s="1547"/>
    </row>
    <row r="207" spans="1:19" ht="43.5" customHeight="1" x14ac:dyDescent="0.2">
      <c r="A207" s="1523" t="s">
        <v>4844</v>
      </c>
      <c r="B207" s="568" t="s">
        <v>4552</v>
      </c>
      <c r="C207" s="474"/>
      <c r="D207" s="1543" t="s">
        <v>1310</v>
      </c>
      <c r="E207" s="886" t="s">
        <v>70</v>
      </c>
      <c r="F207" s="1556" t="s">
        <v>4925</v>
      </c>
      <c r="G207" s="297"/>
      <c r="H207" s="297"/>
      <c r="I207" s="297"/>
      <c r="J207" s="2885"/>
      <c r="K207" s="297"/>
      <c r="L207" s="2830"/>
      <c r="M207" s="304"/>
      <c r="N207" s="308"/>
      <c r="O207" s="304"/>
      <c r="P207" s="1516">
        <f>N207*O207</f>
        <v>0</v>
      </c>
      <c r="Q207" s="1516"/>
      <c r="R207" s="3397"/>
      <c r="S207" s="3442"/>
    </row>
    <row r="208" spans="1:19" x14ac:dyDescent="0.2">
      <c r="A208" s="1500"/>
      <c r="B208" s="3947" t="s">
        <v>5048</v>
      </c>
      <c r="C208" s="3948"/>
      <c r="D208" s="3949"/>
      <c r="E208" s="1120"/>
      <c r="F208" s="1120"/>
      <c r="G208" s="331"/>
      <c r="H208" s="331"/>
      <c r="I208" s="331"/>
      <c r="J208" s="331"/>
      <c r="K208" s="331"/>
      <c r="L208" s="331"/>
      <c r="M208" s="331"/>
      <c r="N208" s="1517"/>
      <c r="O208" s="602"/>
      <c r="P208" s="1517"/>
      <c r="Q208" s="1517"/>
      <c r="R208" s="1125"/>
      <c r="S208" s="1518"/>
    </row>
    <row r="209" spans="1:19" x14ac:dyDescent="0.2">
      <c r="A209" s="1523" t="s">
        <v>4358</v>
      </c>
      <c r="B209" s="848" t="s">
        <v>1040</v>
      </c>
      <c r="C209" s="1159"/>
      <c r="D209" s="1024" t="s">
        <v>1041</v>
      </c>
      <c r="E209" s="973"/>
      <c r="F209" s="973"/>
      <c r="G209" s="236"/>
      <c r="H209" s="236"/>
      <c r="I209" s="1520"/>
      <c r="J209" s="1520"/>
      <c r="K209" s="1520"/>
      <c r="L209" s="236"/>
      <c r="M209" s="236"/>
      <c r="N209" s="1519"/>
      <c r="O209" s="421"/>
      <c r="P209" s="1520">
        <f>SUM(P210:P218)</f>
        <v>0</v>
      </c>
      <c r="Q209" s="1520"/>
      <c r="R209" s="1115"/>
      <c r="S209" s="1521">
        <f>SUM(S210:S218)</f>
        <v>0</v>
      </c>
    </row>
    <row r="210" spans="1:19" x14ac:dyDescent="0.2">
      <c r="A210" s="1366">
        <v>1</v>
      </c>
      <c r="B210" s="501" t="s">
        <v>1042</v>
      </c>
      <c r="C210" s="409" t="s">
        <v>1043</v>
      </c>
      <c r="D210" s="409" t="s">
        <v>1044</v>
      </c>
      <c r="E210" s="980" t="s">
        <v>4366</v>
      </c>
      <c r="F210" s="1078" t="s">
        <v>293</v>
      </c>
      <c r="G210" s="303"/>
      <c r="H210" s="303"/>
      <c r="I210" s="303"/>
      <c r="J210" s="2886"/>
      <c r="K210" s="303"/>
      <c r="L210" s="303"/>
      <c r="M210" s="304"/>
      <c r="N210" s="308"/>
      <c r="O210" s="304"/>
      <c r="P210" s="1507">
        <f t="shared" ref="P210:P218" si="8">N210*O210</f>
        <v>0</v>
      </c>
      <c r="Q210" s="1507"/>
      <c r="R210" s="985">
        <f>'Abs8. IDSP'!Q13</f>
        <v>0</v>
      </c>
      <c r="S210" s="1547">
        <f>'Abs8. IDSP'!R13</f>
        <v>0</v>
      </c>
    </row>
    <row r="211" spans="1:19" x14ac:dyDescent="0.2">
      <c r="A211" s="1366">
        <v>2</v>
      </c>
      <c r="B211" s="501" t="s">
        <v>2591</v>
      </c>
      <c r="C211" s="409" t="s">
        <v>1045</v>
      </c>
      <c r="D211" s="409" t="s">
        <v>1046</v>
      </c>
      <c r="E211" s="980" t="s">
        <v>4366</v>
      </c>
      <c r="F211" s="1078" t="s">
        <v>293</v>
      </c>
      <c r="G211" s="303"/>
      <c r="H211" s="303"/>
      <c r="I211" s="303"/>
      <c r="J211" s="2886"/>
      <c r="K211" s="303"/>
      <c r="L211" s="303"/>
      <c r="M211" s="304"/>
      <c r="N211" s="308"/>
      <c r="O211" s="304"/>
      <c r="P211" s="1507">
        <f t="shared" si="8"/>
        <v>0</v>
      </c>
      <c r="Q211" s="1507"/>
      <c r="R211" s="985">
        <f>'Abs8. IDSP'!Q14</f>
        <v>0</v>
      </c>
      <c r="S211" s="1547">
        <f>'Abs8. IDSP'!R14</f>
        <v>0</v>
      </c>
    </row>
    <row r="212" spans="1:19" x14ac:dyDescent="0.2">
      <c r="A212" s="1366">
        <v>3</v>
      </c>
      <c r="B212" s="501" t="s">
        <v>2592</v>
      </c>
      <c r="C212" s="409" t="s">
        <v>1047</v>
      </c>
      <c r="D212" s="409" t="s">
        <v>1048</v>
      </c>
      <c r="E212" s="980" t="s">
        <v>4366</v>
      </c>
      <c r="F212" s="1078" t="s">
        <v>293</v>
      </c>
      <c r="G212" s="303"/>
      <c r="H212" s="303"/>
      <c r="I212" s="303"/>
      <c r="J212" s="2886"/>
      <c r="K212" s="303"/>
      <c r="L212" s="303"/>
      <c r="M212" s="304"/>
      <c r="N212" s="308"/>
      <c r="O212" s="304"/>
      <c r="P212" s="1507">
        <f t="shared" si="8"/>
        <v>0</v>
      </c>
      <c r="Q212" s="1507"/>
      <c r="R212" s="985">
        <f>'Abs8. IDSP'!Q15</f>
        <v>0</v>
      </c>
      <c r="S212" s="1547">
        <f>'Abs8. IDSP'!R15</f>
        <v>0</v>
      </c>
    </row>
    <row r="213" spans="1:19" x14ac:dyDescent="0.2">
      <c r="A213" s="1366">
        <v>4</v>
      </c>
      <c r="B213" s="501" t="s">
        <v>2593</v>
      </c>
      <c r="C213" s="409" t="s">
        <v>1049</v>
      </c>
      <c r="D213" s="409" t="s">
        <v>1050</v>
      </c>
      <c r="E213" s="980" t="s">
        <v>4366</v>
      </c>
      <c r="F213" s="1078" t="s">
        <v>293</v>
      </c>
      <c r="G213" s="303"/>
      <c r="H213" s="303"/>
      <c r="I213" s="303"/>
      <c r="J213" s="2886"/>
      <c r="K213" s="303"/>
      <c r="L213" s="303"/>
      <c r="M213" s="304"/>
      <c r="N213" s="308"/>
      <c r="O213" s="304"/>
      <c r="P213" s="1507">
        <f t="shared" si="8"/>
        <v>0</v>
      </c>
      <c r="Q213" s="1507"/>
      <c r="R213" s="985">
        <f>'Abs8. IDSP'!Q16</f>
        <v>0</v>
      </c>
      <c r="S213" s="1547">
        <f>'Abs8. IDSP'!R16</f>
        <v>0</v>
      </c>
    </row>
    <row r="214" spans="1:19" x14ac:dyDescent="0.2">
      <c r="A214" s="1366">
        <v>5</v>
      </c>
      <c r="B214" s="501" t="s">
        <v>2594</v>
      </c>
      <c r="C214" s="409" t="s">
        <v>1051</v>
      </c>
      <c r="D214" s="409" t="s">
        <v>1052</v>
      </c>
      <c r="E214" s="980" t="s">
        <v>4366</v>
      </c>
      <c r="F214" s="1078" t="s">
        <v>293</v>
      </c>
      <c r="G214" s="303"/>
      <c r="H214" s="303"/>
      <c r="I214" s="303"/>
      <c r="J214" s="2886"/>
      <c r="K214" s="303"/>
      <c r="L214" s="303"/>
      <c r="M214" s="304"/>
      <c r="N214" s="308"/>
      <c r="O214" s="304"/>
      <c r="P214" s="1507">
        <f t="shared" si="8"/>
        <v>0</v>
      </c>
      <c r="Q214" s="1507"/>
      <c r="R214" s="985">
        <f>'Abs8. IDSP'!Q17</f>
        <v>0</v>
      </c>
      <c r="S214" s="1547">
        <f>'Abs8. IDSP'!R17</f>
        <v>0</v>
      </c>
    </row>
    <row r="215" spans="1:19" x14ac:dyDescent="0.2">
      <c r="A215" s="1366">
        <v>6</v>
      </c>
      <c r="B215" s="501" t="s">
        <v>2595</v>
      </c>
      <c r="C215" s="409" t="s">
        <v>1053</v>
      </c>
      <c r="D215" s="409" t="s">
        <v>1054</v>
      </c>
      <c r="E215" s="980" t="s">
        <v>4366</v>
      </c>
      <c r="F215" s="1078" t="s">
        <v>293</v>
      </c>
      <c r="G215" s="303"/>
      <c r="H215" s="303"/>
      <c r="I215" s="303"/>
      <c r="J215" s="2886"/>
      <c r="K215" s="303"/>
      <c r="L215" s="303"/>
      <c r="M215" s="304"/>
      <c r="N215" s="308"/>
      <c r="O215" s="304"/>
      <c r="P215" s="1507">
        <f t="shared" si="8"/>
        <v>0</v>
      </c>
      <c r="Q215" s="1507"/>
      <c r="R215" s="985">
        <f>'Abs8. IDSP'!Q18</f>
        <v>0</v>
      </c>
      <c r="S215" s="1547">
        <f>'Abs8. IDSP'!R18</f>
        <v>0</v>
      </c>
    </row>
    <row r="216" spans="1:19" ht="30" x14ac:dyDescent="0.2">
      <c r="A216" s="1366">
        <v>7</v>
      </c>
      <c r="B216" s="501" t="s">
        <v>2596</v>
      </c>
      <c r="C216" s="409" t="s">
        <v>1055</v>
      </c>
      <c r="D216" s="409" t="s">
        <v>1056</v>
      </c>
      <c r="E216" s="980" t="s">
        <v>4366</v>
      </c>
      <c r="F216" s="1078" t="s">
        <v>293</v>
      </c>
      <c r="G216" s="303"/>
      <c r="H216" s="303"/>
      <c r="I216" s="303"/>
      <c r="J216" s="2886"/>
      <c r="K216" s="303"/>
      <c r="L216" s="303"/>
      <c r="M216" s="304"/>
      <c r="N216" s="308"/>
      <c r="O216" s="304"/>
      <c r="P216" s="1507">
        <f t="shared" si="8"/>
        <v>0</v>
      </c>
      <c r="Q216" s="1507"/>
      <c r="R216" s="985">
        <f>'Abs8. IDSP'!Q19</f>
        <v>0</v>
      </c>
      <c r="S216" s="1547">
        <f>'Abs8. IDSP'!R19</f>
        <v>0</v>
      </c>
    </row>
    <row r="217" spans="1:19" ht="45" x14ac:dyDescent="0.2">
      <c r="A217" s="1366">
        <v>8</v>
      </c>
      <c r="B217" s="501" t="s">
        <v>2597</v>
      </c>
      <c r="C217" s="409" t="s">
        <v>1057</v>
      </c>
      <c r="D217" s="409" t="s">
        <v>1058</v>
      </c>
      <c r="E217" s="980" t="s">
        <v>4366</v>
      </c>
      <c r="F217" s="1078" t="s">
        <v>293</v>
      </c>
      <c r="G217" s="303"/>
      <c r="H217" s="303"/>
      <c r="I217" s="303"/>
      <c r="J217" s="2886"/>
      <c r="K217" s="303"/>
      <c r="L217" s="303"/>
      <c r="M217" s="304"/>
      <c r="N217" s="308"/>
      <c r="O217" s="304"/>
      <c r="P217" s="1507">
        <f t="shared" si="8"/>
        <v>0</v>
      </c>
      <c r="Q217" s="1507"/>
      <c r="R217" s="985">
        <f>'Abs8. IDSP'!Q20</f>
        <v>0</v>
      </c>
      <c r="S217" s="1547">
        <f>'Abs8. IDSP'!R20</f>
        <v>0</v>
      </c>
    </row>
    <row r="218" spans="1:19" x14ac:dyDescent="0.2">
      <c r="A218" s="1366">
        <v>9</v>
      </c>
      <c r="B218" s="501" t="s">
        <v>2598</v>
      </c>
      <c r="C218" s="409" t="s">
        <v>1059</v>
      </c>
      <c r="D218" s="409" t="s">
        <v>1310</v>
      </c>
      <c r="E218" s="980" t="s">
        <v>4366</v>
      </c>
      <c r="F218" s="1078" t="s">
        <v>293</v>
      </c>
      <c r="G218" s="2550"/>
      <c r="H218" s="2550"/>
      <c r="I218" s="2482"/>
      <c r="J218" s="2550"/>
      <c r="K218" s="2550"/>
      <c r="L218" s="2550"/>
      <c r="M218" s="2550"/>
      <c r="N218" s="308"/>
      <c r="O218" s="304"/>
      <c r="P218" s="1507">
        <f t="shared" si="8"/>
        <v>0</v>
      </c>
      <c r="Q218" s="1507"/>
      <c r="R218" s="985">
        <f>'Abs8. IDSP'!Q21</f>
        <v>0</v>
      </c>
      <c r="S218" s="1547">
        <f>'Abs8. IDSP'!R21</f>
        <v>0</v>
      </c>
    </row>
    <row r="219" spans="1:19" x14ac:dyDescent="0.2">
      <c r="A219" s="1500" t="s">
        <v>4359</v>
      </c>
      <c r="B219" s="848" t="s">
        <v>1060</v>
      </c>
      <c r="C219" s="1159"/>
      <c r="D219" s="1024" t="s">
        <v>1061</v>
      </c>
      <c r="E219" s="973"/>
      <c r="F219" s="973"/>
      <c r="G219" s="236"/>
      <c r="H219" s="236"/>
      <c r="I219" s="1520"/>
      <c r="J219" s="1520"/>
      <c r="K219" s="1520"/>
      <c r="L219" s="236"/>
      <c r="M219" s="236"/>
      <c r="N219" s="1519"/>
      <c r="O219" s="421"/>
      <c r="P219" s="1520">
        <f>SUM(P220:P227)</f>
        <v>0</v>
      </c>
      <c r="Q219" s="1520"/>
      <c r="R219" s="1115"/>
      <c r="S219" s="1225">
        <f>SUM(S220:S227)</f>
        <v>0</v>
      </c>
    </row>
    <row r="220" spans="1:19" x14ac:dyDescent="0.2">
      <c r="A220" s="1366">
        <v>1</v>
      </c>
      <c r="B220" s="568" t="s">
        <v>1062</v>
      </c>
      <c r="C220" s="409" t="s">
        <v>1063</v>
      </c>
      <c r="D220" s="409" t="s">
        <v>1064</v>
      </c>
      <c r="E220" s="980" t="s">
        <v>4366</v>
      </c>
      <c r="F220" s="1130" t="s">
        <v>4986</v>
      </c>
      <c r="G220" s="2638"/>
      <c r="H220" s="2550"/>
      <c r="I220" s="2482"/>
      <c r="J220" s="2550"/>
      <c r="K220" s="2550"/>
      <c r="L220" s="2550"/>
      <c r="M220" s="2550"/>
      <c r="N220" s="308"/>
      <c r="O220" s="2638"/>
      <c r="P220" s="1507">
        <f t="shared" ref="P220:P227" si="9">N220*O220</f>
        <v>0</v>
      </c>
      <c r="Q220" s="1507"/>
      <c r="R220" s="985">
        <f>'Abs9. NVBDCP'!Q62</f>
        <v>0</v>
      </c>
      <c r="S220" s="1547">
        <f>'Abs9. NVBDCP'!R62</f>
        <v>0</v>
      </c>
    </row>
    <row r="221" spans="1:19" ht="30" x14ac:dyDescent="0.2">
      <c r="A221" s="1366">
        <v>2</v>
      </c>
      <c r="B221" s="501" t="s">
        <v>1065</v>
      </c>
      <c r="C221" s="409" t="s">
        <v>1066</v>
      </c>
      <c r="D221" s="409" t="s">
        <v>1067</v>
      </c>
      <c r="E221" s="980" t="s">
        <v>4366</v>
      </c>
      <c r="F221" s="1130" t="s">
        <v>4981</v>
      </c>
      <c r="G221" s="2638"/>
      <c r="H221" s="2550"/>
      <c r="I221" s="2482"/>
      <c r="J221" s="2550"/>
      <c r="K221" s="2550"/>
      <c r="L221" s="2550"/>
      <c r="M221" s="2642"/>
      <c r="N221" s="308"/>
      <c r="O221" s="2638"/>
      <c r="P221" s="1507">
        <f t="shared" si="9"/>
        <v>0</v>
      </c>
      <c r="Q221" s="1507"/>
      <c r="R221" s="985">
        <f>'Abs9. NVBDCP'!Q63</f>
        <v>0</v>
      </c>
      <c r="S221" s="1547">
        <f>'Abs9. NVBDCP'!R63</f>
        <v>0</v>
      </c>
    </row>
    <row r="222" spans="1:19" x14ac:dyDescent="0.2">
      <c r="A222" s="1366">
        <v>3</v>
      </c>
      <c r="B222" s="501" t="s">
        <v>1068</v>
      </c>
      <c r="C222" s="409" t="s">
        <v>1069</v>
      </c>
      <c r="D222" s="409" t="s">
        <v>1070</v>
      </c>
      <c r="E222" s="980" t="s">
        <v>4366</v>
      </c>
      <c r="F222" s="1130" t="s">
        <v>4982</v>
      </c>
      <c r="G222" s="2638"/>
      <c r="H222" s="2550"/>
      <c r="I222" s="2482"/>
      <c r="J222" s="2550"/>
      <c r="K222" s="2550"/>
      <c r="L222" s="2550"/>
      <c r="M222" s="2550"/>
      <c r="N222" s="308"/>
      <c r="O222" s="2638"/>
      <c r="P222" s="1507">
        <f t="shared" si="9"/>
        <v>0</v>
      </c>
      <c r="Q222" s="1507"/>
      <c r="R222" s="985">
        <f>'Abs9. NVBDCP'!Q64</f>
        <v>0</v>
      </c>
      <c r="S222" s="1547">
        <f>'Abs9. NVBDCP'!R64</f>
        <v>0</v>
      </c>
    </row>
    <row r="223" spans="1:19" x14ac:dyDescent="0.2">
      <c r="A223" s="1366">
        <v>4</v>
      </c>
      <c r="B223" s="501" t="s">
        <v>1071</v>
      </c>
      <c r="C223" s="409" t="s">
        <v>1072</v>
      </c>
      <c r="D223" s="409" t="s">
        <v>1073</v>
      </c>
      <c r="E223" s="980" t="s">
        <v>4366</v>
      </c>
      <c r="F223" s="1130" t="s">
        <v>4982</v>
      </c>
      <c r="G223" s="2638"/>
      <c r="H223" s="2550"/>
      <c r="I223" s="2482"/>
      <c r="J223" s="2550"/>
      <c r="K223" s="2550"/>
      <c r="L223" s="2550"/>
      <c r="M223" s="2550"/>
      <c r="N223" s="308"/>
      <c r="O223" s="2638"/>
      <c r="P223" s="1507">
        <f t="shared" si="9"/>
        <v>0</v>
      </c>
      <c r="Q223" s="1507"/>
      <c r="R223" s="985">
        <f>'Abs9. NVBDCP'!Q65</f>
        <v>0</v>
      </c>
      <c r="S223" s="1547">
        <f>'Abs9. NVBDCP'!R65</f>
        <v>0</v>
      </c>
    </row>
    <row r="224" spans="1:19" ht="30" x14ac:dyDescent="0.2">
      <c r="A224" s="1366">
        <v>5</v>
      </c>
      <c r="B224" s="501" t="s">
        <v>1074</v>
      </c>
      <c r="C224" s="409" t="s">
        <v>1075</v>
      </c>
      <c r="D224" s="409" t="s">
        <v>1076</v>
      </c>
      <c r="E224" s="980" t="s">
        <v>4366</v>
      </c>
      <c r="F224" s="1130" t="s">
        <v>4982</v>
      </c>
      <c r="G224" s="2638"/>
      <c r="H224" s="2550"/>
      <c r="I224" s="2482"/>
      <c r="J224" s="2550"/>
      <c r="K224" s="2550"/>
      <c r="L224" s="2550"/>
      <c r="M224" s="2550"/>
      <c r="N224" s="308"/>
      <c r="O224" s="2638"/>
      <c r="P224" s="1507">
        <f t="shared" si="9"/>
        <v>0</v>
      </c>
      <c r="Q224" s="1507"/>
      <c r="R224" s="985">
        <f>'Abs9. NVBDCP'!Q66</f>
        <v>0</v>
      </c>
      <c r="S224" s="1547">
        <f>'Abs9. NVBDCP'!R66</f>
        <v>0</v>
      </c>
    </row>
    <row r="225" spans="1:19" ht="45" x14ac:dyDescent="0.2">
      <c r="A225" s="1366">
        <v>6</v>
      </c>
      <c r="B225" s="501" t="s">
        <v>1077</v>
      </c>
      <c r="C225" s="409" t="s">
        <v>1078</v>
      </c>
      <c r="D225" s="409" t="s">
        <v>1079</v>
      </c>
      <c r="E225" s="980" t="s">
        <v>4366</v>
      </c>
      <c r="F225" s="1130" t="s">
        <v>4982</v>
      </c>
      <c r="G225" s="2609"/>
      <c r="H225" s="2619"/>
      <c r="I225" s="2619"/>
      <c r="J225" s="2619"/>
      <c r="K225" s="2619"/>
      <c r="L225" s="2619"/>
      <c r="M225" s="2619"/>
      <c r="N225" s="308"/>
      <c r="O225" s="2609"/>
      <c r="P225" s="1507">
        <f t="shared" si="9"/>
        <v>0</v>
      </c>
      <c r="Q225" s="1507"/>
      <c r="R225" s="985">
        <f>'Abs9. NVBDCP'!Q67</f>
        <v>0</v>
      </c>
      <c r="S225" s="1547">
        <f>'Abs9. NVBDCP'!R67</f>
        <v>0</v>
      </c>
    </row>
    <row r="226" spans="1:19" x14ac:dyDescent="0.2">
      <c r="A226" s="1366">
        <v>7</v>
      </c>
      <c r="B226" s="501" t="s">
        <v>2377</v>
      </c>
      <c r="C226" s="410"/>
      <c r="D226" s="409" t="s">
        <v>3826</v>
      </c>
      <c r="E226" s="980" t="s">
        <v>4366</v>
      </c>
      <c r="F226" s="1130" t="s">
        <v>4986</v>
      </c>
      <c r="G226" s="2609"/>
      <c r="H226" s="2619"/>
      <c r="I226" s="2619"/>
      <c r="J226" s="2619"/>
      <c r="K226" s="2619"/>
      <c r="L226" s="2619"/>
      <c r="M226" s="2619"/>
      <c r="N226" s="308"/>
      <c r="O226" s="2609"/>
      <c r="P226" s="1507">
        <f>N226*O226</f>
        <v>0</v>
      </c>
      <c r="Q226" s="1507"/>
      <c r="R226" s="985">
        <f>'Abs9. NVBDCP'!Q68</f>
        <v>0</v>
      </c>
      <c r="S226" s="1547">
        <f>'Abs9. NVBDCP'!R68</f>
        <v>0</v>
      </c>
    </row>
    <row r="227" spans="1:19" x14ac:dyDescent="0.2">
      <c r="A227" s="1366">
        <v>8</v>
      </c>
      <c r="B227" s="501" t="s">
        <v>3825</v>
      </c>
      <c r="C227" s="410"/>
      <c r="D227" s="409" t="s">
        <v>1310</v>
      </c>
      <c r="E227" s="980" t="s">
        <v>4366</v>
      </c>
      <c r="F227" s="1130" t="s">
        <v>114</v>
      </c>
      <c r="G227" s="2609"/>
      <c r="H227" s="2619"/>
      <c r="I227" s="2619"/>
      <c r="J227" s="2619"/>
      <c r="K227" s="2619"/>
      <c r="L227" s="2619"/>
      <c r="M227" s="2619"/>
      <c r="N227" s="308"/>
      <c r="O227" s="2609"/>
      <c r="P227" s="1507">
        <f t="shared" si="9"/>
        <v>0</v>
      </c>
      <c r="Q227" s="1507"/>
      <c r="R227" s="985">
        <f>'Abs9. NVBDCP'!Q69</f>
        <v>0</v>
      </c>
      <c r="S227" s="1547">
        <f>'Abs9. NVBDCP'!R69</f>
        <v>0</v>
      </c>
    </row>
    <row r="228" spans="1:19" x14ac:dyDescent="0.2">
      <c r="A228" s="1500" t="s">
        <v>4362</v>
      </c>
      <c r="B228" s="848" t="s">
        <v>1080</v>
      </c>
      <c r="C228" s="1159"/>
      <c r="D228" s="1024" t="s">
        <v>1081</v>
      </c>
      <c r="E228" s="973"/>
      <c r="F228" s="973"/>
      <c r="G228" s="236"/>
      <c r="H228" s="236"/>
      <c r="I228" s="1520"/>
      <c r="J228" s="1520"/>
      <c r="K228" s="1520"/>
      <c r="L228" s="236"/>
      <c r="M228" s="236"/>
      <c r="N228" s="1519"/>
      <c r="O228" s="421"/>
      <c r="P228" s="1520">
        <f>(P229+P230)</f>
        <v>0</v>
      </c>
      <c r="Q228" s="1520"/>
      <c r="R228" s="1115"/>
      <c r="S228" s="1225">
        <f>(S229+S230)</f>
        <v>0</v>
      </c>
    </row>
    <row r="229" spans="1:19" x14ac:dyDescent="0.2">
      <c r="A229" s="1366">
        <v>1</v>
      </c>
      <c r="B229" s="410" t="s">
        <v>1082</v>
      </c>
      <c r="C229" s="409" t="s">
        <v>1083</v>
      </c>
      <c r="D229" s="409" t="s">
        <v>1084</v>
      </c>
      <c r="E229" s="980" t="s">
        <v>4366</v>
      </c>
      <c r="F229" s="1078" t="s">
        <v>146</v>
      </c>
      <c r="G229" s="2638"/>
      <c r="H229" s="2550"/>
      <c r="I229" s="2482"/>
      <c r="J229" s="2550"/>
      <c r="K229" s="2550"/>
      <c r="L229" s="2550"/>
      <c r="M229" s="2550"/>
      <c r="N229" s="308"/>
      <c r="O229" s="2638"/>
      <c r="P229" s="1557">
        <f>N229*O229</f>
        <v>0</v>
      </c>
      <c r="Q229" s="1557"/>
      <c r="R229" s="985">
        <f>'Abs10. NLEP'!Q25</f>
        <v>0</v>
      </c>
      <c r="S229" s="1547">
        <f>'Abs10. NLEP'!R25</f>
        <v>0</v>
      </c>
    </row>
    <row r="230" spans="1:19" x14ac:dyDescent="0.2">
      <c r="A230" s="1366">
        <v>2</v>
      </c>
      <c r="B230" s="410" t="s">
        <v>2378</v>
      </c>
      <c r="C230" s="410"/>
      <c r="D230" s="409" t="s">
        <v>1310</v>
      </c>
      <c r="E230" s="980" t="s">
        <v>4366</v>
      </c>
      <c r="F230" s="1078" t="s">
        <v>146</v>
      </c>
      <c r="G230" s="2638"/>
      <c r="H230" s="2550"/>
      <c r="I230" s="2482"/>
      <c r="J230" s="2550"/>
      <c r="K230" s="2550"/>
      <c r="L230" s="2550"/>
      <c r="M230" s="2550"/>
      <c r="N230" s="308"/>
      <c r="O230" s="2638"/>
      <c r="P230" s="1507">
        <f>N230*O230</f>
        <v>0</v>
      </c>
      <c r="Q230" s="1507"/>
      <c r="R230" s="985">
        <f>'Abs10. NLEP'!Q26</f>
        <v>0</v>
      </c>
      <c r="S230" s="1547">
        <f>'Abs10. NLEP'!R26</f>
        <v>0</v>
      </c>
    </row>
    <row r="231" spans="1:19" x14ac:dyDescent="0.2">
      <c r="A231" s="1500" t="s">
        <v>4363</v>
      </c>
      <c r="B231" s="848" t="s">
        <v>1085</v>
      </c>
      <c r="C231" s="1159"/>
      <c r="D231" s="1024" t="s">
        <v>4895</v>
      </c>
      <c r="E231" s="973"/>
      <c r="F231" s="973"/>
      <c r="G231" s="236"/>
      <c r="H231" s="236"/>
      <c r="I231" s="1520"/>
      <c r="J231" s="1520"/>
      <c r="K231" s="1520"/>
      <c r="L231" s="236"/>
      <c r="M231" s="236"/>
      <c r="N231" s="1519"/>
      <c r="O231" s="421"/>
      <c r="P231" s="1520">
        <f>SUM(P232:P234)</f>
        <v>0</v>
      </c>
      <c r="Q231" s="1520"/>
      <c r="R231" s="1115"/>
      <c r="S231" s="1225">
        <f>SUM(S232:S234)</f>
        <v>0</v>
      </c>
    </row>
    <row r="232" spans="1:19" x14ac:dyDescent="0.2">
      <c r="A232" s="1366">
        <v>1</v>
      </c>
      <c r="B232" s="501" t="s">
        <v>1086</v>
      </c>
      <c r="C232" s="409" t="s">
        <v>1087</v>
      </c>
      <c r="D232" s="501" t="s">
        <v>4895</v>
      </c>
      <c r="E232" s="980" t="s">
        <v>4366</v>
      </c>
      <c r="F232" s="1078" t="s">
        <v>4683</v>
      </c>
      <c r="G232" s="2638"/>
      <c r="H232" s="2550"/>
      <c r="I232" s="2482"/>
      <c r="J232" s="2550"/>
      <c r="K232" s="2550"/>
      <c r="L232" s="2550"/>
      <c r="M232" s="2550"/>
      <c r="N232" s="308"/>
      <c r="O232" s="304"/>
      <c r="P232" s="1507">
        <f>N232*O232</f>
        <v>0</v>
      </c>
      <c r="Q232" s="1507"/>
      <c r="R232" s="985">
        <f>'Abs11. NTEP'!Q33</f>
        <v>0</v>
      </c>
      <c r="S232" s="1547">
        <f>'Abs11. NTEP'!R33</f>
        <v>0</v>
      </c>
    </row>
    <row r="233" spans="1:19" x14ac:dyDescent="0.2">
      <c r="A233" s="1366">
        <v>2</v>
      </c>
      <c r="B233" s="501" t="s">
        <v>2599</v>
      </c>
      <c r="C233" s="409" t="s">
        <v>1088</v>
      </c>
      <c r="D233" s="501" t="s">
        <v>2357</v>
      </c>
      <c r="E233" s="980" t="s">
        <v>4366</v>
      </c>
      <c r="F233" s="1078" t="s">
        <v>4683</v>
      </c>
      <c r="G233" s="2638"/>
      <c r="H233" s="2471"/>
      <c r="I233" s="2482"/>
      <c r="J233" s="2471"/>
      <c r="K233" s="2471"/>
      <c r="L233" s="2545"/>
      <c r="M233" s="2545"/>
      <c r="N233" s="308"/>
      <c r="O233" s="304"/>
      <c r="P233" s="1507">
        <f>N233*O233</f>
        <v>0</v>
      </c>
      <c r="Q233" s="1507"/>
      <c r="R233" s="985">
        <f>'Abs11. NTEP'!Q34</f>
        <v>0</v>
      </c>
      <c r="S233" s="1547">
        <f>'Abs11. NTEP'!R34</f>
        <v>0</v>
      </c>
    </row>
    <row r="234" spans="1:19" x14ac:dyDescent="0.2">
      <c r="A234" s="1366">
        <v>3</v>
      </c>
      <c r="B234" s="501" t="s">
        <v>2600</v>
      </c>
      <c r="C234" s="410"/>
      <c r="D234" s="501" t="s">
        <v>1310</v>
      </c>
      <c r="E234" s="980" t="s">
        <v>4366</v>
      </c>
      <c r="F234" s="1078" t="s">
        <v>4683</v>
      </c>
      <c r="G234" s="256"/>
      <c r="H234" s="256"/>
      <c r="I234" s="256"/>
      <c r="J234" s="256"/>
      <c r="K234" s="256"/>
      <c r="L234" s="303"/>
      <c r="M234" s="304"/>
      <c r="N234" s="308"/>
      <c r="O234" s="304"/>
      <c r="P234" s="1507">
        <f>N234*O234</f>
        <v>0</v>
      </c>
      <c r="Q234" s="1507"/>
      <c r="R234" s="985">
        <f>'Abs11. NTEP'!Q35</f>
        <v>0</v>
      </c>
      <c r="S234" s="1547">
        <f>'Abs11. NTEP'!R35</f>
        <v>0</v>
      </c>
    </row>
    <row r="235" spans="1:19" x14ac:dyDescent="0.2">
      <c r="A235" s="1500" t="s">
        <v>4364</v>
      </c>
      <c r="B235" s="1538" t="s">
        <v>2382</v>
      </c>
      <c r="C235" s="1159"/>
      <c r="D235" s="1538" t="s">
        <v>3352</v>
      </c>
      <c r="E235" s="928"/>
      <c r="F235" s="928"/>
      <c r="G235" s="431"/>
      <c r="H235" s="431"/>
      <c r="I235" s="1546"/>
      <c r="J235" s="1546"/>
      <c r="K235" s="1546"/>
      <c r="L235" s="431"/>
      <c r="M235" s="431"/>
      <c r="N235" s="1538"/>
      <c r="O235" s="431"/>
      <c r="P235" s="1546">
        <f>SUM(P236:P242)</f>
        <v>0</v>
      </c>
      <c r="Q235" s="1546"/>
      <c r="R235" s="974"/>
      <c r="S235" s="1521">
        <f>SUM(S236:S242)</f>
        <v>0</v>
      </c>
    </row>
    <row r="236" spans="1:19" ht="45" x14ac:dyDescent="0.2">
      <c r="A236" s="1366">
        <v>1</v>
      </c>
      <c r="B236" s="501" t="s">
        <v>2615</v>
      </c>
      <c r="C236" s="568"/>
      <c r="D236" s="1541" t="s">
        <v>3353</v>
      </c>
      <c r="E236" s="980" t="s">
        <v>4366</v>
      </c>
      <c r="F236" s="1558" t="s">
        <v>3323</v>
      </c>
      <c r="G236" s="303"/>
      <c r="H236" s="303"/>
      <c r="I236" s="303"/>
      <c r="J236" s="2886"/>
      <c r="K236" s="303"/>
      <c r="L236" s="303"/>
      <c r="M236" s="304"/>
      <c r="N236" s="308"/>
      <c r="O236" s="304"/>
      <c r="P236" s="1507">
        <f t="shared" ref="P236:P242" si="10">N236*O236</f>
        <v>0</v>
      </c>
      <c r="Q236" s="1507"/>
      <c r="R236" s="985">
        <f>'Abs12. NVHCP'!Q25</f>
        <v>0</v>
      </c>
      <c r="S236" s="1547">
        <f>'Abs12. NVHCP'!R25</f>
        <v>0</v>
      </c>
    </row>
    <row r="237" spans="1:19" ht="30" x14ac:dyDescent="0.2">
      <c r="A237" s="1366">
        <v>2</v>
      </c>
      <c r="B237" s="501" t="s">
        <v>2616</v>
      </c>
      <c r="C237" s="568"/>
      <c r="D237" s="1541" t="s">
        <v>3354</v>
      </c>
      <c r="E237" s="980" t="s">
        <v>4366</v>
      </c>
      <c r="F237" s="1558" t="s">
        <v>3323</v>
      </c>
      <c r="G237" s="303"/>
      <c r="H237" s="303"/>
      <c r="I237" s="303"/>
      <c r="J237" s="2886"/>
      <c r="K237" s="303"/>
      <c r="L237" s="303"/>
      <c r="M237" s="304"/>
      <c r="N237" s="308"/>
      <c r="O237" s="304"/>
      <c r="P237" s="1507">
        <f t="shared" si="10"/>
        <v>0</v>
      </c>
      <c r="Q237" s="1507"/>
      <c r="R237" s="985">
        <f>'Abs12. NVHCP'!Q26</f>
        <v>0</v>
      </c>
      <c r="S237" s="1547">
        <f>'Abs12. NVHCP'!R26</f>
        <v>0</v>
      </c>
    </row>
    <row r="238" spans="1:19" ht="30" x14ac:dyDescent="0.2">
      <c r="A238" s="1366">
        <v>3</v>
      </c>
      <c r="B238" s="501" t="s">
        <v>2617</v>
      </c>
      <c r="C238" s="568"/>
      <c r="D238" s="1541" t="s">
        <v>3355</v>
      </c>
      <c r="E238" s="980" t="s">
        <v>4366</v>
      </c>
      <c r="F238" s="1558" t="s">
        <v>3323</v>
      </c>
      <c r="G238" s="303"/>
      <c r="H238" s="303"/>
      <c r="I238" s="303"/>
      <c r="J238" s="2886"/>
      <c r="K238" s="303"/>
      <c r="L238" s="2867"/>
      <c r="M238" s="304"/>
      <c r="N238" s="308"/>
      <c r="O238" s="304"/>
      <c r="P238" s="1507">
        <f t="shared" si="10"/>
        <v>0</v>
      </c>
      <c r="Q238" s="1507"/>
      <c r="R238" s="985">
        <f>'Abs12. NVHCP'!Q27</f>
        <v>0</v>
      </c>
      <c r="S238" s="1547">
        <f>'Abs12. NVHCP'!R27</f>
        <v>0</v>
      </c>
    </row>
    <row r="239" spans="1:19" ht="30" x14ac:dyDescent="0.2">
      <c r="A239" s="1366">
        <v>4</v>
      </c>
      <c r="B239" s="501" t="s">
        <v>2618</v>
      </c>
      <c r="C239" s="568"/>
      <c r="D239" s="1541" t="s">
        <v>3356</v>
      </c>
      <c r="E239" s="980" t="s">
        <v>4366</v>
      </c>
      <c r="F239" s="1558" t="s">
        <v>3323</v>
      </c>
      <c r="G239" s="303"/>
      <c r="H239" s="303"/>
      <c r="I239" s="303"/>
      <c r="J239" s="2886"/>
      <c r="K239" s="303"/>
      <c r="L239" s="2867"/>
      <c r="M239" s="304"/>
      <c r="N239" s="308"/>
      <c r="O239" s="304"/>
      <c r="P239" s="1507">
        <f t="shared" si="10"/>
        <v>0</v>
      </c>
      <c r="Q239" s="1507"/>
      <c r="R239" s="985">
        <f>'Abs12. NVHCP'!Q28</f>
        <v>0</v>
      </c>
      <c r="S239" s="1547">
        <f>'Abs12. NVHCP'!R28</f>
        <v>0</v>
      </c>
    </row>
    <row r="240" spans="1:19" ht="30" x14ac:dyDescent="0.2">
      <c r="A240" s="1366">
        <v>5</v>
      </c>
      <c r="B240" s="501" t="s">
        <v>2619</v>
      </c>
      <c r="C240" s="568"/>
      <c r="D240" s="1541" t="s">
        <v>3357</v>
      </c>
      <c r="E240" s="980" t="s">
        <v>4366</v>
      </c>
      <c r="F240" s="1558" t="s">
        <v>3323</v>
      </c>
      <c r="G240" s="303"/>
      <c r="H240" s="303"/>
      <c r="I240" s="303"/>
      <c r="J240" s="2886"/>
      <c r="K240" s="303"/>
      <c r="L240" s="2867"/>
      <c r="M240" s="304"/>
      <c r="N240" s="308"/>
      <c r="O240" s="304"/>
      <c r="P240" s="1507">
        <f t="shared" si="10"/>
        <v>0</v>
      </c>
      <c r="Q240" s="1507"/>
      <c r="R240" s="985">
        <f>'Abs12. NVHCP'!Q29</f>
        <v>0</v>
      </c>
      <c r="S240" s="1547">
        <f>'Abs12. NVHCP'!R29</f>
        <v>0</v>
      </c>
    </row>
    <row r="241" spans="1:19" x14ac:dyDescent="0.2">
      <c r="A241" s="1368">
        <v>6</v>
      </c>
      <c r="B241" s="568" t="s">
        <v>2620</v>
      </c>
      <c r="C241" s="568"/>
      <c r="D241" s="568" t="s">
        <v>4412</v>
      </c>
      <c r="E241" s="980" t="s">
        <v>4366</v>
      </c>
      <c r="F241" s="1558" t="s">
        <v>3323</v>
      </c>
      <c r="G241" s="432"/>
      <c r="H241" s="432"/>
      <c r="I241" s="432"/>
      <c r="J241" s="2887"/>
      <c r="K241" s="432"/>
      <c r="L241" s="2867"/>
      <c r="M241" s="304"/>
      <c r="N241" s="308"/>
      <c r="O241" s="304"/>
      <c r="P241" s="1507">
        <f t="shared" si="10"/>
        <v>0</v>
      </c>
      <c r="Q241" s="1507"/>
      <c r="R241" s="985">
        <f>'Abs12. NVHCP'!Q30</f>
        <v>0</v>
      </c>
      <c r="S241" s="1547">
        <f>'Abs12. NVHCP'!R30</f>
        <v>0</v>
      </c>
    </row>
    <row r="242" spans="1:19" x14ac:dyDescent="0.2">
      <c r="A242" s="1368">
        <v>7</v>
      </c>
      <c r="B242" s="1368" t="s">
        <v>4411</v>
      </c>
      <c r="C242" s="568"/>
      <c r="D242" s="568" t="s">
        <v>1310</v>
      </c>
      <c r="E242" s="980" t="s">
        <v>4366</v>
      </c>
      <c r="F242" s="1558" t="s">
        <v>3323</v>
      </c>
      <c r="G242" s="432"/>
      <c r="H242" s="432"/>
      <c r="I242" s="432"/>
      <c r="J242" s="2887"/>
      <c r="K242" s="432"/>
      <c r="L242" s="432"/>
      <c r="M242" s="304"/>
      <c r="N242" s="308"/>
      <c r="O242" s="304"/>
      <c r="P242" s="1469">
        <f t="shared" si="10"/>
        <v>0</v>
      </c>
      <c r="Q242" s="1469"/>
      <c r="R242" s="985">
        <f>'Abs12. NVHCP'!Q31</f>
        <v>0</v>
      </c>
      <c r="S242" s="1547">
        <f>'Abs12. NVHCP'!R31</f>
        <v>0</v>
      </c>
    </row>
    <row r="243" spans="1:19" x14ac:dyDescent="0.2">
      <c r="A243" s="1500" t="s">
        <v>4673</v>
      </c>
      <c r="B243" s="1538" t="s">
        <v>2382</v>
      </c>
      <c r="C243" s="1159"/>
      <c r="D243" s="1538" t="s">
        <v>5050</v>
      </c>
      <c r="E243" s="928"/>
      <c r="F243" s="928"/>
      <c r="G243" s="431"/>
      <c r="H243" s="431"/>
      <c r="I243" s="1546"/>
      <c r="J243" s="1546"/>
      <c r="K243" s="1546"/>
      <c r="L243" s="431"/>
      <c r="M243" s="431"/>
      <c r="N243" s="1538"/>
      <c r="O243" s="431"/>
      <c r="P243" s="1546">
        <f>P244</f>
        <v>0</v>
      </c>
      <c r="Q243" s="1546"/>
      <c r="R243" s="974"/>
      <c r="S243" s="1521">
        <f>S244</f>
        <v>0</v>
      </c>
    </row>
    <row r="244" spans="1:19" ht="30" x14ac:dyDescent="0.2">
      <c r="A244" s="1366">
        <v>1</v>
      </c>
      <c r="B244" s="501" t="s">
        <v>3367</v>
      </c>
      <c r="C244" s="568"/>
      <c r="D244" s="1541" t="s">
        <v>4136</v>
      </c>
      <c r="E244" s="980" t="s">
        <v>4366</v>
      </c>
      <c r="F244" s="1542" t="s">
        <v>3993</v>
      </c>
      <c r="G244" s="303"/>
      <c r="H244" s="303"/>
      <c r="I244" s="303"/>
      <c r="J244" s="2886"/>
      <c r="K244" s="303"/>
      <c r="L244" s="2619"/>
      <c r="M244" s="2619"/>
      <c r="N244" s="308"/>
      <c r="O244" s="304"/>
      <c r="P244" s="1507">
        <f>N244*O244</f>
        <v>0</v>
      </c>
      <c r="Q244" s="1507"/>
      <c r="R244" s="985">
        <f>'Abs13. NRCP'!Q10</f>
        <v>0</v>
      </c>
      <c r="S244" s="1547">
        <f>'Abs13. NRCP'!R10</f>
        <v>0</v>
      </c>
    </row>
    <row r="245" spans="1:19" x14ac:dyDescent="0.2">
      <c r="A245" s="1500" t="s">
        <v>4673</v>
      </c>
      <c r="B245" s="1538" t="s">
        <v>2382</v>
      </c>
      <c r="C245" s="1159"/>
      <c r="D245" s="1538" t="s">
        <v>5055</v>
      </c>
      <c r="E245" s="928"/>
      <c r="F245" s="928"/>
      <c r="G245" s="431"/>
      <c r="H245" s="431"/>
      <c r="I245" s="1546"/>
      <c r="J245" s="1546"/>
      <c r="K245" s="1546"/>
      <c r="L245" s="431"/>
      <c r="M245" s="431"/>
      <c r="N245" s="1538"/>
      <c r="O245" s="431"/>
      <c r="P245" s="1546">
        <f>P246</f>
        <v>0</v>
      </c>
      <c r="Q245" s="1546"/>
      <c r="R245" s="974"/>
      <c r="S245" s="1521">
        <f>S246</f>
        <v>0</v>
      </c>
    </row>
    <row r="246" spans="1:19" s="1368" customFormat="1" ht="30" x14ac:dyDescent="0.2">
      <c r="A246" s="1368">
        <v>1</v>
      </c>
      <c r="B246" s="568" t="s">
        <v>4138</v>
      </c>
      <c r="C246" s="568"/>
      <c r="D246" s="568" t="s">
        <v>4495</v>
      </c>
      <c r="E246" s="980" t="s">
        <v>4366</v>
      </c>
      <c r="F246" s="1558" t="s">
        <v>4553</v>
      </c>
      <c r="G246" s="432"/>
      <c r="H246" s="432"/>
      <c r="I246" s="432"/>
      <c r="J246" s="2887"/>
      <c r="K246" s="432"/>
      <c r="L246" s="2647"/>
      <c r="M246" s="2647"/>
      <c r="N246" s="308"/>
      <c r="O246" s="304"/>
      <c r="P246" s="1469">
        <f>N246*O246</f>
        <v>0</v>
      </c>
      <c r="Q246" s="1469"/>
      <c r="R246" s="985">
        <f>'Abs14. PPCL'!Q10</f>
        <v>0</v>
      </c>
      <c r="S246" s="1547">
        <f>'Abs14. PPCL'!R10</f>
        <v>0</v>
      </c>
    </row>
    <row r="247" spans="1:19" x14ac:dyDescent="0.2">
      <c r="A247" s="1500"/>
      <c r="B247" s="3947" t="s">
        <v>5049</v>
      </c>
      <c r="C247" s="3948"/>
      <c r="D247" s="3949"/>
      <c r="E247" s="1120"/>
      <c r="F247" s="1120"/>
      <c r="G247" s="331"/>
      <c r="H247" s="331"/>
      <c r="I247" s="331"/>
      <c r="J247" s="331"/>
      <c r="K247" s="331"/>
      <c r="L247" s="331"/>
      <c r="M247" s="331"/>
      <c r="N247" s="1517"/>
      <c r="O247" s="602"/>
      <c r="P247" s="1517"/>
      <c r="Q247" s="1517"/>
      <c r="R247" s="1125"/>
      <c r="S247" s="1518"/>
    </row>
    <row r="248" spans="1:19" x14ac:dyDescent="0.2">
      <c r="A248" s="1500" t="s">
        <v>4358</v>
      </c>
      <c r="B248" s="848" t="s">
        <v>1089</v>
      </c>
      <c r="C248" s="1159"/>
      <c r="D248" s="1024" t="s">
        <v>1090</v>
      </c>
      <c r="E248" s="973"/>
      <c r="F248" s="973"/>
      <c r="G248" s="236"/>
      <c r="H248" s="236"/>
      <c r="I248" s="1520"/>
      <c r="J248" s="1520"/>
      <c r="K248" s="1520"/>
      <c r="L248" s="236"/>
      <c r="M248" s="236"/>
      <c r="N248" s="1519"/>
      <c r="O248" s="421"/>
      <c r="P248" s="1520">
        <f>SUM(P249:P250)</f>
        <v>0</v>
      </c>
      <c r="Q248" s="1520"/>
      <c r="R248" s="1115"/>
      <c r="S248" s="1225">
        <f>SUM(S249:S250)</f>
        <v>0</v>
      </c>
    </row>
    <row r="249" spans="1:19" x14ac:dyDescent="0.2">
      <c r="A249" s="1366">
        <v>1</v>
      </c>
      <c r="B249" s="501" t="s">
        <v>1091</v>
      </c>
      <c r="C249" s="409" t="s">
        <v>1092</v>
      </c>
      <c r="D249" s="409" t="s">
        <v>1093</v>
      </c>
      <c r="E249" s="1559" t="s">
        <v>85</v>
      </c>
      <c r="F249" s="1078" t="s">
        <v>86</v>
      </c>
      <c r="G249" s="2638"/>
      <c r="H249" s="2550"/>
      <c r="I249" s="2482"/>
      <c r="J249" s="2550"/>
      <c r="K249" s="2550"/>
      <c r="L249" s="2550"/>
      <c r="M249" s="2550"/>
      <c r="N249" s="308"/>
      <c r="O249" s="304"/>
      <c r="P249" s="1507">
        <f>N249*O249</f>
        <v>0</v>
      </c>
      <c r="Q249" s="1507"/>
      <c r="R249" s="985">
        <f>'Abs15. NPCB'!Q23</f>
        <v>0</v>
      </c>
      <c r="S249" s="1547">
        <f>'Abs15. NPCB'!R23</f>
        <v>0</v>
      </c>
    </row>
    <row r="250" spans="1:19" x14ac:dyDescent="0.2">
      <c r="A250" s="1366">
        <v>2</v>
      </c>
      <c r="B250" s="501" t="s">
        <v>2379</v>
      </c>
      <c r="C250" s="410"/>
      <c r="D250" s="501" t="s">
        <v>1310</v>
      </c>
      <c r="E250" s="1559" t="s">
        <v>85</v>
      </c>
      <c r="F250" s="1078" t="s">
        <v>86</v>
      </c>
      <c r="G250" s="303"/>
      <c r="H250" s="303"/>
      <c r="I250" s="303"/>
      <c r="J250" s="2886"/>
      <c r="K250" s="303"/>
      <c r="L250" s="303"/>
      <c r="M250" s="304"/>
      <c r="N250" s="308"/>
      <c r="O250" s="304"/>
      <c r="P250" s="1507">
        <f>N250*O250</f>
        <v>0</v>
      </c>
      <c r="Q250" s="1507"/>
      <c r="R250" s="985">
        <f>'Abs15. NPCB'!Q24</f>
        <v>0</v>
      </c>
      <c r="S250" s="1547">
        <f>'Abs15. NPCB'!R24</f>
        <v>0</v>
      </c>
    </row>
    <row r="251" spans="1:19" x14ac:dyDescent="0.2">
      <c r="A251" s="1500" t="s">
        <v>4359</v>
      </c>
      <c r="B251" s="848" t="s">
        <v>1094</v>
      </c>
      <c r="C251" s="1159"/>
      <c r="D251" s="1024" t="s">
        <v>1095</v>
      </c>
      <c r="E251" s="973"/>
      <c r="F251" s="973"/>
      <c r="G251" s="236"/>
      <c r="H251" s="236"/>
      <c r="I251" s="1520"/>
      <c r="J251" s="1520"/>
      <c r="K251" s="1520"/>
      <c r="L251" s="236"/>
      <c r="M251" s="236"/>
      <c r="N251" s="1519"/>
      <c r="O251" s="421"/>
      <c r="P251" s="1520">
        <f>SUM(P252:P253)</f>
        <v>0</v>
      </c>
      <c r="Q251" s="1520"/>
      <c r="R251" s="1115"/>
      <c r="S251" s="1225">
        <f>SUM(S252:S253)</f>
        <v>0</v>
      </c>
    </row>
    <row r="252" spans="1:19" ht="45" x14ac:dyDescent="0.2">
      <c r="A252" s="1366">
        <v>1</v>
      </c>
      <c r="B252" s="501" t="s">
        <v>1096</v>
      </c>
      <c r="C252" s="1397" t="s">
        <v>1097</v>
      </c>
      <c r="D252" s="409" t="s">
        <v>1098</v>
      </c>
      <c r="E252" s="1559" t="s">
        <v>85</v>
      </c>
      <c r="F252" s="1078" t="s">
        <v>150</v>
      </c>
      <c r="G252" s="2638"/>
      <c r="H252" s="2550"/>
      <c r="I252" s="2482"/>
      <c r="J252" s="2550"/>
      <c r="K252" s="2550"/>
      <c r="L252" s="2550"/>
      <c r="M252" s="2550"/>
      <c r="N252" s="308"/>
      <c r="O252" s="304"/>
      <c r="P252" s="1507">
        <f>N252*O252</f>
        <v>0</v>
      </c>
      <c r="Q252" s="1507"/>
      <c r="R252" s="985">
        <f>'Abs16. NMHP'!Q19</f>
        <v>0</v>
      </c>
      <c r="S252" s="1547">
        <f>'Abs16. NMHP'!R19</f>
        <v>0</v>
      </c>
    </row>
    <row r="253" spans="1:19" x14ac:dyDescent="0.2">
      <c r="A253" s="1366">
        <v>2</v>
      </c>
      <c r="B253" s="501" t="s">
        <v>2601</v>
      </c>
      <c r="C253" s="474"/>
      <c r="D253" s="501" t="s">
        <v>1310</v>
      </c>
      <c r="E253" s="1559" t="s">
        <v>85</v>
      </c>
      <c r="F253" s="1078" t="s">
        <v>150</v>
      </c>
      <c r="G253" s="303"/>
      <c r="H253" s="303"/>
      <c r="I253" s="303"/>
      <c r="J253" s="2886"/>
      <c r="K253" s="303"/>
      <c r="L253" s="303"/>
      <c r="M253" s="304"/>
      <c r="N253" s="308"/>
      <c r="O253" s="304"/>
      <c r="P253" s="1507">
        <f>N253*O253</f>
        <v>0</v>
      </c>
      <c r="Q253" s="1507"/>
      <c r="R253" s="985">
        <f>'Abs16. NMHP'!Q20</f>
        <v>0</v>
      </c>
      <c r="S253" s="1547">
        <f>'Abs16. NMHP'!R20</f>
        <v>0</v>
      </c>
    </row>
    <row r="254" spans="1:19" x14ac:dyDescent="0.2">
      <c r="A254" s="1500" t="s">
        <v>4362</v>
      </c>
      <c r="B254" s="848" t="s">
        <v>1099</v>
      </c>
      <c r="C254" s="1159"/>
      <c r="D254" s="1024" t="s">
        <v>1100</v>
      </c>
      <c r="E254" s="973"/>
      <c r="F254" s="973"/>
      <c r="G254" s="236"/>
      <c r="H254" s="236"/>
      <c r="I254" s="1520"/>
      <c r="J254" s="1520"/>
      <c r="K254" s="1520"/>
      <c r="L254" s="236"/>
      <c r="M254" s="236"/>
      <c r="N254" s="1519"/>
      <c r="O254" s="421"/>
      <c r="P254" s="1520">
        <f>SUM(P255:P258)</f>
        <v>0</v>
      </c>
      <c r="Q254" s="1520"/>
      <c r="R254" s="1115"/>
      <c r="S254" s="1225">
        <f>SUM(S255:S258)</f>
        <v>0</v>
      </c>
    </row>
    <row r="255" spans="1:19" ht="30" x14ac:dyDescent="0.2">
      <c r="A255" s="1366">
        <v>1</v>
      </c>
      <c r="B255" s="501" t="s">
        <v>1101</v>
      </c>
      <c r="C255" s="1397" t="s">
        <v>1102</v>
      </c>
      <c r="D255" s="409" t="s">
        <v>4424</v>
      </c>
      <c r="E255" s="1559" t="s">
        <v>85</v>
      </c>
      <c r="F255" s="1078" t="s">
        <v>399</v>
      </c>
      <c r="G255" s="259"/>
      <c r="H255" s="260"/>
      <c r="I255" s="419"/>
      <c r="J255" s="419"/>
      <c r="K255" s="351"/>
      <c r="L255" s="259"/>
      <c r="M255" s="304"/>
      <c r="N255" s="308"/>
      <c r="O255" s="304"/>
      <c r="P255" s="1507">
        <f>N255*O255</f>
        <v>0</v>
      </c>
      <c r="Q255" s="1507"/>
      <c r="R255" s="985">
        <f>'Abs17. NPHCE'!Q21</f>
        <v>0</v>
      </c>
      <c r="S255" s="1547">
        <f>'Abs17. NPHCE'!R21</f>
        <v>0</v>
      </c>
    </row>
    <row r="256" spans="1:19" ht="30" x14ac:dyDescent="0.2">
      <c r="A256" s="1366">
        <v>2</v>
      </c>
      <c r="B256" s="501" t="s">
        <v>2602</v>
      </c>
      <c r="C256" s="1397" t="s">
        <v>1103</v>
      </c>
      <c r="D256" s="409" t="s">
        <v>4425</v>
      </c>
      <c r="E256" s="1559" t="s">
        <v>85</v>
      </c>
      <c r="F256" s="1078" t="s">
        <v>399</v>
      </c>
      <c r="G256" s="2638"/>
      <c r="H256" s="2550"/>
      <c r="I256" s="2482"/>
      <c r="J256" s="2550"/>
      <c r="K256" s="2550"/>
      <c r="L256" s="2550"/>
      <c r="M256" s="2550"/>
      <c r="N256" s="308"/>
      <c r="O256" s="304"/>
      <c r="P256" s="1507">
        <f>N256*O256</f>
        <v>0</v>
      </c>
      <c r="Q256" s="1507"/>
      <c r="R256" s="985">
        <f>'Abs17. NPHCE'!Q22</f>
        <v>0</v>
      </c>
      <c r="S256" s="1547">
        <f>'Abs17. NPHCE'!R22</f>
        <v>0</v>
      </c>
    </row>
    <row r="257" spans="1:19" ht="30" x14ac:dyDescent="0.2">
      <c r="A257" s="1366">
        <v>3</v>
      </c>
      <c r="B257" s="501" t="s">
        <v>2603</v>
      </c>
      <c r="C257" s="1397" t="s">
        <v>1104</v>
      </c>
      <c r="D257" s="409" t="s">
        <v>4426</v>
      </c>
      <c r="E257" s="1559" t="s">
        <v>85</v>
      </c>
      <c r="F257" s="1078" t="s">
        <v>399</v>
      </c>
      <c r="G257" s="303"/>
      <c r="H257" s="303"/>
      <c r="I257" s="303"/>
      <c r="J257" s="2886"/>
      <c r="K257" s="303"/>
      <c r="L257" s="303"/>
      <c r="M257" s="304"/>
      <c r="N257" s="308"/>
      <c r="O257" s="304"/>
      <c r="P257" s="1507">
        <f>N257*O257</f>
        <v>0</v>
      </c>
      <c r="Q257" s="1507"/>
      <c r="R257" s="985">
        <f>'Abs17. NPHCE'!Q23</f>
        <v>0</v>
      </c>
      <c r="S257" s="1547">
        <f>'Abs17. NPHCE'!R23</f>
        <v>0</v>
      </c>
    </row>
    <row r="258" spans="1:19" x14ac:dyDescent="0.2">
      <c r="A258" s="1366">
        <v>4</v>
      </c>
      <c r="B258" s="501" t="s">
        <v>2604</v>
      </c>
      <c r="C258" s="474"/>
      <c r="D258" s="501" t="s">
        <v>1310</v>
      </c>
      <c r="E258" s="1559" t="s">
        <v>85</v>
      </c>
      <c r="F258" s="1078" t="s">
        <v>399</v>
      </c>
      <c r="G258" s="303"/>
      <c r="H258" s="303"/>
      <c r="I258" s="303"/>
      <c r="J258" s="2886"/>
      <c r="K258" s="303"/>
      <c r="L258" s="303"/>
      <c r="M258" s="304"/>
      <c r="N258" s="308"/>
      <c r="O258" s="304"/>
      <c r="P258" s="1507">
        <f>N258*O258</f>
        <v>0</v>
      </c>
      <c r="Q258" s="1507"/>
      <c r="R258" s="985">
        <f>'Abs17. NPHCE'!Q24</f>
        <v>0</v>
      </c>
      <c r="S258" s="1547">
        <f>'Abs17. NPHCE'!R24</f>
        <v>0</v>
      </c>
    </row>
    <row r="259" spans="1:19" x14ac:dyDescent="0.2">
      <c r="A259" s="1500" t="s">
        <v>4363</v>
      </c>
      <c r="B259" s="848" t="s">
        <v>1105</v>
      </c>
      <c r="C259" s="1159"/>
      <c r="D259" s="1024" t="s">
        <v>1106</v>
      </c>
      <c r="E259" s="973"/>
      <c r="F259" s="973"/>
      <c r="G259" s="236"/>
      <c r="H259" s="236"/>
      <c r="I259" s="1520"/>
      <c r="J259" s="1520"/>
      <c r="K259" s="1520"/>
      <c r="L259" s="236"/>
      <c r="M259" s="236"/>
      <c r="N259" s="1519"/>
      <c r="O259" s="421"/>
      <c r="P259" s="1520">
        <f>SUM(P260:P261)</f>
        <v>0</v>
      </c>
      <c r="Q259" s="1520"/>
      <c r="R259" s="1115"/>
      <c r="S259" s="1521">
        <f>SUM(S260:S261)</f>
        <v>0</v>
      </c>
    </row>
    <row r="260" spans="1:19" s="1368" customFormat="1" x14ac:dyDescent="0.2">
      <c r="A260" s="1368">
        <v>1</v>
      </c>
      <c r="B260" s="1043" t="s">
        <v>1107</v>
      </c>
      <c r="C260" s="1043" t="s">
        <v>1108</v>
      </c>
      <c r="D260" s="1043" t="s">
        <v>5283</v>
      </c>
      <c r="E260" s="1560" t="s">
        <v>85</v>
      </c>
      <c r="F260" s="1129" t="s">
        <v>152</v>
      </c>
      <c r="G260" s="2638"/>
      <c r="H260" s="2550"/>
      <c r="I260" s="2482"/>
      <c r="J260" s="2643"/>
      <c r="K260" s="2550"/>
      <c r="L260" s="2550"/>
      <c r="M260" s="2550"/>
      <c r="N260" s="308"/>
      <c r="O260" s="304"/>
      <c r="P260" s="1507">
        <f>N260*O260</f>
        <v>0</v>
      </c>
      <c r="Q260" s="1507"/>
      <c r="R260" s="975">
        <f>'Abs18. NTCP'!Q18</f>
        <v>0</v>
      </c>
      <c r="S260" s="978">
        <f>'Abs18. NTCP'!R18</f>
        <v>0</v>
      </c>
    </row>
    <row r="261" spans="1:19" s="1368" customFormat="1" x14ac:dyDescent="0.2">
      <c r="A261" s="1368">
        <v>2</v>
      </c>
      <c r="B261" s="1043" t="s">
        <v>1109</v>
      </c>
      <c r="C261" s="1043" t="s">
        <v>1110</v>
      </c>
      <c r="D261" s="1043" t="s">
        <v>5284</v>
      </c>
      <c r="E261" s="1560" t="s">
        <v>85</v>
      </c>
      <c r="F261" s="1129" t="s">
        <v>152</v>
      </c>
      <c r="G261" s="2638"/>
      <c r="H261" s="2550"/>
      <c r="I261" s="2482"/>
      <c r="J261" s="2643"/>
      <c r="K261" s="2550"/>
      <c r="L261" s="2550"/>
      <c r="M261" s="2550"/>
      <c r="N261" s="308"/>
      <c r="O261" s="304"/>
      <c r="P261" s="1507">
        <f>N261*O261</f>
        <v>0</v>
      </c>
      <c r="Q261" s="1507"/>
      <c r="R261" s="975">
        <f>'Abs18. NTCP'!Q19</f>
        <v>0</v>
      </c>
      <c r="S261" s="978">
        <f>'Abs18. NTCP'!R19</f>
        <v>0</v>
      </c>
    </row>
    <row r="262" spans="1:19" x14ac:dyDescent="0.2">
      <c r="A262" s="1523" t="s">
        <v>4364</v>
      </c>
      <c r="B262" s="848" t="s">
        <v>1111</v>
      </c>
      <c r="C262" s="1159" t="s">
        <v>1112</v>
      </c>
      <c r="D262" s="1024" t="s">
        <v>1113</v>
      </c>
      <c r="E262" s="973"/>
      <c r="F262" s="973"/>
      <c r="G262" s="236"/>
      <c r="H262" s="236"/>
      <c r="I262" s="1520"/>
      <c r="J262" s="1520"/>
      <c r="K262" s="1520"/>
      <c r="L262" s="236"/>
      <c r="M262" s="236"/>
      <c r="N262" s="1519"/>
      <c r="O262" s="421"/>
      <c r="P262" s="1520">
        <f>SUM(P263:P266)</f>
        <v>0</v>
      </c>
      <c r="Q262" s="1520"/>
      <c r="R262" s="1115"/>
      <c r="S262" s="1225">
        <f>SUM(S263:S266)</f>
        <v>0</v>
      </c>
    </row>
    <row r="263" spans="1:19" x14ac:dyDescent="0.2">
      <c r="A263" s="1366">
        <v>1</v>
      </c>
      <c r="B263" s="1397" t="s">
        <v>1114</v>
      </c>
      <c r="C263" s="1397" t="s">
        <v>1115</v>
      </c>
      <c r="D263" s="409" t="s">
        <v>1116</v>
      </c>
      <c r="E263" s="1559" t="s">
        <v>85</v>
      </c>
      <c r="F263" s="1078" t="s">
        <v>415</v>
      </c>
      <c r="G263" s="2638"/>
      <c r="H263" s="2545"/>
      <c r="I263" s="2644"/>
      <c r="J263" s="2545"/>
      <c r="K263" s="2545"/>
      <c r="L263" s="2545"/>
      <c r="M263" s="2545"/>
      <c r="N263" s="308"/>
      <c r="O263" s="2638"/>
      <c r="P263" s="1507">
        <f>N263*O263</f>
        <v>0</v>
      </c>
      <c r="Q263" s="1507"/>
      <c r="R263" s="985">
        <f>'Abs19. NPCDCS'!Q36</f>
        <v>0</v>
      </c>
      <c r="S263" s="1547">
        <f>'Abs19. NPCDCS'!R36</f>
        <v>0</v>
      </c>
    </row>
    <row r="264" spans="1:19" x14ac:dyDescent="0.2">
      <c r="A264" s="1366">
        <v>2</v>
      </c>
      <c r="B264" s="1397" t="s">
        <v>1117</v>
      </c>
      <c r="C264" s="1397" t="s">
        <v>1118</v>
      </c>
      <c r="D264" s="409" t="s">
        <v>1119</v>
      </c>
      <c r="E264" s="1559" t="s">
        <v>85</v>
      </c>
      <c r="F264" s="1078" t="s">
        <v>415</v>
      </c>
      <c r="G264" s="2638"/>
      <c r="H264" s="2545"/>
      <c r="I264" s="2644"/>
      <c r="J264" s="2545"/>
      <c r="K264" s="2545"/>
      <c r="L264" s="2545"/>
      <c r="M264" s="2545"/>
      <c r="N264" s="308"/>
      <c r="O264" s="2638"/>
      <c r="P264" s="1507">
        <f>N264*O264</f>
        <v>0</v>
      </c>
      <c r="Q264" s="1507"/>
      <c r="R264" s="985">
        <f>'Abs19. NPCDCS'!Q37</f>
        <v>0</v>
      </c>
      <c r="S264" s="1547">
        <f>'Abs19. NPCDCS'!R37</f>
        <v>0</v>
      </c>
    </row>
    <row r="265" spans="1:19" x14ac:dyDescent="0.2">
      <c r="A265" s="1366">
        <v>3</v>
      </c>
      <c r="B265" s="1397" t="s">
        <v>2605</v>
      </c>
      <c r="C265" s="474"/>
      <c r="D265" s="409" t="s">
        <v>2541</v>
      </c>
      <c r="E265" s="1559" t="s">
        <v>85</v>
      </c>
      <c r="F265" s="1078" t="s">
        <v>415</v>
      </c>
      <c r="G265" s="2638"/>
      <c r="H265" s="2545"/>
      <c r="I265" s="2644"/>
      <c r="J265" s="2545"/>
      <c r="K265" s="2545"/>
      <c r="L265" s="2545"/>
      <c r="M265" s="2545"/>
      <c r="N265" s="308"/>
      <c r="O265" s="2638"/>
      <c r="P265" s="1507">
        <f>N265*O265</f>
        <v>0</v>
      </c>
      <c r="Q265" s="1507"/>
      <c r="R265" s="985">
        <f>'Abs19. NPCDCS'!Q38</f>
        <v>0</v>
      </c>
      <c r="S265" s="1547">
        <f>'Abs19. NPCDCS'!R38</f>
        <v>0</v>
      </c>
    </row>
    <row r="266" spans="1:19" x14ac:dyDescent="0.2">
      <c r="A266" s="1366">
        <v>4</v>
      </c>
      <c r="B266" s="1397" t="s">
        <v>2861</v>
      </c>
      <c r="C266" s="474"/>
      <c r="D266" s="409" t="s">
        <v>1310</v>
      </c>
      <c r="E266" s="1559" t="s">
        <v>85</v>
      </c>
      <c r="F266" s="1078" t="s">
        <v>415</v>
      </c>
      <c r="G266" s="2609"/>
      <c r="H266" s="2619"/>
      <c r="I266" s="2619"/>
      <c r="J266" s="2619"/>
      <c r="K266" s="2619"/>
      <c r="L266" s="2619"/>
      <c r="M266" s="2619"/>
      <c r="N266" s="308"/>
      <c r="O266" s="304"/>
      <c r="P266" s="1507">
        <f>N266*O266</f>
        <v>0</v>
      </c>
      <c r="Q266" s="1507"/>
      <c r="R266" s="985">
        <f>'Abs19. NPCDCS'!Q39</f>
        <v>0</v>
      </c>
      <c r="S266" s="1547">
        <f>'Abs19. NPCDCS'!R39</f>
        <v>0</v>
      </c>
    </row>
    <row r="267" spans="1:19" x14ac:dyDescent="0.2">
      <c r="A267" s="1500" t="s">
        <v>4673</v>
      </c>
      <c r="B267" s="1024" t="s">
        <v>1017</v>
      </c>
      <c r="C267" s="1024"/>
      <c r="D267" s="1024" t="s">
        <v>1018</v>
      </c>
      <c r="E267" s="917"/>
      <c r="F267" s="917"/>
      <c r="G267" s="324"/>
      <c r="H267" s="324"/>
      <c r="I267" s="1546"/>
      <c r="J267" s="1546"/>
      <c r="K267" s="1546"/>
      <c r="L267" s="324"/>
      <c r="M267" s="324"/>
      <c r="N267" s="1546"/>
      <c r="O267" s="429"/>
      <c r="P267" s="1546">
        <f>SUM(P268:P271)</f>
        <v>0</v>
      </c>
      <c r="Q267" s="1546"/>
      <c r="R267" s="974"/>
      <c r="S267" s="1225">
        <f>SUM(S268:S271)</f>
        <v>0</v>
      </c>
    </row>
    <row r="268" spans="1:19" x14ac:dyDescent="0.2">
      <c r="A268" s="1366">
        <v>1</v>
      </c>
      <c r="B268" s="501" t="s">
        <v>1019</v>
      </c>
      <c r="C268" s="501" t="s">
        <v>1021</v>
      </c>
      <c r="D268" s="501" t="s">
        <v>3896</v>
      </c>
      <c r="E268" s="1559" t="s">
        <v>85</v>
      </c>
      <c r="F268" s="1078" t="s">
        <v>1020</v>
      </c>
      <c r="G268" s="2609"/>
      <c r="H268" s="2481"/>
      <c r="I268" s="2482"/>
      <c r="J268" s="2883"/>
      <c r="K268" s="387"/>
      <c r="L268" s="3048"/>
      <c r="M268" s="304"/>
      <c r="N268" s="308"/>
      <c r="O268" s="304"/>
      <c r="P268" s="1507">
        <f>N268*O268</f>
        <v>0</v>
      </c>
      <c r="Q268" s="1507"/>
      <c r="R268" s="985">
        <f>'Abs22. NPPCD'!Q10</f>
        <v>0</v>
      </c>
      <c r="S268" s="1547">
        <f>'Abs22. NPPCD'!R10</f>
        <v>0</v>
      </c>
    </row>
    <row r="269" spans="1:19" x14ac:dyDescent="0.2">
      <c r="A269" s="1366">
        <v>2</v>
      </c>
      <c r="B269" s="501" t="s">
        <v>2375</v>
      </c>
      <c r="C269" s="501" t="s">
        <v>1022</v>
      </c>
      <c r="D269" s="501" t="s">
        <v>3897</v>
      </c>
      <c r="E269" s="1559" t="s">
        <v>85</v>
      </c>
      <c r="F269" s="1078" t="s">
        <v>1020</v>
      </c>
      <c r="G269" s="2609"/>
      <c r="H269" s="2481"/>
      <c r="I269" s="2482"/>
      <c r="J269" s="2883"/>
      <c r="K269" s="387"/>
      <c r="L269" s="3048"/>
      <c r="M269" s="304"/>
      <c r="N269" s="308"/>
      <c r="O269" s="304"/>
      <c r="P269" s="1507">
        <f>N269*O269</f>
        <v>0</v>
      </c>
      <c r="Q269" s="1507"/>
      <c r="R269" s="985">
        <f>'Abs22. NPPCD'!Q11</f>
        <v>0</v>
      </c>
      <c r="S269" s="1547">
        <f>'Abs22. NPPCD'!R11</f>
        <v>0</v>
      </c>
    </row>
    <row r="270" spans="1:19" x14ac:dyDescent="0.2">
      <c r="A270" s="1366">
        <v>3</v>
      </c>
      <c r="B270" s="501" t="s">
        <v>2376</v>
      </c>
      <c r="C270" s="501" t="s">
        <v>1023</v>
      </c>
      <c r="D270" s="501" t="s">
        <v>3898</v>
      </c>
      <c r="E270" s="1559" t="s">
        <v>85</v>
      </c>
      <c r="F270" s="1078" t="s">
        <v>1020</v>
      </c>
      <c r="G270" s="2609"/>
      <c r="H270" s="2481"/>
      <c r="I270" s="2482"/>
      <c r="J270" s="2883"/>
      <c r="K270" s="387"/>
      <c r="L270" s="3048"/>
      <c r="M270" s="304"/>
      <c r="N270" s="308"/>
      <c r="O270" s="304"/>
      <c r="P270" s="1507">
        <f>N270*O270</f>
        <v>0</v>
      </c>
      <c r="Q270" s="1507"/>
      <c r="R270" s="985">
        <f>'Abs22. NPPCD'!Q12</f>
        <v>0</v>
      </c>
      <c r="S270" s="1547">
        <f>'Abs22. NPPCD'!R12</f>
        <v>0</v>
      </c>
    </row>
    <row r="271" spans="1:19" x14ac:dyDescent="0.2">
      <c r="A271" s="1366">
        <v>4</v>
      </c>
      <c r="B271" s="501" t="s">
        <v>2587</v>
      </c>
      <c r="C271" s="568"/>
      <c r="D271" s="501" t="s">
        <v>1310</v>
      </c>
      <c r="E271" s="1559" t="s">
        <v>85</v>
      </c>
      <c r="F271" s="1078" t="s">
        <v>1020</v>
      </c>
      <c r="G271" s="2609"/>
      <c r="H271" s="2481"/>
      <c r="I271" s="2482"/>
      <c r="J271" s="2883"/>
      <c r="K271" s="387"/>
      <c r="L271" s="3048"/>
      <c r="M271" s="304"/>
      <c r="N271" s="308"/>
      <c r="O271" s="304"/>
      <c r="P271" s="1507">
        <f>N271*O271</f>
        <v>0</v>
      </c>
      <c r="Q271" s="1507"/>
      <c r="R271" s="985">
        <f>'Abs22. NPPCD'!Q13</f>
        <v>0</v>
      </c>
      <c r="S271" s="1547">
        <f>'Abs22. NPPCD'!R13</f>
        <v>0</v>
      </c>
    </row>
    <row r="272" spans="1:19" x14ac:dyDescent="0.2">
      <c r="A272" s="1500" t="s">
        <v>4674</v>
      </c>
      <c r="B272" s="1024" t="s">
        <v>1024</v>
      </c>
      <c r="C272" s="1024"/>
      <c r="D272" s="1024" t="s">
        <v>1025</v>
      </c>
      <c r="E272" s="917"/>
      <c r="F272" s="917"/>
      <c r="G272" s="324"/>
      <c r="H272" s="324"/>
      <c r="I272" s="1520"/>
      <c r="J272" s="1520"/>
      <c r="K272" s="1520"/>
      <c r="L272" s="324"/>
      <c r="M272" s="324"/>
      <c r="N272" s="1519"/>
      <c r="O272" s="421"/>
      <c r="P272" s="1520">
        <f>SUM(P273:P274)</f>
        <v>0</v>
      </c>
      <c r="Q272" s="1520"/>
      <c r="R272" s="1115"/>
      <c r="S272" s="1225">
        <f>SUM(S273:S274)</f>
        <v>0</v>
      </c>
    </row>
    <row r="273" spans="1:19" ht="45" x14ac:dyDescent="0.2">
      <c r="A273" s="1366">
        <v>1</v>
      </c>
      <c r="B273" s="501" t="s">
        <v>1026</v>
      </c>
      <c r="C273" s="501" t="s">
        <v>1027</v>
      </c>
      <c r="D273" s="501" t="s">
        <v>1028</v>
      </c>
      <c r="E273" s="1559" t="s">
        <v>85</v>
      </c>
      <c r="F273" s="1078" t="s">
        <v>314</v>
      </c>
      <c r="G273" s="2609"/>
      <c r="H273" s="2550"/>
      <c r="I273" s="2482"/>
      <c r="J273" s="2550"/>
      <c r="K273" s="2550"/>
      <c r="L273" s="2550"/>
      <c r="M273" s="2550"/>
      <c r="N273" s="308">
        <f>+M273/100000</f>
        <v>0</v>
      </c>
      <c r="O273" s="304"/>
      <c r="P273" s="1507">
        <f>N273*O273</f>
        <v>0</v>
      </c>
      <c r="Q273" s="3684"/>
      <c r="R273" s="985">
        <f>'Abs25. NPPC'!Q14</f>
        <v>0</v>
      </c>
      <c r="S273" s="1547">
        <f>'Abs25. NPPC'!R14</f>
        <v>0</v>
      </c>
    </row>
    <row r="274" spans="1:19" x14ac:dyDescent="0.2">
      <c r="A274" s="1366">
        <v>2</v>
      </c>
      <c r="B274" s="501" t="s">
        <v>2588</v>
      </c>
      <c r="C274" s="568"/>
      <c r="D274" s="501" t="s">
        <v>1310</v>
      </c>
      <c r="E274" s="1559" t="s">
        <v>85</v>
      </c>
      <c r="F274" s="1078" t="s">
        <v>314</v>
      </c>
      <c r="G274" s="259"/>
      <c r="H274" s="260"/>
      <c r="I274" s="419"/>
      <c r="J274" s="419"/>
      <c r="K274" s="259"/>
      <c r="L274" s="259"/>
      <c r="M274" s="304"/>
      <c r="N274" s="308"/>
      <c r="O274" s="304"/>
      <c r="P274" s="1507">
        <f>N274*O274</f>
        <v>0</v>
      </c>
      <c r="Q274" s="1507"/>
      <c r="R274" s="985">
        <f>'Abs25. NPPC'!Q15</f>
        <v>0</v>
      </c>
      <c r="S274" s="1547">
        <f>'Abs25. NPPC'!R15</f>
        <v>0</v>
      </c>
    </row>
    <row r="275" spans="1:19" x14ac:dyDescent="0.2">
      <c r="A275" s="1500" t="s">
        <v>4675</v>
      </c>
      <c r="B275" s="848" t="s">
        <v>1029</v>
      </c>
      <c r="C275" s="1159"/>
      <c r="D275" s="1024" t="s">
        <v>1030</v>
      </c>
      <c r="E275" s="973"/>
      <c r="F275" s="973"/>
      <c r="G275" s="236"/>
      <c r="H275" s="236"/>
      <c r="I275" s="1520"/>
      <c r="J275" s="1520"/>
      <c r="K275" s="1520"/>
      <c r="L275" s="236"/>
      <c r="M275" s="236"/>
      <c r="N275" s="1519"/>
      <c r="O275" s="421"/>
      <c r="P275" s="1520">
        <f>SUM(P276:P277)</f>
        <v>0</v>
      </c>
      <c r="Q275" s="1520"/>
      <c r="R275" s="1115"/>
      <c r="S275" s="1225">
        <f>SUM(S276:S277)</f>
        <v>0</v>
      </c>
    </row>
    <row r="276" spans="1:19" ht="30" x14ac:dyDescent="0.2">
      <c r="A276" s="1366">
        <v>1</v>
      </c>
      <c r="B276" s="501" t="s">
        <v>1031</v>
      </c>
      <c r="C276" s="501" t="s">
        <v>1032</v>
      </c>
      <c r="D276" s="501" t="s">
        <v>1033</v>
      </c>
      <c r="E276" s="1559" t="s">
        <v>85</v>
      </c>
      <c r="F276" s="1078" t="s">
        <v>1034</v>
      </c>
      <c r="G276" s="2609"/>
      <c r="H276" s="2550"/>
      <c r="I276" s="2482"/>
      <c r="J276" s="2550"/>
      <c r="K276" s="2550"/>
      <c r="L276" s="2550"/>
      <c r="M276" s="2550"/>
      <c r="N276" s="308"/>
      <c r="O276" s="304"/>
      <c r="P276" s="1507">
        <f>N276*O276</f>
        <v>0</v>
      </c>
      <c r="Q276" s="1507"/>
      <c r="R276" s="985">
        <f>'Abs23. NPPCF'!Q12</f>
        <v>0</v>
      </c>
      <c r="S276" s="1547">
        <f>'Abs23. NPPCF'!R12</f>
        <v>0</v>
      </c>
    </row>
    <row r="277" spans="1:19" x14ac:dyDescent="0.2">
      <c r="A277" s="1366">
        <v>2</v>
      </c>
      <c r="B277" s="501" t="s">
        <v>2589</v>
      </c>
      <c r="C277" s="568"/>
      <c r="D277" s="501" t="s">
        <v>1310</v>
      </c>
      <c r="E277" s="1559" t="s">
        <v>85</v>
      </c>
      <c r="F277" s="1078" t="s">
        <v>1034</v>
      </c>
      <c r="G277" s="303"/>
      <c r="H277" s="303"/>
      <c r="I277" s="303"/>
      <c r="J277" s="2886"/>
      <c r="K277" s="303"/>
      <c r="L277" s="303"/>
      <c r="M277" s="304"/>
      <c r="N277" s="308"/>
      <c r="O277" s="304"/>
      <c r="P277" s="1507">
        <f>N277*O277</f>
        <v>0</v>
      </c>
      <c r="Q277" s="1507"/>
      <c r="R277" s="985">
        <f>'Abs23. NPPCF'!Q13</f>
        <v>0</v>
      </c>
      <c r="S277" s="1547">
        <f>'Abs23. NPPCF'!R13</f>
        <v>0</v>
      </c>
    </row>
    <row r="278" spans="1:19" x14ac:dyDescent="0.2">
      <c r="A278" s="1500" t="s">
        <v>4784</v>
      </c>
      <c r="B278" s="848"/>
      <c r="C278" s="1159"/>
      <c r="D278" s="1024" t="s">
        <v>5054</v>
      </c>
      <c r="E278" s="973"/>
      <c r="F278" s="973"/>
      <c r="G278" s="236"/>
      <c r="H278" s="236"/>
      <c r="I278" s="1520"/>
      <c r="J278" s="1520"/>
      <c r="K278" s="1520"/>
      <c r="L278" s="236"/>
      <c r="M278" s="236"/>
      <c r="N278" s="1519"/>
      <c r="O278" s="421"/>
      <c r="P278" s="1520">
        <f>SUM(P279:P280)</f>
        <v>0</v>
      </c>
      <c r="Q278" s="1520"/>
      <c r="R278" s="1115"/>
      <c r="S278" s="1225">
        <f>SUM(S279:S280)</f>
        <v>0</v>
      </c>
    </row>
    <row r="279" spans="1:19" s="1368" customFormat="1" ht="30" x14ac:dyDescent="0.2">
      <c r="A279" s="1368">
        <v>1</v>
      </c>
      <c r="B279" s="568" t="s">
        <v>3992</v>
      </c>
      <c r="C279" s="568"/>
      <c r="D279" s="568" t="s">
        <v>4137</v>
      </c>
      <c r="E279" s="1559" t="s">
        <v>85</v>
      </c>
      <c r="F279" s="1558" t="s">
        <v>4132</v>
      </c>
      <c r="G279" s="432"/>
      <c r="H279" s="432"/>
      <c r="I279" s="432"/>
      <c r="J279" s="2887"/>
      <c r="K279" s="432"/>
      <c r="L279" s="3030"/>
      <c r="M279" s="304"/>
      <c r="N279" s="308"/>
      <c r="O279" s="304"/>
      <c r="P279" s="1469">
        <f>N279*O279</f>
        <v>0</v>
      </c>
      <c r="Q279" s="1469"/>
      <c r="R279" s="985">
        <f>'Abs21. NPCCHH'!Q11</f>
        <v>0</v>
      </c>
      <c r="S279" s="1547">
        <f>'Abs21. NPCCHH'!R11</f>
        <v>0</v>
      </c>
    </row>
    <row r="280" spans="1:19" x14ac:dyDescent="0.2">
      <c r="A280" s="1366">
        <v>2</v>
      </c>
      <c r="B280" s="501"/>
      <c r="C280" s="568"/>
      <c r="D280" s="501" t="s">
        <v>1310</v>
      </c>
      <c r="E280" s="1559" t="s">
        <v>85</v>
      </c>
      <c r="F280" s="1558" t="s">
        <v>4132</v>
      </c>
      <c r="G280" s="303"/>
      <c r="H280" s="303"/>
      <c r="I280" s="303"/>
      <c r="J280" s="2886"/>
      <c r="K280" s="303"/>
      <c r="L280" s="303"/>
      <c r="M280" s="304"/>
      <c r="N280" s="308"/>
      <c r="O280" s="304"/>
      <c r="P280" s="1507">
        <f>N280*O280</f>
        <v>0</v>
      </c>
      <c r="Q280" s="1507"/>
      <c r="R280" s="985">
        <f>'Abs21. NPCCHH'!Q12</f>
        <v>0</v>
      </c>
      <c r="S280" s="1547">
        <f>'Abs21. NPCCHH'!R12</f>
        <v>0</v>
      </c>
    </row>
    <row r="281" spans="1:19" x14ac:dyDescent="0.2">
      <c r="A281" s="1500" t="s">
        <v>4927</v>
      </c>
      <c r="B281" s="848"/>
      <c r="C281" s="1159"/>
      <c r="D281" s="1024" t="s">
        <v>5093</v>
      </c>
      <c r="E281" s="973"/>
      <c r="F281" s="973"/>
      <c r="G281" s="236"/>
      <c r="H281" s="236"/>
      <c r="I281" s="1520"/>
      <c r="J281" s="1520"/>
      <c r="K281" s="1520"/>
      <c r="L281" s="236"/>
      <c r="M281" s="236"/>
      <c r="N281" s="1519"/>
      <c r="O281" s="421"/>
      <c r="P281" s="1520">
        <f>SUM(P282:P283)</f>
        <v>0</v>
      </c>
      <c r="Q281" s="1520"/>
      <c r="R281" s="1115"/>
      <c r="S281" s="1225">
        <f>SUM(S282:S283)</f>
        <v>0</v>
      </c>
    </row>
    <row r="282" spans="1:19" s="1368" customFormat="1" ht="45" x14ac:dyDescent="0.2">
      <c r="A282" s="1368">
        <v>1</v>
      </c>
      <c r="B282" s="568" t="s">
        <v>4549</v>
      </c>
      <c r="C282" s="568"/>
      <c r="D282" s="568" t="s">
        <v>4551</v>
      </c>
      <c r="E282" s="1559" t="s">
        <v>85</v>
      </c>
      <c r="F282" s="1556" t="s">
        <v>4925</v>
      </c>
      <c r="G282" s="432"/>
      <c r="H282" s="432"/>
      <c r="I282" s="432"/>
      <c r="J282" s="2887"/>
      <c r="K282" s="432"/>
      <c r="L282" s="432"/>
      <c r="M282" s="304"/>
      <c r="N282" s="308"/>
      <c r="O282" s="304"/>
      <c r="P282" s="1469">
        <f>N282*O282</f>
        <v>0</v>
      </c>
      <c r="Q282" s="1469"/>
      <c r="R282" s="985">
        <f>'Abs20. PMNDP'!Q16</f>
        <v>0</v>
      </c>
      <c r="S282" s="1547">
        <f>'Abs20. PMNDP'!R16</f>
        <v>0</v>
      </c>
    </row>
    <row r="283" spans="1:19" x14ac:dyDescent="0.2">
      <c r="A283" s="1366">
        <v>2</v>
      </c>
      <c r="B283" s="501"/>
      <c r="C283" s="568"/>
      <c r="D283" s="501" t="s">
        <v>1310</v>
      </c>
      <c r="E283" s="1559" t="s">
        <v>85</v>
      </c>
      <c r="F283" s="1556" t="s">
        <v>4925</v>
      </c>
      <c r="G283" s="303"/>
      <c r="H283" s="303"/>
      <c r="I283" s="303"/>
      <c r="J283" s="2886"/>
      <c r="K283" s="303"/>
      <c r="L283" s="303"/>
      <c r="M283" s="304"/>
      <c r="N283" s="308"/>
      <c r="O283" s="304"/>
      <c r="P283" s="1507">
        <f>N283*O283</f>
        <v>0</v>
      </c>
      <c r="Q283" s="1507"/>
      <c r="R283" s="985">
        <f>'Abs20. PMNDP'!Q17</f>
        <v>0</v>
      </c>
      <c r="S283" s="1547">
        <f>'Abs20. PMNDP'!R17</f>
        <v>0</v>
      </c>
    </row>
    <row r="286" spans="1:19" x14ac:dyDescent="0.2">
      <c r="O286" s="178"/>
      <c r="P286" s="2840"/>
    </row>
    <row r="287" spans="1:19" x14ac:dyDescent="0.2">
      <c r="O287" s="178"/>
      <c r="P287" s="2841"/>
    </row>
  </sheetData>
  <sheetProtection formatCells="0" formatColumns="0" formatRows="0" autoFilter="0"/>
  <autoFilter ref="A4:BD283"/>
  <mergeCells count="14">
    <mergeCell ref="B145:D145"/>
    <mergeCell ref="B208:D208"/>
    <mergeCell ref="B247:D247"/>
    <mergeCell ref="A3:A4"/>
    <mergeCell ref="B3:C4"/>
    <mergeCell ref="B6:D6"/>
    <mergeCell ref="B24:D24"/>
    <mergeCell ref="A1:D1"/>
    <mergeCell ref="L3:Q3"/>
    <mergeCell ref="R3:S3"/>
    <mergeCell ref="G3:K3"/>
    <mergeCell ref="D3:D4"/>
    <mergeCell ref="E3:E4"/>
    <mergeCell ref="F3:F4"/>
  </mergeCells>
  <phoneticPr fontId="57" type="noConversion"/>
  <pageMargins left="0.7" right="0.7" top="0.75" bottom="0.75" header="0.3" footer="0.3"/>
  <pageSetup paperSize="9" orientation="portrait" horizontalDpi="4294967295" verticalDpi="4294967295"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A66"/>
  <sheetViews>
    <sheetView zoomScale="70" zoomScaleNormal="70" workbookViewId="0">
      <pane xSplit="5" ySplit="7" topLeftCell="F26" activePane="bottomRight" state="frozen"/>
      <selection activeCell="A2" sqref="A2:A4"/>
      <selection pane="topRight" activeCell="A2" sqref="A2:A4"/>
      <selection pane="bottomLeft" activeCell="A2" sqref="A2:A4"/>
      <selection pane="bottomRight" activeCell="Q11" sqref="Q11:R11"/>
    </sheetView>
  </sheetViews>
  <sheetFormatPr defaultColWidth="9.140625" defaultRowHeight="15" x14ac:dyDescent="0.2"/>
  <cols>
    <col min="1" max="1" width="10.140625" style="1178" customWidth="1"/>
    <col min="2" max="2" width="19.85546875" style="1128" customWidth="1"/>
    <col min="3" max="3" width="51" style="1087" customWidth="1"/>
    <col min="4" max="4" width="8.42578125" style="1105" customWidth="1"/>
    <col min="5" max="5" width="22.28515625" style="1105" customWidth="1"/>
    <col min="6" max="6" width="13.140625" style="1087" customWidth="1"/>
    <col min="7" max="7" width="20.5703125" style="1087" customWidth="1"/>
    <col min="8" max="8" width="12.140625" style="1087" customWidth="1"/>
    <col min="9" max="9" width="10.140625" style="1087" customWidth="1"/>
    <col min="10" max="10" width="17.7109375" style="1087" customWidth="1"/>
    <col min="11" max="11" width="11.28515625" style="1087" customWidth="1"/>
    <col min="12" max="12" width="11.42578125" style="1087" customWidth="1"/>
    <col min="13" max="13" width="12.140625" style="957" customWidth="1"/>
    <col min="14" max="14" width="10.85546875" style="1087" customWidth="1"/>
    <col min="15" max="15" width="12.140625" style="957" bestFit="1" customWidth="1"/>
    <col min="16" max="16" width="38.42578125" style="1178" customWidth="1"/>
    <col min="17" max="17" width="34.7109375" style="1178" customWidth="1"/>
    <col min="18" max="18" width="10.5703125" style="1180" customWidth="1"/>
    <col min="19" max="35" width="9.140625" style="1087"/>
    <col min="36" max="36" width="12.5703125" style="1087" customWidth="1"/>
    <col min="37" max="16384" width="9.140625" style="1087"/>
  </cols>
  <sheetData>
    <row r="1" spans="1:53" x14ac:dyDescent="0.2">
      <c r="A1" s="3852" t="s">
        <v>1168</v>
      </c>
      <c r="B1" s="3853"/>
      <c r="C1" s="3854"/>
      <c r="D1" s="1191"/>
      <c r="E1" s="3825" t="s">
        <v>4719</v>
      </c>
      <c r="F1" s="3894" t="s">
        <v>4717</v>
      </c>
      <c r="G1" s="3895"/>
      <c r="H1" s="3895"/>
      <c r="I1" s="3895"/>
      <c r="J1" s="3895"/>
      <c r="K1" s="3895"/>
      <c r="L1" s="3895"/>
      <c r="M1" s="3895"/>
      <c r="N1" s="3896"/>
      <c r="O1" s="3830" t="s">
        <v>70</v>
      </c>
      <c r="P1" s="3831"/>
      <c r="Q1" s="3831"/>
      <c r="R1" s="3831"/>
      <c r="S1" s="3831"/>
      <c r="T1" s="3831"/>
      <c r="U1" s="3831"/>
      <c r="V1" s="3831"/>
      <c r="W1" s="3831"/>
      <c r="X1" s="3831"/>
      <c r="Y1" s="3831"/>
      <c r="Z1" s="3831"/>
      <c r="AA1" s="3831"/>
      <c r="AB1" s="3831"/>
      <c r="AC1" s="3831"/>
      <c r="AD1" s="3831"/>
      <c r="AE1" s="3831"/>
      <c r="AF1" s="3831"/>
      <c r="AG1" s="3831"/>
      <c r="AH1" s="3831"/>
      <c r="AI1" s="3885" t="s">
        <v>4366</v>
      </c>
      <c r="AJ1" s="3886"/>
      <c r="AK1" s="3886"/>
      <c r="AL1" s="3886"/>
      <c r="AM1" s="3886"/>
      <c r="AN1" s="3886"/>
      <c r="AO1" s="3887"/>
      <c r="AP1" s="3872" t="s">
        <v>85</v>
      </c>
      <c r="AQ1" s="3873"/>
      <c r="AR1" s="3873"/>
      <c r="AS1" s="3873"/>
      <c r="AT1" s="3873"/>
      <c r="AU1" s="3873"/>
      <c r="AV1" s="3873"/>
      <c r="AW1" s="3873"/>
      <c r="AX1" s="3873"/>
      <c r="AY1" s="3873"/>
      <c r="AZ1" s="3873"/>
      <c r="BA1" s="3874"/>
    </row>
    <row r="2" spans="1:53" s="1128" customFormat="1" ht="30" x14ac:dyDescent="0.2">
      <c r="A2" s="3811" t="str">
        <f>HYPERLINK("#Index!A4", "Index Pg")</f>
        <v>Index Pg</v>
      </c>
      <c r="B2" s="1367" t="str">
        <f>HYPERLINK("#'Summary of Abstracts'!A2", "Summary of Abst.")</f>
        <v>Summary of Abst.</v>
      </c>
      <c r="C2" s="836"/>
      <c r="D2" s="1193"/>
      <c r="E2" s="3825"/>
      <c r="F2" s="926" t="s">
        <v>118</v>
      </c>
      <c r="G2" s="926" t="s">
        <v>131</v>
      </c>
      <c r="H2" s="926" t="s">
        <v>91</v>
      </c>
      <c r="I2" s="926" t="s">
        <v>4715</v>
      </c>
      <c r="J2" s="926" t="s">
        <v>96</v>
      </c>
      <c r="K2" s="921" t="s">
        <v>4071</v>
      </c>
      <c r="L2" s="1561" t="s">
        <v>4716</v>
      </c>
      <c r="M2" s="1561" t="s">
        <v>4720</v>
      </c>
      <c r="N2" s="1561" t="s">
        <v>208</v>
      </c>
      <c r="O2" s="887" t="s">
        <v>4365</v>
      </c>
      <c r="P2" s="887" t="s">
        <v>3855</v>
      </c>
      <c r="Q2" s="887" t="s">
        <v>4729</v>
      </c>
      <c r="R2" s="887" t="s">
        <v>4726</v>
      </c>
      <c r="S2" s="887"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307</v>
      </c>
      <c r="AI2" s="888" t="s">
        <v>293</v>
      </c>
      <c r="AJ2" s="888" t="s">
        <v>114</v>
      </c>
      <c r="AK2" s="888" t="s">
        <v>146</v>
      </c>
      <c r="AL2" s="888" t="s">
        <v>4683</v>
      </c>
      <c r="AM2" s="888" t="s">
        <v>3323</v>
      </c>
      <c r="AN2" s="888" t="s">
        <v>3993</v>
      </c>
      <c r="AO2" s="888" t="s">
        <v>4553</v>
      </c>
      <c r="AP2" s="889" t="s">
        <v>86</v>
      </c>
      <c r="AQ2" s="889" t="s">
        <v>150</v>
      </c>
      <c r="AR2" s="889" t="s">
        <v>399</v>
      </c>
      <c r="AS2" s="889" t="s">
        <v>152</v>
      </c>
      <c r="AT2" s="889" t="s">
        <v>415</v>
      </c>
      <c r="AU2" s="889" t="s">
        <v>4607</v>
      </c>
      <c r="AV2" s="889" t="s">
        <v>4132</v>
      </c>
      <c r="AW2" s="889" t="s">
        <v>312</v>
      </c>
      <c r="AX2" s="889" t="s">
        <v>314</v>
      </c>
      <c r="AY2" s="889" t="s">
        <v>1034</v>
      </c>
      <c r="AZ2" s="889" t="s">
        <v>1020</v>
      </c>
      <c r="BA2" s="889" t="s">
        <v>4718</v>
      </c>
    </row>
    <row r="3" spans="1:53" s="1128" customFormat="1" x14ac:dyDescent="0.25">
      <c r="A3" s="3812"/>
      <c r="B3" s="831" t="str">
        <f>HYPERLINK("#'Budget Summary I'!A1:AL1", "Budget Summary I")</f>
        <v>Budget Summary I</v>
      </c>
      <c r="C3" s="832" t="s">
        <v>4608</v>
      </c>
      <c r="D3" s="1193"/>
      <c r="E3" s="1195">
        <f>R7</f>
        <v>0</v>
      </c>
      <c r="F3" s="177">
        <f>R9</f>
        <v>0</v>
      </c>
      <c r="G3" s="177">
        <f>R10</f>
        <v>0</v>
      </c>
      <c r="H3" s="177"/>
      <c r="I3" s="177"/>
      <c r="J3" s="177"/>
      <c r="K3" s="961"/>
      <c r="L3" s="177"/>
      <c r="M3" s="177"/>
      <c r="N3" s="961">
        <f>R14+R48</f>
        <v>0</v>
      </c>
      <c r="O3" s="961"/>
      <c r="P3" s="961"/>
      <c r="Q3" s="961"/>
      <c r="R3" s="961"/>
      <c r="S3" s="961"/>
      <c r="T3" s="961"/>
      <c r="U3" s="961"/>
      <c r="V3" s="961"/>
      <c r="W3" s="961"/>
      <c r="X3" s="961"/>
      <c r="Y3" s="961"/>
      <c r="Z3" s="961"/>
      <c r="AA3" s="961"/>
      <c r="AB3" s="961"/>
      <c r="AC3" s="961"/>
      <c r="AD3" s="961"/>
      <c r="AE3" s="961"/>
      <c r="AF3" s="961"/>
      <c r="AG3" s="961"/>
      <c r="AH3" s="961">
        <f>R11+R13+R33+R46+R54+R62</f>
        <v>0</v>
      </c>
      <c r="AI3" s="961">
        <f>R49+R50+R51+R52</f>
        <v>0</v>
      </c>
      <c r="AJ3" s="961">
        <f>R15+R16+R17+R19+R20+R22+R23+R24+R36+R37+R38+R39+R40+R41+R53+R58+R59+R60</f>
        <v>0</v>
      </c>
      <c r="AK3" s="961">
        <f>R57</f>
        <v>0</v>
      </c>
      <c r="AL3" s="961">
        <f>R25+R26+R56</f>
        <v>0</v>
      </c>
      <c r="AM3" s="961"/>
      <c r="AN3" s="961"/>
      <c r="AO3" s="961"/>
      <c r="AP3" s="961">
        <f>R61</f>
        <v>0</v>
      </c>
      <c r="AQ3" s="961"/>
      <c r="AR3" s="961">
        <f>R32</f>
        <v>0</v>
      </c>
      <c r="AS3" s="961">
        <f>R27+R28</f>
        <v>0</v>
      </c>
      <c r="AT3" s="961">
        <f>R29+R30+R43+R44+R45</f>
        <v>0</v>
      </c>
      <c r="AU3" s="961"/>
      <c r="AV3" s="961">
        <f>R31</f>
        <v>0</v>
      </c>
      <c r="AW3" s="961"/>
      <c r="AX3" s="961"/>
      <c r="AY3" s="961"/>
      <c r="AZ3" s="961"/>
      <c r="BA3" s="961"/>
    </row>
    <row r="4" spans="1:53" s="1128" customFormat="1" x14ac:dyDescent="0.25">
      <c r="A4" s="3813"/>
      <c r="B4" s="831" t="str">
        <f>HYPERLINK("#'Budget Summary II'!A3:B5", "Budget Summary II")</f>
        <v>Budget Summary II</v>
      </c>
      <c r="C4" s="832" t="s">
        <v>4609</v>
      </c>
      <c r="D4" s="1193"/>
      <c r="E4" s="1195">
        <f>O7</f>
        <v>0</v>
      </c>
      <c r="F4" s="177">
        <f>O9</f>
        <v>0</v>
      </c>
      <c r="G4" s="177">
        <f>O10</f>
        <v>0</v>
      </c>
      <c r="H4" s="177"/>
      <c r="I4" s="177"/>
      <c r="J4" s="177"/>
      <c r="K4" s="961"/>
      <c r="L4" s="177"/>
      <c r="M4" s="177"/>
      <c r="N4" s="961">
        <f>O14+O48</f>
        <v>0</v>
      </c>
      <c r="O4" s="961"/>
      <c r="P4" s="961"/>
      <c r="Q4" s="961"/>
      <c r="R4" s="961"/>
      <c r="S4" s="961"/>
      <c r="T4" s="961"/>
      <c r="U4" s="961"/>
      <c r="V4" s="961"/>
      <c r="W4" s="961"/>
      <c r="X4" s="961"/>
      <c r="Y4" s="961"/>
      <c r="Z4" s="961"/>
      <c r="AA4" s="961"/>
      <c r="AB4" s="961"/>
      <c r="AC4" s="961"/>
      <c r="AD4" s="961"/>
      <c r="AE4" s="961"/>
      <c r="AF4" s="961"/>
      <c r="AG4" s="961"/>
      <c r="AH4" s="961">
        <f>O11+O13+O33+O46+O54+O62</f>
        <v>0</v>
      </c>
      <c r="AI4" s="961">
        <f>O49+O50+O51+O52</f>
        <v>0</v>
      </c>
      <c r="AJ4" s="961">
        <f>O15+O16+O17+O19+O20+O22+O23+O24+O36+O37+O38+O39+O40+O41+O53+O58+O59+O60</f>
        <v>0</v>
      </c>
      <c r="AK4" s="961">
        <f>O57</f>
        <v>0</v>
      </c>
      <c r="AL4" s="961">
        <f>O25+O26+O56</f>
        <v>0</v>
      </c>
      <c r="AM4" s="961"/>
      <c r="AN4" s="961"/>
      <c r="AO4" s="961"/>
      <c r="AP4" s="961">
        <f>O61</f>
        <v>0</v>
      </c>
      <c r="AQ4" s="961"/>
      <c r="AR4" s="961">
        <f>O32</f>
        <v>0</v>
      </c>
      <c r="AS4" s="961">
        <f>O27+O28</f>
        <v>0</v>
      </c>
      <c r="AT4" s="961">
        <f>O29+O30+O43+O44+O45</f>
        <v>0</v>
      </c>
      <c r="AU4" s="961"/>
      <c r="AV4" s="961">
        <f>O31</f>
        <v>0</v>
      </c>
      <c r="AW4" s="961"/>
      <c r="AX4" s="961"/>
      <c r="AY4" s="961"/>
      <c r="AZ4" s="961"/>
      <c r="BA4" s="961"/>
    </row>
    <row r="5" spans="1:53" s="1105" customFormat="1" x14ac:dyDescent="0.2">
      <c r="A5" s="3823" t="s">
        <v>53</v>
      </c>
      <c r="B5" s="3823" t="s">
        <v>54</v>
      </c>
      <c r="C5" s="3823" t="s">
        <v>55</v>
      </c>
      <c r="D5" s="3823" t="s">
        <v>56</v>
      </c>
      <c r="E5" s="3823" t="s">
        <v>57</v>
      </c>
      <c r="F5" s="3876" t="s">
        <v>4629</v>
      </c>
      <c r="G5" s="3876"/>
      <c r="H5" s="3876"/>
      <c r="I5" s="3876"/>
      <c r="J5" s="3876"/>
      <c r="K5" s="3877" t="s">
        <v>4640</v>
      </c>
      <c r="L5" s="3888"/>
      <c r="M5" s="3888"/>
      <c r="N5" s="3888"/>
      <c r="O5" s="3888"/>
      <c r="P5" s="3889"/>
      <c r="Q5" s="3890" t="s">
        <v>4670</v>
      </c>
      <c r="R5" s="3891"/>
    </row>
    <row r="6" spans="1:53" s="1105" customFormat="1" ht="45" x14ac:dyDescent="0.2">
      <c r="A6" s="3823"/>
      <c r="B6" s="3823"/>
      <c r="C6" s="3823"/>
      <c r="D6" s="3823"/>
      <c r="E6" s="3823"/>
      <c r="F6" s="896" t="s">
        <v>4630</v>
      </c>
      <c r="G6" s="896" t="s">
        <v>4638</v>
      </c>
      <c r="H6" s="896" t="s">
        <v>4631</v>
      </c>
      <c r="I6" s="896" t="s">
        <v>4639</v>
      </c>
      <c r="J6" s="896" t="s">
        <v>2538</v>
      </c>
      <c r="K6" s="897" t="s">
        <v>58</v>
      </c>
      <c r="L6" s="897" t="s">
        <v>59</v>
      </c>
      <c r="M6" s="898" t="s">
        <v>60</v>
      </c>
      <c r="N6" s="897" t="s">
        <v>61</v>
      </c>
      <c r="O6" s="898" t="s">
        <v>62</v>
      </c>
      <c r="P6" s="897" t="s">
        <v>5547</v>
      </c>
      <c r="Q6" s="899" t="s">
        <v>2540</v>
      </c>
      <c r="R6" s="900" t="s">
        <v>4671</v>
      </c>
      <c r="S6" s="1105" t="s">
        <v>4724</v>
      </c>
    </row>
    <row r="7" spans="1:53" x14ac:dyDescent="0.2">
      <c r="A7" s="234">
        <v>10</v>
      </c>
      <c r="B7" s="1210"/>
      <c r="C7" s="234" t="s">
        <v>2862</v>
      </c>
      <c r="D7" s="966"/>
      <c r="E7" s="966"/>
      <c r="F7" s="966"/>
      <c r="G7" s="966"/>
      <c r="H7" s="224"/>
      <c r="I7" s="224"/>
      <c r="J7" s="224"/>
      <c r="K7" s="966"/>
      <c r="L7" s="966"/>
      <c r="M7" s="176"/>
      <c r="N7" s="966"/>
      <c r="O7" s="224">
        <f>O8+O12+O34+O47+O55</f>
        <v>0</v>
      </c>
      <c r="P7" s="234"/>
      <c r="Q7" s="234"/>
      <c r="R7" s="224">
        <f>R8+R12+R34+R47+R55</f>
        <v>0</v>
      </c>
      <c r="S7" s="1132">
        <f>SUM(S8:S62)</f>
        <v>0</v>
      </c>
    </row>
    <row r="8" spans="1:53" s="1564" customFormat="1" x14ac:dyDescent="0.2">
      <c r="A8" s="1266">
        <v>10.1</v>
      </c>
      <c r="B8" s="1562"/>
      <c r="C8" s="1106" t="s">
        <v>24</v>
      </c>
      <c r="D8" s="1563"/>
      <c r="E8" s="1563"/>
      <c r="F8" s="1106"/>
      <c r="G8" s="1106"/>
      <c r="H8" s="1450"/>
      <c r="I8" s="1450"/>
      <c r="J8" s="1450"/>
      <c r="K8" s="1106"/>
      <c r="L8" s="1106"/>
      <c r="M8" s="1450"/>
      <c r="N8" s="1106"/>
      <c r="O8" s="1450">
        <f>SUM(O9:O11)</f>
        <v>0</v>
      </c>
      <c r="P8" s="99"/>
      <c r="Q8" s="99"/>
      <c r="R8" s="618">
        <f>SUM(R9:R11)</f>
        <v>0</v>
      </c>
    </row>
    <row r="9" spans="1:53" s="1564" customFormat="1" ht="30" x14ac:dyDescent="0.2">
      <c r="A9" s="1565" t="s">
        <v>1169</v>
      </c>
      <c r="B9" s="1345" t="s">
        <v>769</v>
      </c>
      <c r="C9" s="502" t="s">
        <v>1170</v>
      </c>
      <c r="D9" s="1566" t="s">
        <v>90</v>
      </c>
      <c r="E9" s="1567" t="s">
        <v>118</v>
      </c>
      <c r="F9" s="1567"/>
      <c r="G9" s="1568"/>
      <c r="H9" s="1569"/>
      <c r="I9" s="2485"/>
      <c r="J9" s="2485"/>
      <c r="K9" s="2485"/>
      <c r="L9" s="2485"/>
      <c r="M9" s="327"/>
      <c r="N9" s="304"/>
      <c r="O9" s="327">
        <f>M9*N9</f>
        <v>0</v>
      </c>
      <c r="P9" s="2486"/>
      <c r="Q9" s="1570">
        <f>'Ab1. RMNCH+A'!Q91</f>
        <v>0</v>
      </c>
      <c r="R9" s="675">
        <f>'Ab1. RMNCH+A'!R91</f>
        <v>0</v>
      </c>
    </row>
    <row r="10" spans="1:53" s="1564" customFormat="1" x14ac:dyDescent="0.2">
      <c r="A10" s="1565" t="s">
        <v>2101</v>
      </c>
      <c r="B10" s="1345" t="s">
        <v>835</v>
      </c>
      <c r="C10" s="502" t="s">
        <v>1171</v>
      </c>
      <c r="D10" s="1566" t="s">
        <v>90</v>
      </c>
      <c r="E10" s="1567" t="s">
        <v>131</v>
      </c>
      <c r="F10" s="1527"/>
      <c r="G10" s="1567"/>
      <c r="H10" s="1569"/>
      <c r="I10" s="2888"/>
      <c r="J10" s="1527"/>
      <c r="K10" s="1527"/>
      <c r="L10" s="1130"/>
      <c r="M10" s="327"/>
      <c r="N10" s="304"/>
      <c r="O10" s="327">
        <f>M10*N10</f>
        <v>0</v>
      </c>
      <c r="P10" s="67"/>
      <c r="Q10" s="441">
        <f>'Ab1. RMNCH+A'!Q174</f>
        <v>0</v>
      </c>
      <c r="R10" s="675">
        <f>'Ab1. RMNCH+A'!R174</f>
        <v>0</v>
      </c>
    </row>
    <row r="11" spans="1:53" s="1564" customFormat="1" x14ac:dyDescent="0.2">
      <c r="A11" s="1565" t="s">
        <v>2622</v>
      </c>
      <c r="B11" s="1284"/>
      <c r="C11" s="502" t="s">
        <v>1310</v>
      </c>
      <c r="D11" s="886" t="s">
        <v>70</v>
      </c>
      <c r="E11" s="1567" t="s">
        <v>70</v>
      </c>
      <c r="F11" s="2487"/>
      <c r="G11" s="2488"/>
      <c r="H11" s="2485"/>
      <c r="I11" s="2485"/>
      <c r="J11" s="2485"/>
      <c r="K11" s="2485"/>
      <c r="L11" s="2485"/>
      <c r="M11" s="327"/>
      <c r="N11" s="304"/>
      <c r="O11" s="327">
        <f>M11*N11</f>
        <v>0</v>
      </c>
      <c r="P11" s="2486"/>
      <c r="Q11" s="3282"/>
      <c r="R11" s="3283"/>
    </row>
    <row r="12" spans="1:53" s="1564" customFormat="1" x14ac:dyDescent="0.2">
      <c r="A12" s="1266">
        <v>10.199999999999999</v>
      </c>
      <c r="B12" s="1562"/>
      <c r="C12" s="1106" t="s">
        <v>25</v>
      </c>
      <c r="D12" s="1563"/>
      <c r="E12" s="1563"/>
      <c r="F12" s="1106"/>
      <c r="G12" s="1106"/>
      <c r="H12" s="618"/>
      <c r="I12" s="618"/>
      <c r="J12" s="618"/>
      <c r="K12" s="1106"/>
      <c r="L12" s="1106"/>
      <c r="M12" s="1450"/>
      <c r="N12" s="295"/>
      <c r="O12" s="618">
        <f>SUM(O13:O17)+O18+O21+SUM(O25:O33)</f>
        <v>0</v>
      </c>
      <c r="P12" s="109"/>
      <c r="Q12" s="99"/>
      <c r="R12" s="618">
        <f>SUM(R13:R17)+R18+R21+SUM(R25:R33)</f>
        <v>0</v>
      </c>
    </row>
    <row r="13" spans="1:53" s="1564" customFormat="1" x14ac:dyDescent="0.2">
      <c r="A13" s="1565" t="s">
        <v>1172</v>
      </c>
      <c r="B13" s="1328" t="s">
        <v>1173</v>
      </c>
      <c r="C13" s="1572" t="s">
        <v>1174</v>
      </c>
      <c r="D13" s="886" t="s">
        <v>70</v>
      </c>
      <c r="E13" s="1567" t="s">
        <v>70</v>
      </c>
      <c r="F13" s="1527"/>
      <c r="G13" s="1527"/>
      <c r="H13" s="1527"/>
      <c r="I13" s="2889"/>
      <c r="J13" s="1527"/>
      <c r="K13" s="1527"/>
      <c r="L13" s="1130"/>
      <c r="M13" s="327"/>
      <c r="N13" s="304"/>
      <c r="O13" s="327">
        <f>M13*N13</f>
        <v>0</v>
      </c>
      <c r="P13" s="243"/>
      <c r="Q13" s="354"/>
      <c r="R13" s="230"/>
    </row>
    <row r="14" spans="1:53" x14ac:dyDescent="0.2">
      <c r="A14" s="1565" t="s">
        <v>1175</v>
      </c>
      <c r="B14" s="1328" t="s">
        <v>1176</v>
      </c>
      <c r="C14" s="1328" t="s">
        <v>1177</v>
      </c>
      <c r="D14" s="1429" t="s">
        <v>90</v>
      </c>
      <c r="E14" s="1130" t="s">
        <v>208</v>
      </c>
      <c r="F14" s="2487"/>
      <c r="G14" s="2489"/>
      <c r="H14" s="2490"/>
      <c r="I14" s="2491"/>
      <c r="J14" s="2489"/>
      <c r="K14" s="2489"/>
      <c r="L14" s="2489"/>
      <c r="M14" s="327"/>
      <c r="N14" s="304"/>
      <c r="O14" s="327">
        <f>M14*N14</f>
        <v>0</v>
      </c>
      <c r="P14" s="2492"/>
      <c r="Q14" s="254">
        <f>'Ab2. NIDDCP'!Q16</f>
        <v>0</v>
      </c>
      <c r="R14" s="675">
        <f>'Ab2. NIDDCP'!R16</f>
        <v>0</v>
      </c>
    </row>
    <row r="15" spans="1:53" s="1564" customFormat="1" x14ac:dyDescent="0.2">
      <c r="A15" s="1565" t="s">
        <v>1178</v>
      </c>
      <c r="B15" s="409" t="s">
        <v>1179</v>
      </c>
      <c r="C15" s="409" t="s">
        <v>1180</v>
      </c>
      <c r="D15" s="980" t="s">
        <v>4366</v>
      </c>
      <c r="E15" s="1567" t="s">
        <v>1682</v>
      </c>
      <c r="F15" s="1527"/>
      <c r="G15" s="1527"/>
      <c r="H15" s="1527"/>
      <c r="I15" s="2889"/>
      <c r="J15" s="1527"/>
      <c r="K15" s="1527"/>
      <c r="L15" s="1130"/>
      <c r="M15" s="327"/>
      <c r="N15" s="304"/>
      <c r="O15" s="327">
        <f>M15*N15</f>
        <v>0</v>
      </c>
      <c r="P15" s="243"/>
      <c r="Q15" s="443">
        <f>'Abs9. NVBDCP'!Q71</f>
        <v>0</v>
      </c>
      <c r="R15" s="227">
        <f>'Abs9. NVBDCP'!R71</f>
        <v>0</v>
      </c>
    </row>
    <row r="16" spans="1:53" s="1564" customFormat="1" ht="30" x14ac:dyDescent="0.2">
      <c r="A16" s="1565" t="s">
        <v>1181</v>
      </c>
      <c r="B16" s="409" t="s">
        <v>1182</v>
      </c>
      <c r="C16" s="409" t="s">
        <v>1183</v>
      </c>
      <c r="D16" s="980" t="s">
        <v>4366</v>
      </c>
      <c r="E16" s="1567" t="s">
        <v>4983</v>
      </c>
      <c r="F16" s="1527"/>
      <c r="G16" s="1527"/>
      <c r="H16" s="1527"/>
      <c r="I16" s="2889"/>
      <c r="J16" s="1527"/>
      <c r="K16" s="1527"/>
      <c r="L16" s="1130"/>
      <c r="M16" s="327"/>
      <c r="N16" s="304"/>
      <c r="O16" s="327">
        <f>M16*N16</f>
        <v>0</v>
      </c>
      <c r="P16" s="243"/>
      <c r="Q16" s="443">
        <f>'Abs9. NVBDCP'!Q72</f>
        <v>0</v>
      </c>
      <c r="R16" s="227">
        <f>'Abs9. NVBDCP'!R72</f>
        <v>0</v>
      </c>
    </row>
    <row r="17" spans="1:18" s="1564" customFormat="1" ht="30" x14ac:dyDescent="0.2">
      <c r="A17" s="1565" t="s">
        <v>1184</v>
      </c>
      <c r="B17" s="409" t="s">
        <v>1185</v>
      </c>
      <c r="C17" s="409" t="s">
        <v>1186</v>
      </c>
      <c r="D17" s="980" t="s">
        <v>4366</v>
      </c>
      <c r="E17" s="1567" t="s">
        <v>4983</v>
      </c>
      <c r="F17" s="1381"/>
      <c r="G17" s="1381"/>
      <c r="H17" s="1381"/>
      <c r="I17" s="2890"/>
      <c r="J17" s="1381"/>
      <c r="K17" s="1381"/>
      <c r="L17" s="1130"/>
      <c r="M17" s="327"/>
      <c r="N17" s="304"/>
      <c r="O17" s="327">
        <f>M17*N17</f>
        <v>0</v>
      </c>
      <c r="P17" s="257"/>
      <c r="Q17" s="443">
        <f>'Abs9. NVBDCP'!Q73</f>
        <v>0</v>
      </c>
      <c r="R17" s="227">
        <f>'Abs9. NVBDCP'!R73</f>
        <v>0</v>
      </c>
    </row>
    <row r="18" spans="1:18" s="1564" customFormat="1" ht="30" x14ac:dyDescent="0.2">
      <c r="A18" s="1539" t="s">
        <v>1187</v>
      </c>
      <c r="B18" s="1573" t="s">
        <v>1188</v>
      </c>
      <c r="C18" s="1552" t="s">
        <v>1189</v>
      </c>
      <c r="D18" s="1574"/>
      <c r="E18" s="1575"/>
      <c r="F18" s="1539"/>
      <c r="G18" s="1539"/>
      <c r="H18" s="1577"/>
      <c r="I18" s="1577"/>
      <c r="J18" s="1577"/>
      <c r="K18" s="1539"/>
      <c r="L18" s="1539"/>
      <c r="M18" s="1576"/>
      <c r="N18" s="296"/>
      <c r="O18" s="1577">
        <f>SUM(O19:O20)</f>
        <v>0</v>
      </c>
      <c r="P18" s="445"/>
      <c r="Q18" s="100"/>
      <c r="R18" s="329">
        <f>SUM(R19:R20)</f>
        <v>0</v>
      </c>
    </row>
    <row r="19" spans="1:18" s="1564" customFormat="1" ht="30" x14ac:dyDescent="0.2">
      <c r="A19" s="1565" t="s">
        <v>1300</v>
      </c>
      <c r="B19" s="409" t="s">
        <v>1191</v>
      </c>
      <c r="C19" s="409" t="s">
        <v>3987</v>
      </c>
      <c r="D19" s="980" t="s">
        <v>4366</v>
      </c>
      <c r="E19" s="1567" t="s">
        <v>4983</v>
      </c>
      <c r="F19" s="2493"/>
      <c r="G19" s="2494"/>
      <c r="H19" s="2495"/>
      <c r="I19" s="2495"/>
      <c r="J19" s="2495"/>
      <c r="K19" s="2495"/>
      <c r="L19" s="2495"/>
      <c r="M19" s="327"/>
      <c r="N19" s="304"/>
      <c r="O19" s="327">
        <f>M19*N19</f>
        <v>0</v>
      </c>
      <c r="P19" s="243"/>
      <c r="Q19" s="443">
        <f>'Abs9. NVBDCP'!Q74</f>
        <v>0</v>
      </c>
      <c r="R19" s="227">
        <f>'Abs9. NVBDCP'!R74</f>
        <v>0</v>
      </c>
    </row>
    <row r="20" spans="1:18" s="1564" customFormat="1" ht="30" x14ac:dyDescent="0.2">
      <c r="A20" s="1565" t="s">
        <v>1301</v>
      </c>
      <c r="B20" s="409" t="s">
        <v>1193</v>
      </c>
      <c r="C20" s="409" t="s">
        <v>3988</v>
      </c>
      <c r="D20" s="980" t="s">
        <v>4366</v>
      </c>
      <c r="E20" s="1567" t="s">
        <v>4983</v>
      </c>
      <c r="F20" s="2493"/>
      <c r="G20" s="2488"/>
      <c r="H20" s="2485"/>
      <c r="I20" s="2485"/>
      <c r="J20" s="2485"/>
      <c r="K20" s="2485"/>
      <c r="L20" s="2496"/>
      <c r="M20" s="327"/>
      <c r="N20" s="304"/>
      <c r="O20" s="327">
        <f>M20*N20</f>
        <v>0</v>
      </c>
      <c r="P20" s="2486"/>
      <c r="Q20" s="443">
        <f>'Abs9. NVBDCP'!Q75</f>
        <v>0</v>
      </c>
      <c r="R20" s="227">
        <f>'Abs9. NVBDCP'!R75</f>
        <v>0</v>
      </c>
    </row>
    <row r="21" spans="1:18" s="1564" customFormat="1" x14ac:dyDescent="0.2">
      <c r="A21" s="1539" t="s">
        <v>1190</v>
      </c>
      <c r="B21" s="1573" t="s">
        <v>1195</v>
      </c>
      <c r="C21" s="1552" t="s">
        <v>1196</v>
      </c>
      <c r="D21" s="1574"/>
      <c r="E21" s="1575"/>
      <c r="F21" s="1539"/>
      <c r="G21" s="1539"/>
      <c r="H21" s="1577"/>
      <c r="I21" s="1577"/>
      <c r="J21" s="1577"/>
      <c r="K21" s="1539"/>
      <c r="L21" s="1539"/>
      <c r="M21" s="1576"/>
      <c r="N21" s="296"/>
      <c r="O21" s="1577">
        <f>SUM(O22:O24)</f>
        <v>0</v>
      </c>
      <c r="P21" s="445"/>
      <c r="Q21" s="100"/>
      <c r="R21" s="329">
        <f>SUM(R22:R24)</f>
        <v>0</v>
      </c>
    </row>
    <row r="22" spans="1:18" s="1564" customFormat="1" ht="30" x14ac:dyDescent="0.2">
      <c r="A22" s="1565" t="s">
        <v>1302</v>
      </c>
      <c r="B22" s="409" t="s">
        <v>1198</v>
      </c>
      <c r="C22" s="409" t="s">
        <v>3989</v>
      </c>
      <c r="D22" s="980" t="s">
        <v>4366</v>
      </c>
      <c r="E22" s="1567" t="s">
        <v>4983</v>
      </c>
      <c r="F22" s="2487"/>
      <c r="G22" s="2489"/>
      <c r="H22" s="2490"/>
      <c r="I22" s="2497"/>
      <c r="J22" s="2489"/>
      <c r="K22" s="2489"/>
      <c r="L22" s="2489"/>
      <c r="M22" s="327"/>
      <c r="N22" s="2487"/>
      <c r="O22" s="327">
        <f t="shared" ref="O22:O33" si="0">M22*N22</f>
        <v>0</v>
      </c>
      <c r="P22" s="2486"/>
      <c r="Q22" s="443">
        <f>'Abs9. NVBDCP'!Q76</f>
        <v>0</v>
      </c>
      <c r="R22" s="227">
        <f>'Abs9. NVBDCP'!R76</f>
        <v>0</v>
      </c>
    </row>
    <row r="23" spans="1:18" s="1564" customFormat="1" ht="30" x14ac:dyDescent="0.2">
      <c r="A23" s="1565" t="s">
        <v>1303</v>
      </c>
      <c r="B23" s="409" t="s">
        <v>1200</v>
      </c>
      <c r="C23" s="409" t="s">
        <v>3990</v>
      </c>
      <c r="D23" s="980" t="s">
        <v>4366</v>
      </c>
      <c r="E23" s="1567" t="s">
        <v>4983</v>
      </c>
      <c r="F23" s="2487"/>
      <c r="G23" s="2489"/>
      <c r="H23" s="2490"/>
      <c r="I23" s="2497"/>
      <c r="J23" s="2489"/>
      <c r="K23" s="2489"/>
      <c r="L23" s="2489"/>
      <c r="M23" s="327"/>
      <c r="N23" s="2487"/>
      <c r="O23" s="327">
        <f t="shared" si="0"/>
        <v>0</v>
      </c>
      <c r="P23" s="2486"/>
      <c r="Q23" s="443">
        <f>'Abs9. NVBDCP'!Q77</f>
        <v>0</v>
      </c>
      <c r="R23" s="227">
        <f>'Abs9. NVBDCP'!R77</f>
        <v>0</v>
      </c>
    </row>
    <row r="24" spans="1:18" s="1564" customFormat="1" ht="30" x14ac:dyDescent="0.2">
      <c r="A24" s="1565" t="s">
        <v>1304</v>
      </c>
      <c r="B24" s="409" t="s">
        <v>1201</v>
      </c>
      <c r="C24" s="409" t="s">
        <v>3991</v>
      </c>
      <c r="D24" s="980" t="s">
        <v>4366</v>
      </c>
      <c r="E24" s="1567" t="s">
        <v>4983</v>
      </c>
      <c r="F24" s="2487"/>
      <c r="G24" s="2498"/>
      <c r="H24" s="2487"/>
      <c r="I24" s="2487"/>
      <c r="J24" s="2487"/>
      <c r="K24" s="2487"/>
      <c r="L24" s="2487"/>
      <c r="M24" s="327"/>
      <c r="N24" s="2487"/>
      <c r="O24" s="327">
        <f t="shared" si="0"/>
        <v>0</v>
      </c>
      <c r="P24" s="2499"/>
      <c r="Q24" s="443">
        <f>'Abs9. NVBDCP'!Q78</f>
        <v>0</v>
      </c>
      <c r="R24" s="227">
        <f>'Abs9. NVBDCP'!R78</f>
        <v>0</v>
      </c>
    </row>
    <row r="25" spans="1:18" s="1564" customFormat="1" x14ac:dyDescent="0.2">
      <c r="A25" s="1565" t="s">
        <v>1192</v>
      </c>
      <c r="B25" s="409" t="s">
        <v>1202</v>
      </c>
      <c r="C25" s="409" t="s">
        <v>1203</v>
      </c>
      <c r="D25" s="980" t="s">
        <v>4366</v>
      </c>
      <c r="E25" s="1567" t="s">
        <v>4683</v>
      </c>
      <c r="F25" s="2487"/>
      <c r="G25" s="2488"/>
      <c r="H25" s="2485"/>
      <c r="I25" s="2485"/>
      <c r="J25" s="2485"/>
      <c r="K25" s="2485"/>
      <c r="L25" s="2485"/>
      <c r="M25" s="327"/>
      <c r="N25" s="304"/>
      <c r="O25" s="327">
        <f t="shared" si="0"/>
        <v>0</v>
      </c>
      <c r="P25" s="2486"/>
      <c r="Q25" s="443">
        <f>'Abs11. NTEP'!Q37</f>
        <v>0</v>
      </c>
      <c r="R25" s="227">
        <f>'Abs11. NTEP'!R37</f>
        <v>0</v>
      </c>
    </row>
    <row r="26" spans="1:18" s="1564" customFormat="1" x14ac:dyDescent="0.2">
      <c r="A26" s="1565" t="s">
        <v>1194</v>
      </c>
      <c r="B26" s="409" t="s">
        <v>1088</v>
      </c>
      <c r="C26" s="409" t="s">
        <v>2359</v>
      </c>
      <c r="D26" s="980" t="s">
        <v>4366</v>
      </c>
      <c r="E26" s="1567" t="s">
        <v>4683</v>
      </c>
      <c r="F26" s="1455"/>
      <c r="G26" s="1411"/>
      <c r="H26" s="1569"/>
      <c r="I26" s="2888"/>
      <c r="J26" s="1455"/>
      <c r="K26" s="1527"/>
      <c r="L26" s="1130"/>
      <c r="M26" s="327"/>
      <c r="N26" s="304"/>
      <c r="O26" s="327">
        <f t="shared" si="0"/>
        <v>0</v>
      </c>
      <c r="P26" s="243"/>
      <c r="Q26" s="443">
        <f>'Abs11. NTEP'!Q38</f>
        <v>0</v>
      </c>
      <c r="R26" s="227">
        <f>'Abs11. NTEP'!R38</f>
        <v>0</v>
      </c>
    </row>
    <row r="27" spans="1:18" s="1564" customFormat="1" x14ac:dyDescent="0.2">
      <c r="A27" s="1565" t="s">
        <v>1197</v>
      </c>
      <c r="B27" s="409" t="s">
        <v>1204</v>
      </c>
      <c r="C27" s="502" t="s">
        <v>1205</v>
      </c>
      <c r="D27" s="1559" t="s">
        <v>85</v>
      </c>
      <c r="E27" s="1567" t="s">
        <v>152</v>
      </c>
      <c r="F27" s="1527"/>
      <c r="G27" s="1527"/>
      <c r="H27" s="1527"/>
      <c r="I27" s="2889"/>
      <c r="J27" s="1527"/>
      <c r="K27" s="1527"/>
      <c r="L27" s="1130"/>
      <c r="M27" s="327"/>
      <c r="N27" s="304"/>
      <c r="O27" s="327">
        <f t="shared" si="0"/>
        <v>0</v>
      </c>
      <c r="P27" s="243"/>
      <c r="Q27" s="443">
        <f>'Abs18. NTCP'!Q21</f>
        <v>0</v>
      </c>
      <c r="R27" s="227">
        <f>'Abs18. NTCP'!R21</f>
        <v>0</v>
      </c>
    </row>
    <row r="28" spans="1:18" s="1564" customFormat="1" x14ac:dyDescent="0.2">
      <c r="A28" s="1565" t="s">
        <v>1199</v>
      </c>
      <c r="B28" s="409" t="s">
        <v>1206</v>
      </c>
      <c r="C28" s="409" t="s">
        <v>1207</v>
      </c>
      <c r="D28" s="1559" t="s">
        <v>85</v>
      </c>
      <c r="E28" s="1567" t="s">
        <v>152</v>
      </c>
      <c r="F28" s="1527"/>
      <c r="G28" s="1527"/>
      <c r="H28" s="1527"/>
      <c r="I28" s="2889"/>
      <c r="J28" s="1527"/>
      <c r="K28" s="1527"/>
      <c r="L28" s="1130"/>
      <c r="M28" s="327"/>
      <c r="N28" s="304"/>
      <c r="O28" s="327">
        <f t="shared" si="0"/>
        <v>0</v>
      </c>
      <c r="P28" s="243"/>
      <c r="Q28" s="443">
        <f>'Abs18. NTCP'!Q22</f>
        <v>0</v>
      </c>
      <c r="R28" s="227">
        <f>'Abs18. NTCP'!R22</f>
        <v>0</v>
      </c>
    </row>
    <row r="29" spans="1:18" x14ac:dyDescent="0.2">
      <c r="A29" s="1565" t="s">
        <v>2623</v>
      </c>
      <c r="B29" s="1328" t="s">
        <v>1209</v>
      </c>
      <c r="C29" s="1328" t="s">
        <v>2625</v>
      </c>
      <c r="D29" s="1559" t="s">
        <v>85</v>
      </c>
      <c r="E29" s="1130" t="s">
        <v>415</v>
      </c>
      <c r="F29" s="1381"/>
      <c r="G29" s="1381"/>
      <c r="H29" s="1381"/>
      <c r="I29" s="2890"/>
      <c r="J29" s="1381"/>
      <c r="K29" s="1381"/>
      <c r="L29" s="1130"/>
      <c r="M29" s="327"/>
      <c r="N29" s="304"/>
      <c r="O29" s="327">
        <f t="shared" si="0"/>
        <v>0</v>
      </c>
      <c r="P29" s="257"/>
      <c r="Q29" s="254">
        <f>'Abs19. NPCDCS'!Q41</f>
        <v>0</v>
      </c>
      <c r="R29" s="227">
        <f>'Abs19. NPCDCS'!R41</f>
        <v>0</v>
      </c>
    </row>
    <row r="30" spans="1:18" x14ac:dyDescent="0.2">
      <c r="A30" s="1565" t="s">
        <v>2624</v>
      </c>
      <c r="B30" s="1328" t="s">
        <v>1211</v>
      </c>
      <c r="C30" s="1328" t="s">
        <v>2626</v>
      </c>
      <c r="D30" s="1559" t="s">
        <v>85</v>
      </c>
      <c r="E30" s="1130" t="s">
        <v>415</v>
      </c>
      <c r="F30" s="1381"/>
      <c r="G30" s="1381"/>
      <c r="H30" s="1381"/>
      <c r="I30" s="2890"/>
      <c r="J30" s="1381"/>
      <c r="K30" s="1381"/>
      <c r="L30" s="1130"/>
      <c r="M30" s="327"/>
      <c r="N30" s="304"/>
      <c r="O30" s="327">
        <f t="shared" si="0"/>
        <v>0</v>
      </c>
      <c r="P30" s="257"/>
      <c r="Q30" s="254">
        <f>'Abs19. NPCDCS'!Q42</f>
        <v>0</v>
      </c>
      <c r="R30" s="227">
        <f>'Abs19. NPCDCS'!R42</f>
        <v>0</v>
      </c>
    </row>
    <row r="31" spans="1:18" ht="45" x14ac:dyDescent="0.2">
      <c r="A31" s="1565" t="s">
        <v>2627</v>
      </c>
      <c r="B31" s="1477"/>
      <c r="C31" s="1328" t="s">
        <v>4140</v>
      </c>
      <c r="D31" s="1559" t="s">
        <v>85</v>
      </c>
      <c r="E31" s="1130" t="s">
        <v>4132</v>
      </c>
      <c r="F31" s="1381"/>
      <c r="G31" s="1381"/>
      <c r="H31" s="1381"/>
      <c r="I31" s="2890"/>
      <c r="J31" s="1381"/>
      <c r="K31" s="3028"/>
      <c r="L31" s="1130"/>
      <c r="M31" s="327"/>
      <c r="N31" s="304"/>
      <c r="O31" s="327">
        <f>M31*N31</f>
        <v>0</v>
      </c>
      <c r="P31" s="3029"/>
      <c r="Q31" s="254">
        <f>'Abs21. NPCCHH'!Q14</f>
        <v>0</v>
      </c>
      <c r="R31" s="227">
        <f>'Abs21. NPCCHH'!R14</f>
        <v>0</v>
      </c>
    </row>
    <row r="32" spans="1:18" s="1128" customFormat="1" x14ac:dyDescent="0.2">
      <c r="A32" s="1565" t="s">
        <v>4139</v>
      </c>
      <c r="B32" s="1477"/>
      <c r="C32" s="1477" t="s">
        <v>4430</v>
      </c>
      <c r="D32" s="1559" t="s">
        <v>85</v>
      </c>
      <c r="E32" s="1147" t="s">
        <v>399</v>
      </c>
      <c r="F32" s="1149"/>
      <c r="G32" s="1149"/>
      <c r="H32" s="1149"/>
      <c r="I32" s="2891"/>
      <c r="J32" s="1149"/>
      <c r="K32" s="1149"/>
      <c r="L32" s="1130"/>
      <c r="M32" s="327"/>
      <c r="N32" s="304"/>
      <c r="O32" s="328">
        <f>M32*N32</f>
        <v>0</v>
      </c>
      <c r="P32" s="317"/>
      <c r="Q32" s="255">
        <f>'Abs17. NPHCE'!Q26</f>
        <v>0</v>
      </c>
      <c r="R32" s="619">
        <f>'Abs17. NPHCE'!R26</f>
        <v>0</v>
      </c>
    </row>
    <row r="33" spans="1:18" x14ac:dyDescent="0.2">
      <c r="A33" s="1565" t="s">
        <v>4429</v>
      </c>
      <c r="B33" s="1477"/>
      <c r="C33" s="1477" t="s">
        <v>1310</v>
      </c>
      <c r="D33" s="886" t="s">
        <v>70</v>
      </c>
      <c r="E33" s="1147" t="s">
        <v>70</v>
      </c>
      <c r="F33" s="1149"/>
      <c r="G33" s="1149"/>
      <c r="H33" s="1149"/>
      <c r="I33" s="2891"/>
      <c r="J33" s="1149"/>
      <c r="K33" s="2871"/>
      <c r="L33" s="1130"/>
      <c r="M33" s="327"/>
      <c r="N33" s="304"/>
      <c r="O33" s="328">
        <f t="shared" si="0"/>
        <v>0</v>
      </c>
      <c r="P33" s="2872"/>
      <c r="Q33" s="242"/>
      <c r="R33" s="230"/>
    </row>
    <row r="34" spans="1:18" x14ac:dyDescent="0.2">
      <c r="A34" s="1266">
        <v>10.3</v>
      </c>
      <c r="B34" s="1562"/>
      <c r="C34" s="1106" t="s">
        <v>26</v>
      </c>
      <c r="D34" s="1563"/>
      <c r="E34" s="1563"/>
      <c r="F34" s="1106"/>
      <c r="G34" s="1106"/>
      <c r="H34" s="1450"/>
      <c r="I34" s="1450"/>
      <c r="J34" s="1450"/>
      <c r="K34" s="1106"/>
      <c r="L34" s="1106"/>
      <c r="M34" s="1450"/>
      <c r="N34" s="295"/>
      <c r="O34" s="1450">
        <f>O35+O42+O46</f>
        <v>0</v>
      </c>
      <c r="P34" s="109"/>
      <c r="Q34" s="99"/>
      <c r="R34" s="618">
        <f>R35+R42+R46</f>
        <v>0</v>
      </c>
    </row>
    <row r="35" spans="1:18" x14ac:dyDescent="0.2">
      <c r="A35" s="1552" t="s">
        <v>1212</v>
      </c>
      <c r="B35" s="1573"/>
      <c r="C35" s="1552" t="s">
        <v>2628</v>
      </c>
      <c r="D35" s="1574"/>
      <c r="E35" s="1574"/>
      <c r="F35" s="1110"/>
      <c r="G35" s="1110"/>
      <c r="H35" s="1577"/>
      <c r="I35" s="1577"/>
      <c r="J35" s="1577"/>
      <c r="K35" s="1110"/>
      <c r="L35" s="1110"/>
      <c r="M35" s="1576"/>
      <c r="N35" s="296"/>
      <c r="O35" s="1577">
        <f>SUM(O36:O41)</f>
        <v>0</v>
      </c>
      <c r="P35" s="113"/>
      <c r="Q35" s="446"/>
      <c r="R35" s="329">
        <f>SUM(R36:R41)</f>
        <v>0</v>
      </c>
    </row>
    <row r="36" spans="1:18" ht="30" x14ac:dyDescent="0.2">
      <c r="A36" s="410" t="s">
        <v>1297</v>
      </c>
      <c r="B36" s="409" t="s">
        <v>1214</v>
      </c>
      <c r="C36" s="409" t="s">
        <v>1215</v>
      </c>
      <c r="D36" s="980" t="s">
        <v>4366</v>
      </c>
      <c r="E36" s="1130" t="s">
        <v>2629</v>
      </c>
      <c r="F36" s="2487"/>
      <c r="G36" s="2489"/>
      <c r="H36" s="2490"/>
      <c r="I36" s="2497"/>
      <c r="J36" s="2489"/>
      <c r="K36" s="2489"/>
      <c r="L36" s="2489"/>
      <c r="M36" s="327"/>
      <c r="N36" s="2487"/>
      <c r="O36" s="327">
        <f t="shared" ref="O36:O41" si="1">M36*N36</f>
        <v>0</v>
      </c>
      <c r="P36" s="2486"/>
      <c r="Q36" s="254">
        <f>'Abs9. NVBDCP'!Q79</f>
        <v>0</v>
      </c>
      <c r="R36" s="227">
        <f>'Abs9. NVBDCP'!R79</f>
        <v>0</v>
      </c>
    </row>
    <row r="37" spans="1:18" ht="30" x14ac:dyDescent="0.2">
      <c r="A37" s="410" t="s">
        <v>1298</v>
      </c>
      <c r="B37" s="409" t="s">
        <v>1217</v>
      </c>
      <c r="C37" s="409" t="s">
        <v>1218</v>
      </c>
      <c r="D37" s="980" t="s">
        <v>4366</v>
      </c>
      <c r="E37" s="1130" t="s">
        <v>2629</v>
      </c>
      <c r="F37" s="2487"/>
      <c r="G37" s="2489"/>
      <c r="H37" s="2490"/>
      <c r="I37" s="2497"/>
      <c r="J37" s="2489"/>
      <c r="K37" s="2489"/>
      <c r="L37" s="2489"/>
      <c r="M37" s="327"/>
      <c r="N37" s="2487"/>
      <c r="O37" s="327">
        <f t="shared" si="1"/>
        <v>0</v>
      </c>
      <c r="P37" s="2486"/>
      <c r="Q37" s="254">
        <f>'Abs9. NVBDCP'!Q80</f>
        <v>0</v>
      </c>
      <c r="R37" s="227">
        <f>'Abs9. NVBDCP'!R80</f>
        <v>0</v>
      </c>
    </row>
    <row r="38" spans="1:18" ht="30" x14ac:dyDescent="0.2">
      <c r="A38" s="410" t="s">
        <v>1299</v>
      </c>
      <c r="B38" s="409" t="s">
        <v>1219</v>
      </c>
      <c r="C38" s="409" t="s">
        <v>4118</v>
      </c>
      <c r="D38" s="980" t="s">
        <v>4366</v>
      </c>
      <c r="E38" s="1130" t="s">
        <v>2629</v>
      </c>
      <c r="F38" s="2487"/>
      <c r="G38" s="2498"/>
      <c r="H38" s="2487"/>
      <c r="I38" s="2487"/>
      <c r="J38" s="2487"/>
      <c r="K38" s="2489"/>
      <c r="L38" s="2487"/>
      <c r="M38" s="327"/>
      <c r="N38" s="2487"/>
      <c r="O38" s="327">
        <f t="shared" si="1"/>
        <v>0</v>
      </c>
      <c r="P38" s="2855"/>
      <c r="Q38" s="254">
        <f>'Abs9. NVBDCP'!Q81</f>
        <v>0</v>
      </c>
      <c r="R38" s="227">
        <f>'Abs9. NVBDCP'!R81</f>
        <v>0</v>
      </c>
    </row>
    <row r="39" spans="1:18" ht="45" x14ac:dyDescent="0.2">
      <c r="A39" s="410" t="s">
        <v>2630</v>
      </c>
      <c r="B39" s="409" t="s">
        <v>1950</v>
      </c>
      <c r="C39" s="409" t="s">
        <v>1951</v>
      </c>
      <c r="D39" s="980" t="s">
        <v>4366</v>
      </c>
      <c r="E39" s="1130" t="s">
        <v>1682</v>
      </c>
      <c r="F39" s="2487"/>
      <c r="G39" s="2498"/>
      <c r="H39" s="2487"/>
      <c r="I39" s="2487"/>
      <c r="J39" s="2487"/>
      <c r="K39" s="2487"/>
      <c r="L39" s="2487"/>
      <c r="M39" s="327"/>
      <c r="N39" s="2487"/>
      <c r="O39" s="327">
        <f t="shared" si="1"/>
        <v>0</v>
      </c>
      <c r="P39" s="2931"/>
      <c r="Q39" s="254">
        <f>'Abs9. NVBDCP'!Q82</f>
        <v>0</v>
      </c>
      <c r="R39" s="227">
        <f>'Abs9. NVBDCP'!R82</f>
        <v>0</v>
      </c>
    </row>
    <row r="40" spans="1:18" ht="30" x14ac:dyDescent="0.2">
      <c r="A40" s="410" t="s">
        <v>2631</v>
      </c>
      <c r="B40" s="1328" t="s">
        <v>1220</v>
      </c>
      <c r="C40" s="1328" t="s">
        <v>1221</v>
      </c>
      <c r="D40" s="980" t="s">
        <v>4366</v>
      </c>
      <c r="E40" s="1130" t="s">
        <v>4983</v>
      </c>
      <c r="F40" s="2487"/>
      <c r="G40" s="2497"/>
      <c r="H40" s="2490"/>
      <c r="I40" s="2497"/>
      <c r="J40" s="2497"/>
      <c r="K40" s="2489"/>
      <c r="L40" s="2497"/>
      <c r="M40" s="327"/>
      <c r="N40" s="2487"/>
      <c r="O40" s="327">
        <f t="shared" si="1"/>
        <v>0</v>
      </c>
      <c r="P40" s="2486"/>
      <c r="Q40" s="254">
        <f>'Abs9. NVBDCP'!Q83</f>
        <v>0</v>
      </c>
      <c r="R40" s="227">
        <f>'Abs9. NVBDCP'!R83</f>
        <v>0</v>
      </c>
    </row>
    <row r="41" spans="1:18" x14ac:dyDescent="0.2">
      <c r="A41" s="410" t="s">
        <v>2632</v>
      </c>
      <c r="B41" s="1477"/>
      <c r="C41" s="1477" t="s">
        <v>1310</v>
      </c>
      <c r="D41" s="980" t="s">
        <v>4366</v>
      </c>
      <c r="E41" s="1147" t="s">
        <v>114</v>
      </c>
      <c r="F41" s="2500"/>
      <c r="G41" s="2501"/>
      <c r="H41" s="2500"/>
      <c r="I41" s="2500"/>
      <c r="J41" s="2500"/>
      <c r="K41" s="2500"/>
      <c r="L41" s="2500"/>
      <c r="M41" s="327"/>
      <c r="N41" s="2500"/>
      <c r="O41" s="328">
        <f t="shared" si="1"/>
        <v>0</v>
      </c>
      <c r="P41" s="317"/>
      <c r="Q41" s="254">
        <f>'Abs9. NVBDCP'!Q84</f>
        <v>0</v>
      </c>
      <c r="R41" s="227">
        <f>'Abs9. NVBDCP'!R84</f>
        <v>0</v>
      </c>
    </row>
    <row r="42" spans="1:18" x14ac:dyDescent="0.2">
      <c r="A42" s="1552" t="s">
        <v>1213</v>
      </c>
      <c r="B42" s="1110" t="s">
        <v>1208</v>
      </c>
      <c r="C42" s="1223" t="s">
        <v>2633</v>
      </c>
      <c r="D42" s="1574"/>
      <c r="E42" s="1574"/>
      <c r="F42" s="1110"/>
      <c r="G42" s="1110"/>
      <c r="H42" s="1577"/>
      <c r="I42" s="1577"/>
      <c r="J42" s="1577"/>
      <c r="K42" s="1110"/>
      <c r="L42" s="1110"/>
      <c r="M42" s="1576"/>
      <c r="N42" s="296"/>
      <c r="O42" s="1577">
        <f>SUM(O43:O45)</f>
        <v>0</v>
      </c>
      <c r="P42" s="113"/>
      <c r="Q42" s="446"/>
      <c r="R42" s="329">
        <f>SUM(R43:R45)</f>
        <v>0</v>
      </c>
    </row>
    <row r="43" spans="1:18" x14ac:dyDescent="0.2">
      <c r="A43" s="410" t="s">
        <v>2636</v>
      </c>
      <c r="B43" s="1328" t="s">
        <v>1209</v>
      </c>
      <c r="C43" s="1328" t="s">
        <v>2634</v>
      </c>
      <c r="D43" s="1559" t="s">
        <v>85</v>
      </c>
      <c r="E43" s="1130" t="s">
        <v>415</v>
      </c>
      <c r="F43" s="297"/>
      <c r="G43" s="297"/>
      <c r="H43" s="297"/>
      <c r="I43" s="2885"/>
      <c r="J43" s="297"/>
      <c r="K43" s="297"/>
      <c r="L43" s="304"/>
      <c r="M43" s="327"/>
      <c r="N43" s="304"/>
      <c r="O43" s="327">
        <f>M43*N43</f>
        <v>0</v>
      </c>
      <c r="P43" s="114"/>
      <c r="Q43" s="240">
        <f>'Abs19. NPCDCS'!Q43</f>
        <v>0</v>
      </c>
      <c r="R43" s="227">
        <f>'Abs19. NPCDCS'!R43</f>
        <v>0</v>
      </c>
    </row>
    <row r="44" spans="1:18" x14ac:dyDescent="0.2">
      <c r="A44" s="410" t="s">
        <v>2637</v>
      </c>
      <c r="B44" s="1328" t="s">
        <v>1211</v>
      </c>
      <c r="C44" s="1328" t="s">
        <v>2635</v>
      </c>
      <c r="D44" s="1559" t="s">
        <v>85</v>
      </c>
      <c r="E44" s="1130" t="s">
        <v>415</v>
      </c>
      <c r="F44" s="297"/>
      <c r="G44" s="297"/>
      <c r="H44" s="297"/>
      <c r="I44" s="2885"/>
      <c r="J44" s="297"/>
      <c r="K44" s="297"/>
      <c r="L44" s="304"/>
      <c r="M44" s="327"/>
      <c r="N44" s="304"/>
      <c r="O44" s="327">
        <f>M44*N44</f>
        <v>0</v>
      </c>
      <c r="P44" s="114"/>
      <c r="Q44" s="240">
        <f>'Abs19. NPCDCS'!Q44</f>
        <v>0</v>
      </c>
      <c r="R44" s="227">
        <f>'Abs19. NPCDCS'!R44</f>
        <v>0</v>
      </c>
    </row>
    <row r="45" spans="1:18" x14ac:dyDescent="0.2">
      <c r="A45" s="410" t="s">
        <v>2638</v>
      </c>
      <c r="B45" s="1477"/>
      <c r="C45" s="1328" t="s">
        <v>1310</v>
      </c>
      <c r="D45" s="1559" t="s">
        <v>85</v>
      </c>
      <c r="E45" s="1130" t="s">
        <v>415</v>
      </c>
      <c r="F45" s="297"/>
      <c r="G45" s="297"/>
      <c r="H45" s="297"/>
      <c r="I45" s="2885"/>
      <c r="J45" s="297"/>
      <c r="K45" s="297"/>
      <c r="L45" s="304"/>
      <c r="M45" s="327"/>
      <c r="N45" s="304"/>
      <c r="O45" s="327">
        <f>M45*N45</f>
        <v>0</v>
      </c>
      <c r="P45" s="114"/>
      <c r="Q45" s="240">
        <f>'Abs19. NPCDCS'!Q45</f>
        <v>0</v>
      </c>
      <c r="R45" s="227">
        <f>'Abs19. NPCDCS'!R45</f>
        <v>0</v>
      </c>
    </row>
    <row r="46" spans="1:18" x14ac:dyDescent="0.2">
      <c r="A46" s="830" t="s">
        <v>1216</v>
      </c>
      <c r="B46" s="1578"/>
      <c r="C46" s="1579" t="s">
        <v>2639</v>
      </c>
      <c r="D46" s="886" t="s">
        <v>70</v>
      </c>
      <c r="E46" s="1130" t="s">
        <v>70</v>
      </c>
      <c r="F46" s="307"/>
      <c r="G46" s="307"/>
      <c r="H46" s="307"/>
      <c r="I46" s="307"/>
      <c r="J46" s="307"/>
      <c r="K46" s="307"/>
      <c r="L46" s="304"/>
      <c r="M46" s="327"/>
      <c r="N46" s="304"/>
      <c r="O46" s="327">
        <f>M46*N46</f>
        <v>0</v>
      </c>
      <c r="P46" s="258"/>
      <c r="Q46" s="447"/>
      <c r="R46" s="330"/>
    </row>
    <row r="47" spans="1:18" x14ac:dyDescent="0.2">
      <c r="A47" s="1465">
        <v>10.4</v>
      </c>
      <c r="B47" s="1449"/>
      <c r="C47" s="1106" t="s">
        <v>27</v>
      </c>
      <c r="D47" s="1580"/>
      <c r="E47" s="1580"/>
      <c r="F47" s="408"/>
      <c r="G47" s="408"/>
      <c r="H47" s="1450"/>
      <c r="I47" s="1450"/>
      <c r="J47" s="1450"/>
      <c r="K47" s="408"/>
      <c r="L47" s="408"/>
      <c r="M47" s="1448"/>
      <c r="N47" s="348"/>
      <c r="O47" s="1450">
        <f>SUM(O48:O54)</f>
        <v>0</v>
      </c>
      <c r="P47" s="112"/>
      <c r="Q47" s="448"/>
      <c r="R47" s="618">
        <f>SUM(R48:R54)</f>
        <v>0</v>
      </c>
    </row>
    <row r="48" spans="1:18" x14ac:dyDescent="0.2">
      <c r="A48" s="410" t="s">
        <v>1222</v>
      </c>
      <c r="B48" s="1328" t="s">
        <v>1223</v>
      </c>
      <c r="C48" s="1328" t="s">
        <v>1224</v>
      </c>
      <c r="D48" s="1429" t="s">
        <v>90</v>
      </c>
      <c r="E48" s="1130" t="s">
        <v>208</v>
      </c>
      <c r="F48" s="2487"/>
      <c r="G48" s="2487"/>
      <c r="H48" s="2487"/>
      <c r="I48" s="2487"/>
      <c r="J48" s="2487"/>
      <c r="K48" s="2487"/>
      <c r="L48" s="2487"/>
      <c r="M48" s="327"/>
      <c r="N48" s="2487"/>
      <c r="O48" s="327">
        <f t="shared" ref="O48:O62" si="2">M48*N48</f>
        <v>0</v>
      </c>
      <c r="P48" s="2498"/>
      <c r="Q48" s="254">
        <f>'Ab2. NIDDCP'!Q17</f>
        <v>0</v>
      </c>
      <c r="R48" s="675">
        <f>'Ab2. NIDDCP'!R17</f>
        <v>0</v>
      </c>
    </row>
    <row r="49" spans="1:18" ht="60" x14ac:dyDescent="0.2">
      <c r="A49" s="410" t="s">
        <v>1225</v>
      </c>
      <c r="B49" s="1328" t="s">
        <v>1226</v>
      </c>
      <c r="C49" s="1328" t="s">
        <v>1227</v>
      </c>
      <c r="D49" s="980" t="s">
        <v>4366</v>
      </c>
      <c r="E49" s="1130" t="s">
        <v>293</v>
      </c>
      <c r="F49" s="2493"/>
      <c r="G49" s="2493"/>
      <c r="H49" s="2502"/>
      <c r="I49" s="2503"/>
      <c r="J49" s="2493"/>
      <c r="K49" s="2493"/>
      <c r="L49" s="2493"/>
      <c r="M49" s="327"/>
      <c r="N49" s="2493"/>
      <c r="O49" s="327">
        <f t="shared" si="2"/>
        <v>0</v>
      </c>
      <c r="P49" s="3251"/>
      <c r="Q49" s="240">
        <f>'Abs8. IDSP'!Q23</f>
        <v>0</v>
      </c>
      <c r="R49" s="227">
        <f>'Abs8. IDSP'!R23</f>
        <v>0</v>
      </c>
    </row>
    <row r="50" spans="1:18" ht="75" x14ac:dyDescent="0.2">
      <c r="A50" s="410" t="s">
        <v>1228</v>
      </c>
      <c r="B50" s="1328" t="s">
        <v>1229</v>
      </c>
      <c r="C50" s="1328" t="s">
        <v>1230</v>
      </c>
      <c r="D50" s="980" t="s">
        <v>4366</v>
      </c>
      <c r="E50" s="1130" t="s">
        <v>293</v>
      </c>
      <c r="F50" s="2493"/>
      <c r="G50" s="2493"/>
      <c r="H50" s="2502"/>
      <c r="I50" s="2493"/>
      <c r="J50" s="2493"/>
      <c r="K50" s="2493"/>
      <c r="L50" s="2493"/>
      <c r="M50" s="327"/>
      <c r="N50" s="2493"/>
      <c r="O50" s="327">
        <f t="shared" si="2"/>
        <v>0</v>
      </c>
      <c r="P50" s="2508"/>
      <c r="Q50" s="240">
        <f>'Abs8. IDSP'!Q24</f>
        <v>0</v>
      </c>
      <c r="R50" s="227">
        <f>'Abs8. IDSP'!R24</f>
        <v>0</v>
      </c>
    </row>
    <row r="51" spans="1:18" ht="45" x14ac:dyDescent="0.2">
      <c r="A51" s="410" t="s">
        <v>1231</v>
      </c>
      <c r="B51" s="1328" t="s">
        <v>1232</v>
      </c>
      <c r="C51" s="1328" t="s">
        <v>1233</v>
      </c>
      <c r="D51" s="980" t="s">
        <v>4366</v>
      </c>
      <c r="E51" s="1130" t="s">
        <v>293</v>
      </c>
      <c r="F51" s="2493"/>
      <c r="G51" s="2493"/>
      <c r="H51" s="2502"/>
      <c r="I51" s="2493"/>
      <c r="J51" s="2493"/>
      <c r="K51" s="2493"/>
      <c r="L51" s="2493"/>
      <c r="M51" s="327"/>
      <c r="N51" s="2493"/>
      <c r="O51" s="327">
        <f t="shared" si="2"/>
        <v>0</v>
      </c>
      <c r="P51" s="2508"/>
      <c r="Q51" s="240">
        <f>'Abs8. IDSP'!Q25</f>
        <v>0</v>
      </c>
      <c r="R51" s="227">
        <f>'Abs8. IDSP'!R25</f>
        <v>0</v>
      </c>
    </row>
    <row r="52" spans="1:18" x14ac:dyDescent="0.2">
      <c r="A52" s="410" t="s">
        <v>1234</v>
      </c>
      <c r="B52" s="1328" t="s">
        <v>1235</v>
      </c>
      <c r="C52" s="1328" t="s">
        <v>1236</v>
      </c>
      <c r="D52" s="980" t="s">
        <v>4366</v>
      </c>
      <c r="E52" s="1130" t="s">
        <v>293</v>
      </c>
      <c r="F52" s="2487"/>
      <c r="G52" s="2498"/>
      <c r="H52" s="2487"/>
      <c r="I52" s="2487"/>
      <c r="J52" s="2487"/>
      <c r="K52" s="2487"/>
      <c r="L52" s="2487"/>
      <c r="M52" s="327"/>
      <c r="N52" s="2487"/>
      <c r="O52" s="327">
        <f t="shared" si="2"/>
        <v>0</v>
      </c>
      <c r="P52" s="3022"/>
      <c r="Q52" s="240">
        <f>'Abs8. IDSP'!Q26</f>
        <v>0</v>
      </c>
      <c r="R52" s="227">
        <f>'Abs8. IDSP'!R26</f>
        <v>0</v>
      </c>
    </row>
    <row r="53" spans="1:18" s="1564" customFormat="1" ht="30" x14ac:dyDescent="0.2">
      <c r="A53" s="410" t="s">
        <v>1237</v>
      </c>
      <c r="B53" s="409" t="s">
        <v>1238</v>
      </c>
      <c r="C53" s="409" t="s">
        <v>1239</v>
      </c>
      <c r="D53" s="980" t="s">
        <v>4366</v>
      </c>
      <c r="E53" s="1567" t="s">
        <v>4983</v>
      </c>
      <c r="F53" s="2487"/>
      <c r="G53" s="2504"/>
      <c r="H53" s="2505"/>
      <c r="I53" s="2505"/>
      <c r="J53" s="2505"/>
      <c r="K53" s="2505"/>
      <c r="L53" s="2505"/>
      <c r="M53" s="327"/>
      <c r="N53" s="2487"/>
      <c r="O53" s="327">
        <f t="shared" si="2"/>
        <v>0</v>
      </c>
      <c r="P53" s="2504"/>
      <c r="Q53" s="441">
        <f>'Abs9. NVBDCP'!Q85</f>
        <v>0</v>
      </c>
      <c r="R53" s="227">
        <f>'Abs9. NVBDCP'!R85</f>
        <v>0</v>
      </c>
    </row>
    <row r="54" spans="1:18" s="1182" customFormat="1" x14ac:dyDescent="0.2">
      <c r="A54" s="830" t="s">
        <v>2640</v>
      </c>
      <c r="B54" s="1578"/>
      <c r="C54" s="1578" t="s">
        <v>1310</v>
      </c>
      <c r="D54" s="886" t="s">
        <v>70</v>
      </c>
      <c r="E54" s="1147" t="s">
        <v>70</v>
      </c>
      <c r="F54" s="2506"/>
      <c r="G54" s="2507"/>
      <c r="H54" s="2506"/>
      <c r="I54" s="2506"/>
      <c r="J54" s="2506"/>
      <c r="K54" s="2506"/>
      <c r="L54" s="2506"/>
      <c r="M54" s="327"/>
      <c r="N54" s="2506"/>
      <c r="O54" s="327">
        <f t="shared" si="2"/>
        <v>0</v>
      </c>
      <c r="P54" s="2509"/>
      <c r="Q54" s="242"/>
      <c r="R54" s="230"/>
    </row>
    <row r="55" spans="1:18" x14ac:dyDescent="0.2">
      <c r="A55" s="1465">
        <v>10.5</v>
      </c>
      <c r="B55" s="1449"/>
      <c r="C55" s="1106" t="s">
        <v>4518</v>
      </c>
      <c r="D55" s="1580"/>
      <c r="E55" s="1580"/>
      <c r="F55" s="408"/>
      <c r="G55" s="408"/>
      <c r="H55" s="1450"/>
      <c r="I55" s="1450"/>
      <c r="J55" s="1450"/>
      <c r="K55" s="408"/>
      <c r="L55" s="408"/>
      <c r="M55" s="1448"/>
      <c r="N55" s="348"/>
      <c r="O55" s="1450">
        <f>SUM(O56:O62)</f>
        <v>0</v>
      </c>
      <c r="P55" s="112"/>
      <c r="Q55" s="448"/>
      <c r="R55" s="618">
        <f>SUM(R56:R62)</f>
        <v>0</v>
      </c>
    </row>
    <row r="56" spans="1:18" s="1128" customFormat="1" x14ac:dyDescent="0.2">
      <c r="A56" s="248" t="s">
        <v>4517</v>
      </c>
      <c r="B56" s="1141"/>
      <c r="C56" s="1141" t="s">
        <v>5600</v>
      </c>
      <c r="D56" s="980" t="s">
        <v>4366</v>
      </c>
      <c r="E56" s="986" t="s">
        <v>4683</v>
      </c>
      <c r="F56" s="2503"/>
      <c r="G56" s="2503"/>
      <c r="H56" s="2503"/>
      <c r="I56" s="2503"/>
      <c r="J56" s="2503"/>
      <c r="K56" s="2503"/>
      <c r="L56" s="2503"/>
      <c r="M56" s="327"/>
      <c r="N56" s="304"/>
      <c r="O56" s="229">
        <f t="shared" si="2"/>
        <v>0</v>
      </c>
      <c r="P56" s="2510"/>
      <c r="Q56" s="248">
        <f>'Abs11. NTEP'!Q39</f>
        <v>0</v>
      </c>
      <c r="R56" s="229">
        <f>'Abs11. NTEP'!R39</f>
        <v>0</v>
      </c>
    </row>
    <row r="57" spans="1:18" s="1128" customFormat="1" x14ac:dyDescent="0.2">
      <c r="A57" s="248" t="s">
        <v>4524</v>
      </c>
      <c r="B57" s="1141"/>
      <c r="C57" s="1141" t="s">
        <v>5601</v>
      </c>
      <c r="D57" s="980" t="s">
        <v>4366</v>
      </c>
      <c r="E57" s="986" t="s">
        <v>146</v>
      </c>
      <c r="F57" s="2503"/>
      <c r="G57" s="2503"/>
      <c r="H57" s="2503"/>
      <c r="I57" s="2503"/>
      <c r="J57" s="2503"/>
      <c r="K57" s="2503"/>
      <c r="L57" s="2503"/>
      <c r="M57" s="327"/>
      <c r="N57" s="304"/>
      <c r="O57" s="229">
        <f t="shared" si="2"/>
        <v>0</v>
      </c>
      <c r="P57" s="2511"/>
      <c r="Q57" s="248">
        <f>'Abs10. NLEP'!Q28</f>
        <v>0</v>
      </c>
      <c r="R57" s="229">
        <f>'Abs10. NLEP'!R28</f>
        <v>0</v>
      </c>
    </row>
    <row r="58" spans="1:18" s="1128" customFormat="1" x14ac:dyDescent="0.2">
      <c r="A58" s="248" t="s">
        <v>4525</v>
      </c>
      <c r="B58" s="1141"/>
      <c r="C58" s="1141" t="s">
        <v>5602</v>
      </c>
      <c r="D58" s="980" t="s">
        <v>4366</v>
      </c>
      <c r="E58" s="986" t="s">
        <v>4984</v>
      </c>
      <c r="F58" s="2503"/>
      <c r="G58" s="2503"/>
      <c r="H58" s="2503"/>
      <c r="I58" s="2503"/>
      <c r="J58" s="2503"/>
      <c r="K58" s="2503"/>
      <c r="L58" s="2503"/>
      <c r="M58" s="327"/>
      <c r="N58" s="304"/>
      <c r="O58" s="229">
        <f t="shared" si="2"/>
        <v>0</v>
      </c>
      <c r="P58" s="2511"/>
      <c r="Q58" s="248">
        <f>'Abs9. NVBDCP'!Q86</f>
        <v>0</v>
      </c>
      <c r="R58" s="229">
        <f>'Abs9. NVBDCP'!R86</f>
        <v>0</v>
      </c>
    </row>
    <row r="59" spans="1:18" s="1128" customFormat="1" ht="30" x14ac:dyDescent="0.2">
      <c r="A59" s="248" t="s">
        <v>4526</v>
      </c>
      <c r="B59" s="1141"/>
      <c r="C59" s="1141" t="s">
        <v>5603</v>
      </c>
      <c r="D59" s="980" t="s">
        <v>4366</v>
      </c>
      <c r="E59" s="986" t="s">
        <v>4983</v>
      </c>
      <c r="F59" s="2503"/>
      <c r="G59" s="2503"/>
      <c r="H59" s="2503"/>
      <c r="I59" s="2503"/>
      <c r="J59" s="2503"/>
      <c r="K59" s="2503"/>
      <c r="L59" s="2503"/>
      <c r="M59" s="327"/>
      <c r="N59" s="304"/>
      <c r="O59" s="229">
        <f t="shared" si="2"/>
        <v>0</v>
      </c>
      <c r="P59" s="2510"/>
      <c r="Q59" s="248">
        <f>'Abs9. NVBDCP'!Q87</f>
        <v>0</v>
      </c>
      <c r="R59" s="229">
        <f>'Abs9. NVBDCP'!R87</f>
        <v>0</v>
      </c>
    </row>
    <row r="60" spans="1:18" s="1128" customFormat="1" x14ac:dyDescent="0.2">
      <c r="A60" s="248" t="s">
        <v>4527</v>
      </c>
      <c r="B60" s="1141"/>
      <c r="C60" s="1141" t="s">
        <v>5604</v>
      </c>
      <c r="D60" s="980" t="s">
        <v>4366</v>
      </c>
      <c r="E60" s="986" t="s">
        <v>4986</v>
      </c>
      <c r="F60" s="2503"/>
      <c r="G60" s="2503"/>
      <c r="H60" s="2503"/>
      <c r="I60" s="2503"/>
      <c r="J60" s="2503"/>
      <c r="K60" s="2503"/>
      <c r="L60" s="2503"/>
      <c r="M60" s="327"/>
      <c r="N60" s="304"/>
      <c r="O60" s="229">
        <f t="shared" si="2"/>
        <v>0</v>
      </c>
      <c r="P60" s="3254"/>
      <c r="Q60" s="248">
        <f>'Abs9. NVBDCP'!Q88</f>
        <v>0</v>
      </c>
      <c r="R60" s="229">
        <f>'Abs9. NVBDCP'!R88</f>
        <v>0</v>
      </c>
    </row>
    <row r="61" spans="1:18" s="1128" customFormat="1" ht="30" x14ac:dyDescent="0.2">
      <c r="A61" s="248" t="s">
        <v>4528</v>
      </c>
      <c r="B61" s="1141"/>
      <c r="C61" s="1141" t="s">
        <v>5605</v>
      </c>
      <c r="D61" s="1559" t="s">
        <v>85</v>
      </c>
      <c r="E61" s="986" t="s">
        <v>86</v>
      </c>
      <c r="F61" s="250"/>
      <c r="G61" s="250"/>
      <c r="H61" s="250"/>
      <c r="I61" s="250"/>
      <c r="J61" s="250"/>
      <c r="K61" s="250"/>
      <c r="L61" s="304"/>
      <c r="M61" s="327"/>
      <c r="N61" s="304"/>
      <c r="O61" s="229">
        <f t="shared" si="2"/>
        <v>0</v>
      </c>
      <c r="P61" s="251"/>
      <c r="Q61" s="248">
        <f>'Abs15. NPCB'!Q26</f>
        <v>0</v>
      </c>
      <c r="R61" s="229">
        <f>'Abs15. NPCB'!R26</f>
        <v>0</v>
      </c>
    </row>
    <row r="62" spans="1:18" s="1128" customFormat="1" x14ac:dyDescent="0.2">
      <c r="A62" s="248" t="s">
        <v>4529</v>
      </c>
      <c r="B62" s="1141"/>
      <c r="C62" s="1141" t="s">
        <v>5606</v>
      </c>
      <c r="D62" s="886" t="s">
        <v>70</v>
      </c>
      <c r="E62" s="1147" t="s">
        <v>70</v>
      </c>
      <c r="F62" s="250"/>
      <c r="G62" s="250"/>
      <c r="H62" s="250"/>
      <c r="I62" s="250"/>
      <c r="J62" s="250"/>
      <c r="K62" s="250"/>
      <c r="L62" s="304"/>
      <c r="M62" s="327"/>
      <c r="N62" s="304"/>
      <c r="O62" s="229">
        <f t="shared" si="2"/>
        <v>0</v>
      </c>
      <c r="P62" s="251"/>
      <c r="Q62" s="447"/>
      <c r="R62" s="330"/>
    </row>
    <row r="64" spans="1:18" x14ac:dyDescent="0.2">
      <c r="N64" s="178"/>
      <c r="O64" s="957">
        <f>O7-O65</f>
        <v>0</v>
      </c>
      <c r="R64" s="957">
        <f>R7-R65</f>
        <v>0</v>
      </c>
    </row>
    <row r="65" spans="14:18" x14ac:dyDescent="0.2">
      <c r="N65" s="178"/>
      <c r="O65" s="957">
        <f>O31+O33+O52</f>
        <v>0</v>
      </c>
      <c r="R65" s="957">
        <f>R31+R33+R52</f>
        <v>0</v>
      </c>
    </row>
    <row r="66" spans="14:18" x14ac:dyDescent="0.2">
      <c r="N66" s="178"/>
    </row>
  </sheetData>
  <sheetProtection formatCells="0" formatColumns="0" formatRows="0" autoFilter="0"/>
  <autoFilter ref="A6:R62"/>
  <mergeCells count="15">
    <mergeCell ref="AI1:AO1"/>
    <mergeCell ref="AP1:BA1"/>
    <mergeCell ref="K5:P5"/>
    <mergeCell ref="Q5:R5"/>
    <mergeCell ref="A1:C1"/>
    <mergeCell ref="F5:J5"/>
    <mergeCell ref="A5:A6"/>
    <mergeCell ref="B5:B6"/>
    <mergeCell ref="C5:C6"/>
    <mergeCell ref="D5:D6"/>
    <mergeCell ref="E5:E6"/>
    <mergeCell ref="E1:E2"/>
    <mergeCell ref="F1:N1"/>
    <mergeCell ref="A2:A4"/>
    <mergeCell ref="O1:AH1"/>
  </mergeCells>
  <phoneticPr fontId="57" type="noConversion"/>
  <pageMargins left="0.7" right="0.7" top="0.75" bottom="0.75" header="0.3" footer="0.3"/>
  <pageSetup orientation="portrait" horizontalDpi="4294967295" verticalDpi="4294967295"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6"/>
  <sheetViews>
    <sheetView zoomScale="70" zoomScaleNormal="70" workbookViewId="0">
      <pane xSplit="5" ySplit="7" topLeftCell="F8" activePane="bottomRight" state="frozen"/>
      <selection activeCell="A2" sqref="A2:A4"/>
      <selection pane="topRight" activeCell="A2" sqref="A2:A4"/>
      <selection pane="bottomLeft" activeCell="A2" sqref="A2:A4"/>
      <selection pane="bottomRight" activeCell="O45" sqref="O45:O46"/>
    </sheetView>
  </sheetViews>
  <sheetFormatPr defaultColWidth="9.140625" defaultRowHeight="15" x14ac:dyDescent="0.2"/>
  <cols>
    <col min="1" max="1" width="10.140625" style="1597" bestFit="1" customWidth="1"/>
    <col min="2" max="2" width="16.5703125" style="1597" hidden="1" customWidth="1"/>
    <col min="3" max="3" width="52.140625" style="1597" customWidth="1"/>
    <col min="4" max="4" width="9.7109375" style="1598" customWidth="1"/>
    <col min="5" max="5" width="17.42578125" style="1598" customWidth="1"/>
    <col min="6" max="6" width="15.140625" style="1581" customWidth="1"/>
    <col min="7" max="7" width="20.140625" style="1581" customWidth="1"/>
    <col min="8" max="10" width="15.140625" style="1581" customWidth="1"/>
    <col min="11" max="11" width="10.5703125" style="1581" customWidth="1"/>
    <col min="12" max="12" width="9.85546875" style="1599" customWidth="1"/>
    <col min="13" max="13" width="12.85546875" style="1600" customWidth="1"/>
    <col min="14" max="14" width="9.5703125" style="1581" customWidth="1"/>
    <col min="15" max="15" width="14" style="1600" customWidth="1"/>
    <col min="16" max="16" width="40.85546875" style="1597" customWidth="1"/>
    <col min="17" max="17" width="34.5703125" style="1597" customWidth="1"/>
    <col min="18" max="18" width="11" style="1600" customWidth="1"/>
    <col min="19" max="16384" width="9.140625" style="1581"/>
  </cols>
  <sheetData>
    <row r="1" spans="1:53" ht="14.25" customHeight="1" x14ac:dyDescent="0.2">
      <c r="A1" s="3956" t="s">
        <v>1341</v>
      </c>
      <c r="B1" s="3957"/>
      <c r="C1" s="3958"/>
      <c r="D1" s="1191"/>
      <c r="E1" s="3825" t="s">
        <v>4719</v>
      </c>
      <c r="F1" s="3894" t="s">
        <v>4717</v>
      </c>
      <c r="G1" s="3895"/>
      <c r="H1" s="3895"/>
      <c r="I1" s="3895"/>
      <c r="J1" s="3895"/>
      <c r="K1" s="3895"/>
      <c r="L1" s="3895"/>
      <c r="M1" s="3895"/>
      <c r="N1" s="3896"/>
      <c r="O1" s="3830" t="s">
        <v>70</v>
      </c>
      <c r="P1" s="3831"/>
      <c r="Q1" s="3831"/>
      <c r="R1" s="3831"/>
      <c r="S1" s="3831"/>
      <c r="T1" s="3831"/>
      <c r="U1" s="3831"/>
      <c r="V1" s="3831"/>
      <c r="W1" s="3831"/>
      <c r="X1" s="3831"/>
      <c r="Y1" s="3831"/>
      <c r="Z1" s="3831"/>
      <c r="AA1" s="3831"/>
      <c r="AB1" s="3831"/>
      <c r="AC1" s="3831"/>
      <c r="AD1" s="3831"/>
      <c r="AE1" s="3831"/>
      <c r="AF1" s="3831"/>
      <c r="AG1" s="3831"/>
      <c r="AH1" s="3831"/>
      <c r="AI1" s="3885" t="s">
        <v>4366</v>
      </c>
      <c r="AJ1" s="3886"/>
      <c r="AK1" s="3886"/>
      <c r="AL1" s="3886"/>
      <c r="AM1" s="3886"/>
      <c r="AN1" s="3886"/>
      <c r="AO1" s="3887"/>
      <c r="AP1" s="3950" t="s">
        <v>85</v>
      </c>
      <c r="AQ1" s="3951"/>
      <c r="AR1" s="3951"/>
      <c r="AS1" s="3951"/>
      <c r="AT1" s="3951"/>
      <c r="AU1" s="3951"/>
      <c r="AV1" s="3951"/>
      <c r="AW1" s="3951"/>
      <c r="AX1" s="3951"/>
      <c r="AY1" s="3951"/>
      <c r="AZ1" s="3951"/>
      <c r="BA1" s="3952"/>
    </row>
    <row r="2" spans="1:53" s="1582" customFormat="1" ht="14.25" customHeight="1" x14ac:dyDescent="0.2">
      <c r="A2" s="3953" t="str">
        <f>HYPERLINK("#Index!A4", "Index Pg")</f>
        <v>Index Pg</v>
      </c>
      <c r="B2" s="1367" t="str">
        <f>HYPERLINK("#'Summary of Abstracts'!A2", "Summary of Abst.")</f>
        <v>Summary of Abst.</v>
      </c>
      <c r="C2" s="836"/>
      <c r="D2" s="1193"/>
      <c r="E2" s="3825"/>
      <c r="F2" s="884" t="s">
        <v>118</v>
      </c>
      <c r="G2" s="884" t="s">
        <v>131</v>
      </c>
      <c r="H2" s="884" t="s">
        <v>91</v>
      </c>
      <c r="I2" s="884" t="s">
        <v>4715</v>
      </c>
      <c r="J2" s="884" t="s">
        <v>96</v>
      </c>
      <c r="K2" s="1194" t="s">
        <v>4071</v>
      </c>
      <c r="L2" s="885" t="s">
        <v>4716</v>
      </c>
      <c r="M2" s="885" t="s">
        <v>4720</v>
      </c>
      <c r="N2" s="885" t="s">
        <v>208</v>
      </c>
      <c r="O2" s="887" t="s">
        <v>4365</v>
      </c>
      <c r="P2" s="887" t="s">
        <v>3855</v>
      </c>
      <c r="Q2" s="887" t="s">
        <v>4729</v>
      </c>
      <c r="R2" s="887" t="s">
        <v>4726</v>
      </c>
      <c r="S2" s="887"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307</v>
      </c>
      <c r="AI2" s="888" t="s">
        <v>293</v>
      </c>
      <c r="AJ2" s="888" t="s">
        <v>114</v>
      </c>
      <c r="AK2" s="888" t="s">
        <v>146</v>
      </c>
      <c r="AL2" s="888" t="s">
        <v>4683</v>
      </c>
      <c r="AM2" s="888" t="s">
        <v>3323</v>
      </c>
      <c r="AN2" s="888" t="s">
        <v>3993</v>
      </c>
      <c r="AO2" s="888" t="s">
        <v>4553</v>
      </c>
      <c r="AP2" s="1177" t="s">
        <v>86</v>
      </c>
      <c r="AQ2" s="1177" t="s">
        <v>150</v>
      </c>
      <c r="AR2" s="1177" t="s">
        <v>399</v>
      </c>
      <c r="AS2" s="1177" t="s">
        <v>152</v>
      </c>
      <c r="AT2" s="1177" t="s">
        <v>415</v>
      </c>
      <c r="AU2" s="1177" t="s">
        <v>4607</v>
      </c>
      <c r="AV2" s="1177" t="s">
        <v>4132</v>
      </c>
      <c r="AW2" s="1177" t="s">
        <v>312</v>
      </c>
      <c r="AX2" s="1177" t="s">
        <v>314</v>
      </c>
      <c r="AY2" s="1177" t="s">
        <v>1034</v>
      </c>
      <c r="AZ2" s="1177" t="s">
        <v>1020</v>
      </c>
      <c r="BA2" s="1177" t="s">
        <v>4718</v>
      </c>
    </row>
    <row r="3" spans="1:53" s="1582" customFormat="1" ht="14.25" customHeight="1" x14ac:dyDescent="0.25">
      <c r="A3" s="3954"/>
      <c r="B3" s="1583" t="str">
        <f>HYPERLINK("#'Budget Summary I'!A1:AL1", "Budget Summary I")</f>
        <v>Budget Summary I</v>
      </c>
      <c r="C3" s="832" t="s">
        <v>4608</v>
      </c>
      <c r="D3" s="1193"/>
      <c r="E3" s="1446">
        <f>R7</f>
        <v>0</v>
      </c>
      <c r="F3" s="177">
        <f>R9</f>
        <v>0</v>
      </c>
      <c r="G3" s="177">
        <f>R10</f>
        <v>0</v>
      </c>
      <c r="H3" s="177">
        <f>R11</f>
        <v>0</v>
      </c>
      <c r="I3" s="177">
        <f>R12</f>
        <v>0</v>
      </c>
      <c r="J3" s="177"/>
      <c r="K3" s="961">
        <f>R14</f>
        <v>0</v>
      </c>
      <c r="L3" s="177">
        <f>R13</f>
        <v>0</v>
      </c>
      <c r="M3" s="177"/>
      <c r="N3" s="961">
        <f>R15</f>
        <v>0</v>
      </c>
      <c r="O3" s="961">
        <f>R20</f>
        <v>0</v>
      </c>
      <c r="P3" s="961">
        <f>R19</f>
        <v>0</v>
      </c>
      <c r="Q3" s="961"/>
      <c r="R3" s="961"/>
      <c r="S3" s="961"/>
      <c r="T3" s="961"/>
      <c r="U3" s="961">
        <f>R21</f>
        <v>0</v>
      </c>
      <c r="V3" s="961">
        <f>R17+R23</f>
        <v>0</v>
      </c>
      <c r="W3" s="961"/>
      <c r="X3" s="961"/>
      <c r="Y3" s="961"/>
      <c r="Z3" s="961">
        <f>R22</f>
        <v>0</v>
      </c>
      <c r="AA3" s="961"/>
      <c r="AB3" s="961"/>
      <c r="AC3" s="961"/>
      <c r="AD3" s="961"/>
      <c r="AE3" s="961"/>
      <c r="AF3" s="961">
        <f>R18</f>
        <v>0</v>
      </c>
      <c r="AG3" s="961"/>
      <c r="AH3" s="961"/>
      <c r="AI3" s="961"/>
      <c r="AJ3" s="961">
        <f>R25</f>
        <v>0</v>
      </c>
      <c r="AK3" s="961">
        <f>R26</f>
        <v>0</v>
      </c>
      <c r="AL3" s="961">
        <f>R27</f>
        <v>0</v>
      </c>
      <c r="AM3" s="961">
        <f>R30</f>
        <v>0</v>
      </c>
      <c r="AN3" s="961">
        <f>R28</f>
        <v>0</v>
      </c>
      <c r="AO3" s="961">
        <f>R29</f>
        <v>0</v>
      </c>
      <c r="AP3" s="961">
        <f>R32</f>
        <v>0</v>
      </c>
      <c r="AQ3" s="961">
        <f>R33</f>
        <v>0</v>
      </c>
      <c r="AR3" s="961">
        <f>R34</f>
        <v>0</v>
      </c>
      <c r="AS3" s="961">
        <f>R35</f>
        <v>0</v>
      </c>
      <c r="AT3" s="961">
        <f>R36</f>
        <v>0</v>
      </c>
      <c r="AU3" s="961">
        <f>R39</f>
        <v>0</v>
      </c>
      <c r="AV3" s="961">
        <f>R38</f>
        <v>0</v>
      </c>
      <c r="AW3" s="961">
        <f>R37</f>
        <v>0</v>
      </c>
      <c r="AX3" s="961">
        <f>R41</f>
        <v>0</v>
      </c>
      <c r="AY3" s="961">
        <f>R42</f>
        <v>0</v>
      </c>
      <c r="AZ3" s="961">
        <f>R40</f>
        <v>0</v>
      </c>
      <c r="BA3" s="961"/>
    </row>
    <row r="4" spans="1:53" s="1582" customFormat="1" ht="14.25" customHeight="1" x14ac:dyDescent="0.25">
      <c r="A4" s="3955"/>
      <c r="B4" s="1583" t="str">
        <f>HYPERLINK("#'Budget Summary II'!A3:B5", "Budget Summary II")</f>
        <v>Budget Summary II</v>
      </c>
      <c r="C4" s="832" t="s">
        <v>4609</v>
      </c>
      <c r="D4" s="1193"/>
      <c r="E4" s="1446">
        <f>O7</f>
        <v>0</v>
      </c>
      <c r="F4" s="177">
        <f>O9</f>
        <v>0</v>
      </c>
      <c r="G4" s="177">
        <f>O10</f>
        <v>0</v>
      </c>
      <c r="H4" s="177">
        <f>O11</f>
        <v>0</v>
      </c>
      <c r="I4" s="177">
        <f>O12</f>
        <v>0</v>
      </c>
      <c r="J4" s="177"/>
      <c r="K4" s="961">
        <f>O14</f>
        <v>0</v>
      </c>
      <c r="L4" s="177">
        <f>O13</f>
        <v>0</v>
      </c>
      <c r="M4" s="177"/>
      <c r="N4" s="961">
        <f>O15</f>
        <v>0</v>
      </c>
      <c r="O4" s="961">
        <f>O20</f>
        <v>0</v>
      </c>
      <c r="P4" s="961">
        <f>O19</f>
        <v>0</v>
      </c>
      <c r="Q4" s="961"/>
      <c r="R4" s="961"/>
      <c r="S4" s="961"/>
      <c r="T4" s="961"/>
      <c r="U4" s="961">
        <f>O21</f>
        <v>0</v>
      </c>
      <c r="V4" s="961">
        <f>O17+O23</f>
        <v>0</v>
      </c>
      <c r="W4" s="961"/>
      <c r="X4" s="961"/>
      <c r="Y4" s="961"/>
      <c r="Z4" s="961">
        <f>O22</f>
        <v>0</v>
      </c>
      <c r="AA4" s="961"/>
      <c r="AB4" s="961"/>
      <c r="AC4" s="961"/>
      <c r="AD4" s="961"/>
      <c r="AE4" s="961"/>
      <c r="AF4" s="961">
        <f>O18</f>
        <v>0</v>
      </c>
      <c r="AG4" s="961"/>
      <c r="AH4" s="961"/>
      <c r="AI4" s="961"/>
      <c r="AJ4" s="961">
        <f>O25</f>
        <v>0</v>
      </c>
      <c r="AK4" s="961">
        <f>O26</f>
        <v>0</v>
      </c>
      <c r="AL4" s="961">
        <f>O27</f>
        <v>0</v>
      </c>
      <c r="AM4" s="961">
        <f>O30</f>
        <v>0</v>
      </c>
      <c r="AN4" s="961">
        <f>O28</f>
        <v>0</v>
      </c>
      <c r="AO4" s="961">
        <f>O29</f>
        <v>0</v>
      </c>
      <c r="AP4" s="961">
        <f>O32</f>
        <v>0</v>
      </c>
      <c r="AQ4" s="961">
        <f>O33</f>
        <v>0</v>
      </c>
      <c r="AR4" s="961">
        <f>O34</f>
        <v>0</v>
      </c>
      <c r="AS4" s="961">
        <f>O35</f>
        <v>0</v>
      </c>
      <c r="AT4" s="961">
        <f>O36</f>
        <v>0</v>
      </c>
      <c r="AU4" s="961">
        <f>O39</f>
        <v>0</v>
      </c>
      <c r="AV4" s="961">
        <f>O38</f>
        <v>0</v>
      </c>
      <c r="AW4" s="961">
        <f>O37</f>
        <v>0</v>
      </c>
      <c r="AX4" s="961">
        <f>O41</f>
        <v>0</v>
      </c>
      <c r="AY4" s="961">
        <f>O42</f>
        <v>0</v>
      </c>
      <c r="AZ4" s="961">
        <f>O40</f>
        <v>0</v>
      </c>
      <c r="BA4" s="961"/>
    </row>
    <row r="5" spans="1:53" s="1584" customFormat="1" ht="14.25" customHeight="1" x14ac:dyDescent="0.2">
      <c r="A5" s="3823" t="s">
        <v>53</v>
      </c>
      <c r="B5" s="3823" t="s">
        <v>54</v>
      </c>
      <c r="C5" s="3823" t="s">
        <v>55</v>
      </c>
      <c r="D5" s="3823" t="s">
        <v>56</v>
      </c>
      <c r="E5" s="3823" t="s">
        <v>57</v>
      </c>
      <c r="F5" s="3876" t="s">
        <v>4629</v>
      </c>
      <c r="G5" s="3876"/>
      <c r="H5" s="3876"/>
      <c r="I5" s="3876"/>
      <c r="J5" s="3876"/>
      <c r="K5" s="3877" t="s">
        <v>4640</v>
      </c>
      <c r="L5" s="3888"/>
      <c r="M5" s="3888"/>
      <c r="N5" s="3888"/>
      <c r="O5" s="3888"/>
      <c r="P5" s="3889"/>
      <c r="Q5" s="3890" t="s">
        <v>4670</v>
      </c>
      <c r="R5" s="3891"/>
    </row>
    <row r="6" spans="1:53" s="1260" customFormat="1" ht="60" x14ac:dyDescent="0.2">
      <c r="A6" s="3823"/>
      <c r="B6" s="3823"/>
      <c r="C6" s="3823"/>
      <c r="D6" s="3823"/>
      <c r="E6" s="3823"/>
      <c r="F6" s="896" t="s">
        <v>4630</v>
      </c>
      <c r="G6" s="896" t="s">
        <v>4638</v>
      </c>
      <c r="H6" s="896" t="s">
        <v>4631</v>
      </c>
      <c r="I6" s="896" t="s">
        <v>4639</v>
      </c>
      <c r="J6" s="896" t="s">
        <v>2538</v>
      </c>
      <c r="K6" s="897" t="s">
        <v>58</v>
      </c>
      <c r="L6" s="897" t="s">
        <v>59</v>
      </c>
      <c r="M6" s="898" t="s">
        <v>60</v>
      </c>
      <c r="N6" s="897" t="s">
        <v>61</v>
      </c>
      <c r="O6" s="898" t="s">
        <v>62</v>
      </c>
      <c r="P6" s="897" t="s">
        <v>5547</v>
      </c>
      <c r="Q6" s="899" t="s">
        <v>2540</v>
      </c>
      <c r="R6" s="900" t="s">
        <v>4671</v>
      </c>
      <c r="S6" s="3448" t="s">
        <v>4724</v>
      </c>
    </row>
    <row r="7" spans="1:53" s="1587" customFormat="1" x14ac:dyDescent="0.2">
      <c r="A7" s="484">
        <v>11</v>
      </c>
      <c r="B7" s="485"/>
      <c r="C7" s="484" t="s">
        <v>1342</v>
      </c>
      <c r="D7" s="1585"/>
      <c r="E7" s="1585"/>
      <c r="F7" s="1586"/>
      <c r="G7" s="1586"/>
      <c r="H7" s="224">
        <f>H8+H16+H24+H31</f>
        <v>0</v>
      </c>
      <c r="I7" s="224">
        <f>I8+I16+I24+I31</f>
        <v>0</v>
      </c>
      <c r="J7" s="224">
        <f>J8+J16+J24+J31</f>
        <v>0</v>
      </c>
      <c r="K7" s="1586"/>
      <c r="L7" s="1586"/>
      <c r="M7" s="224"/>
      <c r="N7" s="1586"/>
      <c r="O7" s="224">
        <f>O8+O16+O24+O31</f>
        <v>0</v>
      </c>
      <c r="P7" s="484"/>
      <c r="Q7" s="484"/>
      <c r="R7" s="224">
        <f>R8+R16+R24+R31</f>
        <v>0</v>
      </c>
      <c r="S7" s="1587">
        <f>SUM(S8:S42)</f>
        <v>0</v>
      </c>
    </row>
    <row r="8" spans="1:53" s="1592" customFormat="1" x14ac:dyDescent="0.2">
      <c r="A8" s="1588">
        <v>11.1</v>
      </c>
      <c r="B8" s="1588"/>
      <c r="C8" s="1588" t="s">
        <v>5225</v>
      </c>
      <c r="D8" s="1589"/>
      <c r="E8" s="1589"/>
      <c r="F8" s="1590"/>
      <c r="G8" s="1590"/>
      <c r="H8" s="732">
        <f>SUM(H9:H15)</f>
        <v>0</v>
      </c>
      <c r="I8" s="732">
        <f>SUM(I9:I15)</f>
        <v>0</v>
      </c>
      <c r="J8" s="732">
        <f>SUM(J9:J15)</f>
        <v>0</v>
      </c>
      <c r="K8" s="1590"/>
      <c r="L8" s="1591"/>
      <c r="M8" s="732"/>
      <c r="N8" s="1590"/>
      <c r="O8" s="732">
        <f>SUM(O9:O15)</f>
        <v>0</v>
      </c>
      <c r="P8" s="1588"/>
      <c r="Q8" s="1588"/>
      <c r="R8" s="732">
        <f>SUM(R9:R15)</f>
        <v>0</v>
      </c>
    </row>
    <row r="9" spans="1:53" x14ac:dyDescent="0.2">
      <c r="A9" s="1593" t="s">
        <v>5248</v>
      </c>
      <c r="B9" s="1593" t="s">
        <v>5230</v>
      </c>
      <c r="C9" s="1594" t="s">
        <v>1344</v>
      </c>
      <c r="D9" s="1595" t="s">
        <v>90</v>
      </c>
      <c r="E9" s="1596" t="s">
        <v>118</v>
      </c>
      <c r="F9" s="1601"/>
      <c r="G9" s="1601"/>
      <c r="H9" s="327">
        <f>'11-A. IEC Sub-Annex'!I6</f>
        <v>0</v>
      </c>
      <c r="I9" s="327">
        <f>'11-A. IEC Sub-Annex'!J6</f>
        <v>0</v>
      </c>
      <c r="J9" s="327">
        <f>'11-A. IEC Sub-Annex'!K6</f>
        <v>0</v>
      </c>
      <c r="K9" s="1601"/>
      <c r="L9" s="451"/>
      <c r="M9" s="1491"/>
      <c r="N9" s="1601"/>
      <c r="O9" s="327">
        <f>'11-A. IEC Sub-Annex'!P6</f>
        <v>0</v>
      </c>
      <c r="P9" s="1604"/>
      <c r="Q9" s="3628" t="s">
        <v>5919</v>
      </c>
      <c r="R9" s="327">
        <f>'11-A. IEC Sub-Annex'!S6</f>
        <v>0</v>
      </c>
    </row>
    <row r="10" spans="1:53" x14ac:dyDescent="0.2">
      <c r="A10" s="1593" t="s">
        <v>5251</v>
      </c>
      <c r="B10" s="1593" t="s">
        <v>5231</v>
      </c>
      <c r="C10" s="1594" t="s">
        <v>1351</v>
      </c>
      <c r="D10" s="1595" t="s">
        <v>90</v>
      </c>
      <c r="E10" s="1596" t="s">
        <v>131</v>
      </c>
      <c r="F10" s="1601"/>
      <c r="G10" s="1601"/>
      <c r="H10" s="327">
        <f>'11-A. IEC Sub-Annex'!I10</f>
        <v>0</v>
      </c>
      <c r="I10" s="327">
        <f>'11-A. IEC Sub-Annex'!J10</f>
        <v>0</v>
      </c>
      <c r="J10" s="327">
        <f>'11-A. IEC Sub-Annex'!K10</f>
        <v>0</v>
      </c>
      <c r="K10" s="1601"/>
      <c r="L10" s="451"/>
      <c r="M10" s="1491"/>
      <c r="N10" s="1601"/>
      <c r="O10" s="327">
        <f>'11-A. IEC Sub-Annex'!P10</f>
        <v>0</v>
      </c>
      <c r="P10" s="1604"/>
      <c r="Q10" s="3628" t="s">
        <v>5919</v>
      </c>
      <c r="R10" s="327">
        <f>'11-A. IEC Sub-Annex'!S10</f>
        <v>0</v>
      </c>
    </row>
    <row r="11" spans="1:53" x14ac:dyDescent="0.2">
      <c r="A11" s="1593" t="s">
        <v>5252</v>
      </c>
      <c r="B11" s="1593" t="s">
        <v>5232</v>
      </c>
      <c r="C11" s="1594" t="s">
        <v>1355</v>
      </c>
      <c r="D11" s="1595" t="s">
        <v>90</v>
      </c>
      <c r="E11" s="1596" t="s">
        <v>91</v>
      </c>
      <c r="F11" s="1601"/>
      <c r="G11" s="1601"/>
      <c r="H11" s="327">
        <f>'11-A. IEC Sub-Annex'!I15</f>
        <v>0</v>
      </c>
      <c r="I11" s="327">
        <f>'11-A. IEC Sub-Annex'!J15</f>
        <v>0</v>
      </c>
      <c r="J11" s="327">
        <f>'11-A. IEC Sub-Annex'!K15</f>
        <v>0</v>
      </c>
      <c r="K11" s="1601"/>
      <c r="L11" s="451"/>
      <c r="M11" s="1491"/>
      <c r="N11" s="1601"/>
      <c r="O11" s="327">
        <f>'11-A. IEC Sub-Annex'!P15</f>
        <v>0</v>
      </c>
      <c r="P11" s="1604"/>
      <c r="Q11" s="3628" t="s">
        <v>5919</v>
      </c>
      <c r="R11" s="327">
        <f>'11-A. IEC Sub-Annex'!S15</f>
        <v>0</v>
      </c>
    </row>
    <row r="12" spans="1:53" x14ac:dyDescent="0.2">
      <c r="A12" s="1593" t="s">
        <v>5253</v>
      </c>
      <c r="B12" s="1593" t="s">
        <v>5233</v>
      </c>
      <c r="C12" s="1594" t="s">
        <v>2641</v>
      </c>
      <c r="D12" s="1595" t="s">
        <v>90</v>
      </c>
      <c r="E12" s="1596" t="s">
        <v>193</v>
      </c>
      <c r="F12" s="1601"/>
      <c r="G12" s="1601"/>
      <c r="H12" s="327">
        <f>'11-A. IEC Sub-Annex'!I22</f>
        <v>0</v>
      </c>
      <c r="I12" s="327">
        <f>'11-A. IEC Sub-Annex'!J22</f>
        <v>0</v>
      </c>
      <c r="J12" s="327">
        <f>'11-A. IEC Sub-Annex'!K22</f>
        <v>0</v>
      </c>
      <c r="K12" s="1601"/>
      <c r="L12" s="451"/>
      <c r="M12" s="1491"/>
      <c r="N12" s="1601"/>
      <c r="O12" s="327">
        <f>'11-A. IEC Sub-Annex'!P22</f>
        <v>0</v>
      </c>
      <c r="P12" s="1604"/>
      <c r="Q12" s="1604"/>
      <c r="R12" s="327">
        <f>'11-A. IEC Sub-Annex'!S22</f>
        <v>0</v>
      </c>
    </row>
    <row r="13" spans="1:53" x14ac:dyDescent="0.2">
      <c r="A13" s="1593" t="s">
        <v>5254</v>
      </c>
      <c r="B13" s="1593">
        <v>11.8</v>
      </c>
      <c r="C13" s="1594" t="s">
        <v>2486</v>
      </c>
      <c r="D13" s="1595" t="s">
        <v>90</v>
      </c>
      <c r="E13" s="1596" t="s">
        <v>205</v>
      </c>
      <c r="F13" s="1601"/>
      <c r="G13" s="1601"/>
      <c r="H13" s="327">
        <f>'11-A. IEC Sub-Annex'!I26</f>
        <v>0</v>
      </c>
      <c r="I13" s="327">
        <f>'11-A. IEC Sub-Annex'!J26</f>
        <v>0</v>
      </c>
      <c r="J13" s="327">
        <f>'11-A. IEC Sub-Annex'!K26</f>
        <v>0</v>
      </c>
      <c r="K13" s="1601"/>
      <c r="L13" s="451"/>
      <c r="M13" s="1491"/>
      <c r="N13" s="1601"/>
      <c r="O13" s="327">
        <f>'11-A. IEC Sub-Annex'!P26</f>
        <v>0</v>
      </c>
      <c r="P13" s="1604"/>
      <c r="Q13" s="1604"/>
      <c r="R13" s="327">
        <f>'11-A. IEC Sub-Annex'!S26</f>
        <v>0</v>
      </c>
    </row>
    <row r="14" spans="1:53" x14ac:dyDescent="0.2">
      <c r="A14" s="1593" t="s">
        <v>5255</v>
      </c>
      <c r="B14" s="1593">
        <v>11.9</v>
      </c>
      <c r="C14" s="1594" t="s">
        <v>1368</v>
      </c>
      <c r="D14" s="1595" t="s">
        <v>90</v>
      </c>
      <c r="E14" s="1596" t="s">
        <v>4071</v>
      </c>
      <c r="F14" s="1601"/>
      <c r="G14" s="1601"/>
      <c r="H14" s="327">
        <f>'11-A. IEC Sub-Annex'!I29</f>
        <v>0</v>
      </c>
      <c r="I14" s="327">
        <f>'11-A. IEC Sub-Annex'!J29</f>
        <v>0</v>
      </c>
      <c r="J14" s="327">
        <f>'11-A. IEC Sub-Annex'!K29</f>
        <v>0</v>
      </c>
      <c r="K14" s="1601"/>
      <c r="L14" s="451"/>
      <c r="M14" s="1491"/>
      <c r="N14" s="1601"/>
      <c r="O14" s="327">
        <f>'11-A. IEC Sub-Annex'!P29</f>
        <v>0</v>
      </c>
      <c r="P14" s="1604"/>
      <c r="Q14" s="1604"/>
      <c r="R14" s="327">
        <f>'11-A. IEC Sub-Annex'!S29</f>
        <v>0</v>
      </c>
    </row>
    <row r="15" spans="1:53" x14ac:dyDescent="0.2">
      <c r="A15" s="1593" t="s">
        <v>5256</v>
      </c>
      <c r="B15" s="1593">
        <v>11.14</v>
      </c>
      <c r="C15" s="1594" t="s">
        <v>1388</v>
      </c>
      <c r="D15" s="1595" t="s">
        <v>90</v>
      </c>
      <c r="E15" s="1596" t="s">
        <v>208</v>
      </c>
      <c r="F15" s="1601"/>
      <c r="G15" s="1601"/>
      <c r="H15" s="327">
        <f>'11-A. IEC Sub-Annex'!I32</f>
        <v>0</v>
      </c>
      <c r="I15" s="327">
        <f>'11-A. IEC Sub-Annex'!J32</f>
        <v>0</v>
      </c>
      <c r="J15" s="327">
        <f>'11-A. IEC Sub-Annex'!K32</f>
        <v>0</v>
      </c>
      <c r="K15" s="1601"/>
      <c r="L15" s="451"/>
      <c r="M15" s="1491"/>
      <c r="N15" s="1601"/>
      <c r="O15" s="327">
        <f>'11-A. IEC Sub-Annex'!P32</f>
        <v>0</v>
      </c>
      <c r="P15" s="3249"/>
      <c r="Q15" s="3628" t="s">
        <v>5919</v>
      </c>
      <c r="R15" s="327">
        <f>'11-A. IEC Sub-Annex'!S32</f>
        <v>0</v>
      </c>
    </row>
    <row r="16" spans="1:53" s="1592" customFormat="1" x14ac:dyDescent="0.2">
      <c r="A16" s="1588">
        <v>11.2</v>
      </c>
      <c r="B16" s="1588"/>
      <c r="C16" s="1588" t="s">
        <v>5226</v>
      </c>
      <c r="D16" s="1589"/>
      <c r="E16" s="1589"/>
      <c r="F16" s="1602"/>
      <c r="G16" s="1602"/>
      <c r="H16" s="732">
        <f>SUM(H17:H23)</f>
        <v>0</v>
      </c>
      <c r="I16" s="732">
        <f>SUM(I17:I23)</f>
        <v>0</v>
      </c>
      <c r="J16" s="732">
        <f>SUM(J17:J23)</f>
        <v>0</v>
      </c>
      <c r="K16" s="1602"/>
      <c r="L16" s="1603"/>
      <c r="M16" s="1496"/>
      <c r="N16" s="1602"/>
      <c r="O16" s="732">
        <f>SUM(O17:O23)</f>
        <v>0</v>
      </c>
      <c r="P16" s="1605"/>
      <c r="Q16" s="1605"/>
      <c r="R16" s="732">
        <f>SUM(R17:R23)</f>
        <v>0</v>
      </c>
    </row>
    <row r="17" spans="1:18" ht="30" x14ac:dyDescent="0.2">
      <c r="A17" s="1593" t="s">
        <v>5249</v>
      </c>
      <c r="B17" s="1593" t="s">
        <v>5234</v>
      </c>
      <c r="C17" s="1594" t="s">
        <v>1435</v>
      </c>
      <c r="D17" s="886" t="s">
        <v>70</v>
      </c>
      <c r="E17" s="1596" t="s">
        <v>70</v>
      </c>
      <c r="F17" s="1601"/>
      <c r="G17" s="1601"/>
      <c r="H17" s="327">
        <f>'11-A. IEC Sub-Annex'!I36</f>
        <v>0</v>
      </c>
      <c r="I17" s="327">
        <f>'11-A. IEC Sub-Annex'!J36</f>
        <v>0</v>
      </c>
      <c r="J17" s="327">
        <f>'11-A. IEC Sub-Annex'!K36</f>
        <v>0</v>
      </c>
      <c r="K17" s="1601"/>
      <c r="L17" s="451"/>
      <c r="M17" s="1491"/>
      <c r="N17" s="1601"/>
      <c r="O17" s="327">
        <f>'11-A. IEC Sub-Annex'!P36</f>
        <v>0</v>
      </c>
      <c r="P17" s="1604"/>
      <c r="Q17" s="1604"/>
      <c r="R17" s="327">
        <f>'11-A. IEC Sub-Annex'!S36</f>
        <v>0</v>
      </c>
    </row>
    <row r="18" spans="1:18" x14ac:dyDescent="0.2">
      <c r="A18" s="1593" t="s">
        <v>5257</v>
      </c>
      <c r="B18" s="1593" t="s">
        <v>5235</v>
      </c>
      <c r="C18" s="1594" t="s">
        <v>2643</v>
      </c>
      <c r="D18" s="886" t="s">
        <v>70</v>
      </c>
      <c r="E18" s="1596" t="s">
        <v>2091</v>
      </c>
      <c r="F18" s="1601"/>
      <c r="G18" s="1601"/>
      <c r="H18" s="327">
        <f>'11-A. IEC Sub-Annex'!I37</f>
        <v>0</v>
      </c>
      <c r="I18" s="327">
        <f>'11-A. IEC Sub-Annex'!J37</f>
        <v>0</v>
      </c>
      <c r="J18" s="327">
        <f>'11-A. IEC Sub-Annex'!K37</f>
        <v>0</v>
      </c>
      <c r="K18" s="1601"/>
      <c r="L18" s="451"/>
      <c r="M18" s="1491"/>
      <c r="N18" s="1601"/>
      <c r="O18" s="327">
        <f>'11-A. IEC Sub-Annex'!P37</f>
        <v>0</v>
      </c>
      <c r="P18" s="1604"/>
      <c r="Q18" s="3628" t="s">
        <v>5919</v>
      </c>
      <c r="R18" s="327">
        <f>'11-A. IEC Sub-Annex'!S37</f>
        <v>0</v>
      </c>
    </row>
    <row r="19" spans="1:18" x14ac:dyDescent="0.2">
      <c r="A19" s="1593" t="s">
        <v>5258</v>
      </c>
      <c r="B19" s="1594">
        <v>11.23</v>
      </c>
      <c r="C19" s="1594" t="s">
        <v>2531</v>
      </c>
      <c r="D19" s="886" t="s">
        <v>70</v>
      </c>
      <c r="E19" s="1596" t="s">
        <v>4995</v>
      </c>
      <c r="F19" s="1601"/>
      <c r="G19" s="1601"/>
      <c r="H19" s="327">
        <f>'11-A. IEC Sub-Annex'!I40</f>
        <v>0</v>
      </c>
      <c r="I19" s="327">
        <f>'11-A. IEC Sub-Annex'!J40</f>
        <v>0</v>
      </c>
      <c r="J19" s="327">
        <f>'11-A. IEC Sub-Annex'!K40</f>
        <v>0</v>
      </c>
      <c r="K19" s="1601"/>
      <c r="L19" s="451"/>
      <c r="M19" s="1491"/>
      <c r="N19" s="1601"/>
      <c r="O19" s="327">
        <f>'11-A. IEC Sub-Annex'!P40</f>
        <v>0</v>
      </c>
      <c r="P19" s="1604"/>
      <c r="Q19" s="1604"/>
      <c r="R19" s="327">
        <f>'11-A. IEC Sub-Annex'!S40</f>
        <v>0</v>
      </c>
    </row>
    <row r="20" spans="1:18" ht="30" x14ac:dyDescent="0.2">
      <c r="A20" s="1593" t="s">
        <v>5259</v>
      </c>
      <c r="B20" s="1593" t="s">
        <v>5236</v>
      </c>
      <c r="C20" s="1594" t="s">
        <v>3890</v>
      </c>
      <c r="D20" s="886" t="s">
        <v>70</v>
      </c>
      <c r="E20" s="1596" t="s">
        <v>4365</v>
      </c>
      <c r="F20" s="1601"/>
      <c r="G20" s="1601"/>
      <c r="H20" s="327">
        <f>'11-A. IEC Sub-Annex'!I43</f>
        <v>0</v>
      </c>
      <c r="I20" s="327">
        <f>'11-A. IEC Sub-Annex'!J43</f>
        <v>0</v>
      </c>
      <c r="J20" s="327">
        <f>'11-A. IEC Sub-Annex'!K43</f>
        <v>0</v>
      </c>
      <c r="K20" s="1601"/>
      <c r="L20" s="451"/>
      <c r="M20" s="1491"/>
      <c r="N20" s="1601"/>
      <c r="O20" s="327">
        <f>'11-A. IEC Sub-Annex'!P43</f>
        <v>0</v>
      </c>
      <c r="P20" s="1604"/>
      <c r="Q20" s="3628" t="s">
        <v>5919</v>
      </c>
      <c r="R20" s="327">
        <f>'11-A. IEC Sub-Annex'!S43</f>
        <v>0</v>
      </c>
    </row>
    <row r="21" spans="1:18" ht="45" x14ac:dyDescent="0.2">
      <c r="A21" s="1593" t="s">
        <v>5260</v>
      </c>
      <c r="B21" s="1593" t="s">
        <v>4014</v>
      </c>
      <c r="C21" s="1594" t="s">
        <v>4025</v>
      </c>
      <c r="D21" s="886" t="s">
        <v>70</v>
      </c>
      <c r="E21" s="1596" t="s">
        <v>4730</v>
      </c>
      <c r="F21" s="1601"/>
      <c r="G21" s="1601"/>
      <c r="H21" s="327">
        <f>'11-A. IEC Sub-Annex'!I44</f>
        <v>0</v>
      </c>
      <c r="I21" s="327">
        <f>'11-A. IEC Sub-Annex'!J44</f>
        <v>0</v>
      </c>
      <c r="J21" s="327">
        <f>'11-A. IEC Sub-Annex'!K44</f>
        <v>0</v>
      </c>
      <c r="K21" s="1601"/>
      <c r="L21" s="451"/>
      <c r="M21" s="1491"/>
      <c r="N21" s="1601"/>
      <c r="O21" s="327">
        <f>'11-A. IEC Sub-Annex'!P44</f>
        <v>0</v>
      </c>
      <c r="P21" s="1604"/>
      <c r="Q21" s="3628" t="s">
        <v>5919</v>
      </c>
      <c r="R21" s="327">
        <f>'11-A. IEC Sub-Annex'!S44</f>
        <v>0</v>
      </c>
    </row>
    <row r="22" spans="1:18" ht="30" x14ac:dyDescent="0.2">
      <c r="A22" s="1593" t="s">
        <v>5261</v>
      </c>
      <c r="B22" s="1593" t="s">
        <v>4496</v>
      </c>
      <c r="C22" s="1594" t="s">
        <v>4546</v>
      </c>
      <c r="D22" s="886" t="s">
        <v>70</v>
      </c>
      <c r="E22" s="1596" t="s">
        <v>4925</v>
      </c>
      <c r="F22" s="1601"/>
      <c r="G22" s="1601"/>
      <c r="H22" s="327">
        <f>'11-A. IEC Sub-Annex'!I45</f>
        <v>0</v>
      </c>
      <c r="I22" s="327">
        <f>'11-A. IEC Sub-Annex'!J45</f>
        <v>0</v>
      </c>
      <c r="J22" s="327">
        <f>'11-A. IEC Sub-Annex'!K45</f>
        <v>0</v>
      </c>
      <c r="K22" s="1601"/>
      <c r="L22" s="451"/>
      <c r="M22" s="1491"/>
      <c r="N22" s="1601"/>
      <c r="O22" s="327">
        <f>'11-A. IEC Sub-Annex'!P45</f>
        <v>0</v>
      </c>
      <c r="P22" s="1604"/>
      <c r="Q22" s="1604"/>
      <c r="R22" s="327">
        <f>'11-A. IEC Sub-Annex'!S45</f>
        <v>0</v>
      </c>
    </row>
    <row r="23" spans="1:18" x14ac:dyDescent="0.2">
      <c r="A23" s="1593" t="s">
        <v>5262</v>
      </c>
      <c r="B23" s="1593">
        <v>11.24</v>
      </c>
      <c r="C23" s="1594" t="s">
        <v>1432</v>
      </c>
      <c r="D23" s="886" t="s">
        <v>70</v>
      </c>
      <c r="E23" s="1596" t="s">
        <v>70</v>
      </c>
      <c r="F23" s="1601"/>
      <c r="G23" s="1601"/>
      <c r="H23" s="327">
        <f>'11-A. IEC Sub-Annex'!I46</f>
        <v>0</v>
      </c>
      <c r="I23" s="327">
        <f>'11-A. IEC Sub-Annex'!J46</f>
        <v>0</v>
      </c>
      <c r="J23" s="327">
        <f>'11-A. IEC Sub-Annex'!K46</f>
        <v>0</v>
      </c>
      <c r="K23" s="1601"/>
      <c r="L23" s="451"/>
      <c r="M23" s="1491"/>
      <c r="N23" s="1601"/>
      <c r="O23" s="327">
        <f>'11-A. IEC Sub-Annex'!P46</f>
        <v>0</v>
      </c>
      <c r="P23" s="1604"/>
      <c r="Q23" s="3628" t="s">
        <v>5919</v>
      </c>
      <c r="R23" s="327">
        <f>'11-A. IEC Sub-Annex'!S46</f>
        <v>0</v>
      </c>
    </row>
    <row r="24" spans="1:18" s="1592" customFormat="1" x14ac:dyDescent="0.2">
      <c r="A24" s="1588">
        <v>11.3</v>
      </c>
      <c r="B24" s="1588"/>
      <c r="C24" s="1588" t="s">
        <v>5227</v>
      </c>
      <c r="D24" s="1589"/>
      <c r="E24" s="1589"/>
      <c r="F24" s="1602"/>
      <c r="G24" s="1602"/>
      <c r="H24" s="732">
        <f>SUM(H25:H30)</f>
        <v>0</v>
      </c>
      <c r="I24" s="732">
        <f>SUM(I25:I30)</f>
        <v>0</v>
      </c>
      <c r="J24" s="732">
        <f>SUM(J25:J30)</f>
        <v>0</v>
      </c>
      <c r="K24" s="1602"/>
      <c r="L24" s="1603"/>
      <c r="M24" s="1496"/>
      <c r="N24" s="1602"/>
      <c r="O24" s="732">
        <f>SUM(O25:O30)</f>
        <v>0</v>
      </c>
      <c r="P24" s="1605"/>
      <c r="Q24" s="1605"/>
      <c r="R24" s="732">
        <f>SUM(R25:R30)</f>
        <v>0</v>
      </c>
    </row>
    <row r="25" spans="1:18" x14ac:dyDescent="0.2">
      <c r="A25" s="1593" t="s">
        <v>5250</v>
      </c>
      <c r="B25" s="1594">
        <v>11.15</v>
      </c>
      <c r="C25" s="1594" t="s">
        <v>1392</v>
      </c>
      <c r="D25" s="888" t="s">
        <v>4366</v>
      </c>
      <c r="E25" s="1596" t="s">
        <v>114</v>
      </c>
      <c r="F25" s="1601"/>
      <c r="G25" s="1601"/>
      <c r="H25" s="327">
        <f>'11-A. IEC Sub-Annex'!I57</f>
        <v>0</v>
      </c>
      <c r="I25" s="327">
        <f>'11-A. IEC Sub-Annex'!J57</f>
        <v>0</v>
      </c>
      <c r="J25" s="327">
        <f>'11-A. IEC Sub-Annex'!K57</f>
        <v>0</v>
      </c>
      <c r="K25" s="1601"/>
      <c r="L25" s="451"/>
      <c r="M25" s="1491"/>
      <c r="N25" s="1601"/>
      <c r="O25" s="327">
        <f>'11-A. IEC Sub-Annex'!P57</f>
        <v>0</v>
      </c>
      <c r="P25" s="1604"/>
      <c r="Q25" s="1604"/>
      <c r="R25" s="327">
        <f>'11-A. IEC Sub-Annex'!S57</f>
        <v>0</v>
      </c>
    </row>
    <row r="26" spans="1:18" x14ac:dyDescent="0.2">
      <c r="A26" s="1593" t="s">
        <v>5263</v>
      </c>
      <c r="B26" s="1594">
        <v>11.16</v>
      </c>
      <c r="C26" s="1594" t="s">
        <v>1406</v>
      </c>
      <c r="D26" s="888" t="s">
        <v>4366</v>
      </c>
      <c r="E26" s="1596" t="s">
        <v>146</v>
      </c>
      <c r="F26" s="1601"/>
      <c r="G26" s="1601"/>
      <c r="H26" s="327">
        <f>'11-A. IEC Sub-Annex'!I66</f>
        <v>0</v>
      </c>
      <c r="I26" s="327">
        <f>'11-A. IEC Sub-Annex'!J66</f>
        <v>0</v>
      </c>
      <c r="J26" s="327">
        <f>'11-A. IEC Sub-Annex'!K66</f>
        <v>0</v>
      </c>
      <c r="K26" s="1601"/>
      <c r="L26" s="451"/>
      <c r="M26" s="1491"/>
      <c r="N26" s="1601"/>
      <c r="O26" s="327">
        <f>'11-A. IEC Sub-Annex'!P66</f>
        <v>0</v>
      </c>
      <c r="P26" s="1604"/>
      <c r="Q26" s="3628" t="s">
        <v>5919</v>
      </c>
      <c r="R26" s="327">
        <f>'11-A. IEC Sub-Annex'!S66</f>
        <v>0</v>
      </c>
    </row>
    <row r="27" spans="1:18" x14ac:dyDescent="0.2">
      <c r="A27" s="1593" t="s">
        <v>5264</v>
      </c>
      <c r="B27" s="1594">
        <v>11.17</v>
      </c>
      <c r="C27" s="1594" t="s">
        <v>4896</v>
      </c>
      <c r="D27" s="888" t="s">
        <v>4366</v>
      </c>
      <c r="E27" s="1596" t="s">
        <v>4683</v>
      </c>
      <c r="F27" s="1601"/>
      <c r="G27" s="1601"/>
      <c r="H27" s="327">
        <f>'11-A. IEC Sub-Annex'!I69</f>
        <v>0</v>
      </c>
      <c r="I27" s="327">
        <f>'11-A. IEC Sub-Annex'!J69</f>
        <v>0</v>
      </c>
      <c r="J27" s="327">
        <f>'11-A. IEC Sub-Annex'!K69</f>
        <v>0</v>
      </c>
      <c r="K27" s="1601"/>
      <c r="L27" s="451"/>
      <c r="M27" s="1491"/>
      <c r="N27" s="1601"/>
      <c r="O27" s="327">
        <f>'11-A. IEC Sub-Annex'!P69</f>
        <v>0</v>
      </c>
      <c r="P27" s="1604"/>
      <c r="Q27" s="3628" t="s">
        <v>5919</v>
      </c>
      <c r="R27" s="327">
        <f>'11-A. IEC Sub-Annex'!S69</f>
        <v>0</v>
      </c>
    </row>
    <row r="28" spans="1:18" ht="30" x14ac:dyDescent="0.2">
      <c r="A28" s="1593" t="s">
        <v>5265</v>
      </c>
      <c r="B28" s="1594" t="s">
        <v>3902</v>
      </c>
      <c r="C28" s="1594" t="s">
        <v>5229</v>
      </c>
      <c r="D28" s="888" t="s">
        <v>4366</v>
      </c>
      <c r="E28" s="1596" t="s">
        <v>3993</v>
      </c>
      <c r="F28" s="1601"/>
      <c r="G28" s="1601"/>
      <c r="H28" s="327">
        <f>'11-A. IEC Sub-Annex'!I73</f>
        <v>0</v>
      </c>
      <c r="I28" s="327">
        <f>'11-A. IEC Sub-Annex'!J73</f>
        <v>0</v>
      </c>
      <c r="J28" s="327">
        <f>'11-A. IEC Sub-Annex'!K73</f>
        <v>0</v>
      </c>
      <c r="K28" s="1601"/>
      <c r="L28" s="451"/>
      <c r="M28" s="1491"/>
      <c r="N28" s="1601"/>
      <c r="O28" s="327">
        <f>'11-A. IEC Sub-Annex'!P73</f>
        <v>0</v>
      </c>
      <c r="P28" s="1604"/>
      <c r="Q28" s="3628" t="s">
        <v>5919</v>
      </c>
      <c r="R28" s="327">
        <f>'11-A. IEC Sub-Annex'!S73</f>
        <v>0</v>
      </c>
    </row>
    <row r="29" spans="1:18" ht="30" x14ac:dyDescent="0.2">
      <c r="A29" s="1593" t="s">
        <v>5266</v>
      </c>
      <c r="B29" s="1594" t="s">
        <v>4024</v>
      </c>
      <c r="C29" s="1594" t="s">
        <v>4534</v>
      </c>
      <c r="D29" s="888" t="s">
        <v>4366</v>
      </c>
      <c r="E29" s="1596" t="s">
        <v>4553</v>
      </c>
      <c r="F29" s="1601"/>
      <c r="G29" s="1601"/>
      <c r="H29" s="327">
        <f>'11-A. IEC Sub-Annex'!I74</f>
        <v>0</v>
      </c>
      <c r="I29" s="327">
        <f>'11-A. IEC Sub-Annex'!J74</f>
        <v>0</v>
      </c>
      <c r="J29" s="327">
        <f>'11-A. IEC Sub-Annex'!K74</f>
        <v>0</v>
      </c>
      <c r="K29" s="1601"/>
      <c r="L29" s="451"/>
      <c r="M29" s="1491"/>
      <c r="N29" s="1601"/>
      <c r="O29" s="327">
        <f>'11-A. IEC Sub-Annex'!P74</f>
        <v>0</v>
      </c>
      <c r="P29" s="1604"/>
      <c r="Q29" s="3628" t="s">
        <v>5919</v>
      </c>
      <c r="R29" s="327">
        <f>'11-A. IEC Sub-Annex'!S74</f>
        <v>0</v>
      </c>
    </row>
    <row r="30" spans="1:18" x14ac:dyDescent="0.2">
      <c r="A30" s="1593" t="s">
        <v>5268</v>
      </c>
      <c r="B30" s="1594"/>
      <c r="C30" s="1594" t="s">
        <v>5269</v>
      </c>
      <c r="D30" s="888" t="s">
        <v>4366</v>
      </c>
      <c r="E30" s="1596" t="s">
        <v>3323</v>
      </c>
      <c r="F30" s="1601"/>
      <c r="G30" s="1601"/>
      <c r="H30" s="327">
        <f>'11-A. IEC Sub-Annex'!I75</f>
        <v>0</v>
      </c>
      <c r="I30" s="327">
        <f>'11-A. IEC Sub-Annex'!J75</f>
        <v>0</v>
      </c>
      <c r="J30" s="327">
        <f>'11-A. IEC Sub-Annex'!K75</f>
        <v>0</v>
      </c>
      <c r="K30" s="1601"/>
      <c r="L30" s="451"/>
      <c r="M30" s="1491"/>
      <c r="N30" s="1601"/>
      <c r="O30" s="327">
        <f>'11-A. IEC Sub-Annex'!P75</f>
        <v>0</v>
      </c>
      <c r="P30" s="1604"/>
      <c r="Q30" s="3628" t="s">
        <v>5919</v>
      </c>
      <c r="R30" s="327">
        <f>'11-A. IEC Sub-Annex'!S75</f>
        <v>0</v>
      </c>
    </row>
    <row r="31" spans="1:18" s="1592" customFormat="1" x14ac:dyDescent="0.2">
      <c r="A31" s="1588">
        <v>11.4</v>
      </c>
      <c r="B31" s="1588"/>
      <c r="C31" s="1588" t="s">
        <v>5228</v>
      </c>
      <c r="D31" s="1589"/>
      <c r="E31" s="1589"/>
      <c r="F31" s="1602"/>
      <c r="G31" s="1602"/>
      <c r="H31" s="732">
        <f>SUM(H32:H42)</f>
        <v>0</v>
      </c>
      <c r="I31" s="732">
        <f>SUM(I32:I42)</f>
        <v>0</v>
      </c>
      <c r="J31" s="732">
        <f>SUM(J32:J42)</f>
        <v>0</v>
      </c>
      <c r="K31" s="1602"/>
      <c r="L31" s="1603"/>
      <c r="M31" s="1496"/>
      <c r="N31" s="1602"/>
      <c r="O31" s="732">
        <f>SUM(O32:O42)</f>
        <v>0</v>
      </c>
      <c r="P31" s="1605"/>
      <c r="Q31" s="1605"/>
      <c r="R31" s="732">
        <f>SUM(R32:R42)</f>
        <v>0</v>
      </c>
    </row>
    <row r="32" spans="1:18" x14ac:dyDescent="0.2">
      <c r="A32" s="1593" t="s">
        <v>1363</v>
      </c>
      <c r="B32" s="1594">
        <v>11.18</v>
      </c>
      <c r="C32" s="1594" t="s">
        <v>1412</v>
      </c>
      <c r="D32" s="891" t="s">
        <v>85</v>
      </c>
      <c r="E32" s="1596" t="s">
        <v>86</v>
      </c>
      <c r="F32" s="1601"/>
      <c r="G32" s="1601"/>
      <c r="H32" s="327">
        <f>'11-A. IEC Sub-Annex'!I77</f>
        <v>0</v>
      </c>
      <c r="I32" s="327">
        <f>'11-A. IEC Sub-Annex'!J77</f>
        <v>0</v>
      </c>
      <c r="J32" s="327">
        <f>'11-A. IEC Sub-Annex'!K77</f>
        <v>0</v>
      </c>
      <c r="K32" s="1601"/>
      <c r="L32" s="451"/>
      <c r="M32" s="1491"/>
      <c r="N32" s="1601"/>
      <c r="O32" s="327">
        <f>'11-A. IEC Sub-Annex'!P77</f>
        <v>0</v>
      </c>
      <c r="P32" s="1604"/>
      <c r="Q32" s="3628" t="s">
        <v>5919</v>
      </c>
      <c r="R32" s="327">
        <f>'11-A. IEC Sub-Annex'!S77</f>
        <v>0</v>
      </c>
    </row>
    <row r="33" spans="1:18" x14ac:dyDescent="0.2">
      <c r="A33" s="1593" t="s">
        <v>1365</v>
      </c>
      <c r="B33" s="1594" t="s">
        <v>5237</v>
      </c>
      <c r="C33" s="1594" t="s">
        <v>1416</v>
      </c>
      <c r="D33" s="891" t="s">
        <v>85</v>
      </c>
      <c r="E33" s="1596" t="s">
        <v>150</v>
      </c>
      <c r="F33" s="1601"/>
      <c r="G33" s="1601"/>
      <c r="H33" s="327">
        <f>'11-A. IEC Sub-Annex'!I80</f>
        <v>0</v>
      </c>
      <c r="I33" s="327">
        <f>'11-A. IEC Sub-Annex'!J80</f>
        <v>0</v>
      </c>
      <c r="J33" s="327">
        <f>'11-A. IEC Sub-Annex'!K80</f>
        <v>0</v>
      </c>
      <c r="K33" s="1601"/>
      <c r="L33" s="451"/>
      <c r="M33" s="1491"/>
      <c r="N33" s="1601"/>
      <c r="O33" s="327">
        <f>'11-A. IEC Sub-Annex'!P80</f>
        <v>0</v>
      </c>
      <c r="P33" s="1604"/>
      <c r="Q33" s="3628" t="s">
        <v>5919</v>
      </c>
      <c r="R33" s="327">
        <f>'11-A. IEC Sub-Annex'!S80</f>
        <v>0</v>
      </c>
    </row>
    <row r="34" spans="1:18" x14ac:dyDescent="0.2">
      <c r="A34" s="1593" t="s">
        <v>1367</v>
      </c>
      <c r="B34" s="1594" t="s">
        <v>2522</v>
      </c>
      <c r="C34" s="1594" t="s">
        <v>1423</v>
      </c>
      <c r="D34" s="891" t="s">
        <v>85</v>
      </c>
      <c r="E34" s="1596" t="s">
        <v>399</v>
      </c>
      <c r="F34" s="1601"/>
      <c r="G34" s="1601"/>
      <c r="H34" s="327">
        <f>'11-A. IEC Sub-Annex'!I84</f>
        <v>0</v>
      </c>
      <c r="I34" s="327">
        <f>'11-A. IEC Sub-Annex'!J84</f>
        <v>0</v>
      </c>
      <c r="J34" s="327">
        <f>'11-A. IEC Sub-Annex'!K84</f>
        <v>0</v>
      </c>
      <c r="K34" s="1601"/>
      <c r="L34" s="451"/>
      <c r="M34" s="1491"/>
      <c r="N34" s="1601"/>
      <c r="O34" s="327">
        <f>'11-A. IEC Sub-Annex'!P84</f>
        <v>0</v>
      </c>
      <c r="P34" s="1604"/>
      <c r="Q34" s="3628" t="s">
        <v>5919</v>
      </c>
      <c r="R34" s="327">
        <f>'11-A. IEC Sub-Annex'!S84</f>
        <v>0</v>
      </c>
    </row>
    <row r="35" spans="1:18" x14ac:dyDescent="0.2">
      <c r="A35" s="1593" t="s">
        <v>5240</v>
      </c>
      <c r="B35" s="1594">
        <v>11.21</v>
      </c>
      <c r="C35" s="1594" t="s">
        <v>1426</v>
      </c>
      <c r="D35" s="891" t="s">
        <v>85</v>
      </c>
      <c r="E35" s="1596" t="s">
        <v>152</v>
      </c>
      <c r="F35" s="1601"/>
      <c r="G35" s="1601"/>
      <c r="H35" s="327">
        <f>'11-A. IEC Sub-Annex'!I87</f>
        <v>0</v>
      </c>
      <c r="I35" s="327">
        <f>'11-A. IEC Sub-Annex'!J87</f>
        <v>0</v>
      </c>
      <c r="J35" s="327">
        <f>'11-A. IEC Sub-Annex'!K87</f>
        <v>0</v>
      </c>
      <c r="K35" s="1601"/>
      <c r="L35" s="451"/>
      <c r="M35" s="1491"/>
      <c r="N35" s="1601"/>
      <c r="O35" s="327">
        <f>'11-A. IEC Sub-Annex'!P87</f>
        <v>0</v>
      </c>
      <c r="P35" s="1604"/>
      <c r="Q35" s="3628" t="s">
        <v>5919</v>
      </c>
      <c r="R35" s="327">
        <f>'11-A. IEC Sub-Annex'!S87</f>
        <v>0</v>
      </c>
    </row>
    <row r="36" spans="1:18" x14ac:dyDescent="0.2">
      <c r="A36" s="1593" t="s">
        <v>5241</v>
      </c>
      <c r="B36" s="1594" t="s">
        <v>5238</v>
      </c>
      <c r="C36" s="1594" t="s">
        <v>1428</v>
      </c>
      <c r="D36" s="891" t="s">
        <v>85</v>
      </c>
      <c r="E36" s="1596" t="s">
        <v>415</v>
      </c>
      <c r="F36" s="1601"/>
      <c r="G36" s="1601"/>
      <c r="H36" s="327">
        <f>'11-A. IEC Sub-Annex'!I89</f>
        <v>0</v>
      </c>
      <c r="I36" s="327">
        <f>'11-A. IEC Sub-Annex'!J89</f>
        <v>0</v>
      </c>
      <c r="J36" s="327">
        <f>'11-A. IEC Sub-Annex'!K89</f>
        <v>0</v>
      </c>
      <c r="K36" s="1601"/>
      <c r="L36" s="451"/>
      <c r="M36" s="1491"/>
      <c r="N36" s="1601"/>
      <c r="O36" s="327">
        <f>'11-A. IEC Sub-Annex'!P89</f>
        <v>0</v>
      </c>
      <c r="P36" s="1604"/>
      <c r="Q36" s="3628" t="s">
        <v>5919</v>
      </c>
      <c r="R36" s="327">
        <f>'11-A. IEC Sub-Annex'!S89</f>
        <v>0</v>
      </c>
    </row>
    <row r="37" spans="1:18" x14ac:dyDescent="0.2">
      <c r="A37" s="1593" t="s">
        <v>5242</v>
      </c>
      <c r="B37" s="1594" t="s">
        <v>3903</v>
      </c>
      <c r="C37" s="1594" t="s">
        <v>4536</v>
      </c>
      <c r="D37" s="891" t="s">
        <v>85</v>
      </c>
      <c r="E37" s="1596" t="s">
        <v>312</v>
      </c>
      <c r="F37" s="1601"/>
      <c r="G37" s="1601"/>
      <c r="H37" s="327">
        <f>'11-A. IEC Sub-Annex'!I94</f>
        <v>0</v>
      </c>
      <c r="I37" s="327">
        <f>'11-A. IEC Sub-Annex'!J94</f>
        <v>0</v>
      </c>
      <c r="J37" s="327">
        <f>'11-A. IEC Sub-Annex'!K94</f>
        <v>0</v>
      </c>
      <c r="K37" s="1601"/>
      <c r="L37" s="451"/>
      <c r="M37" s="1491"/>
      <c r="N37" s="1601"/>
      <c r="O37" s="327">
        <f>'11-A. IEC Sub-Annex'!P94</f>
        <v>0</v>
      </c>
      <c r="P37" s="1604"/>
      <c r="Q37" s="3628" t="s">
        <v>5919</v>
      </c>
      <c r="R37" s="327">
        <f>'11-A. IEC Sub-Annex'!S94</f>
        <v>0</v>
      </c>
    </row>
    <row r="38" spans="1:18" ht="45" x14ac:dyDescent="0.2">
      <c r="A38" s="1593" t="s">
        <v>5243</v>
      </c>
      <c r="B38" s="1594" t="s">
        <v>4001</v>
      </c>
      <c r="C38" s="1594" t="s">
        <v>4535</v>
      </c>
      <c r="D38" s="891" t="s">
        <v>85</v>
      </c>
      <c r="E38" s="1596" t="s">
        <v>4132</v>
      </c>
      <c r="F38" s="1601"/>
      <c r="G38" s="1601"/>
      <c r="H38" s="327">
        <f>'11-A. IEC Sub-Annex'!I95</f>
        <v>0</v>
      </c>
      <c r="I38" s="327">
        <f>'11-A. IEC Sub-Annex'!J95</f>
        <v>0</v>
      </c>
      <c r="J38" s="327">
        <f>'11-A. IEC Sub-Annex'!K95</f>
        <v>0</v>
      </c>
      <c r="K38" s="1601"/>
      <c r="L38" s="451"/>
      <c r="M38" s="1491"/>
      <c r="N38" s="1601"/>
      <c r="O38" s="327">
        <f>'11-A. IEC Sub-Annex'!P95</f>
        <v>0</v>
      </c>
      <c r="P38" s="1604"/>
      <c r="Q38" s="3628" t="s">
        <v>5919</v>
      </c>
      <c r="R38" s="327">
        <f>'11-A. IEC Sub-Annex'!S95</f>
        <v>0</v>
      </c>
    </row>
    <row r="39" spans="1:18" ht="30" x14ac:dyDescent="0.2">
      <c r="A39" s="1593" t="s">
        <v>5244</v>
      </c>
      <c r="B39" s="1594" t="s">
        <v>4543</v>
      </c>
      <c r="C39" s="1594" t="s">
        <v>4547</v>
      </c>
      <c r="D39" s="891" t="s">
        <v>85</v>
      </c>
      <c r="E39" s="1596" t="s">
        <v>4925</v>
      </c>
      <c r="F39" s="1601"/>
      <c r="G39" s="1601"/>
      <c r="H39" s="327">
        <f>'11-A. IEC Sub-Annex'!I96</f>
        <v>0</v>
      </c>
      <c r="I39" s="327">
        <f>'11-A. IEC Sub-Annex'!J96</f>
        <v>0</v>
      </c>
      <c r="J39" s="327">
        <f>'11-A. IEC Sub-Annex'!K96</f>
        <v>0</v>
      </c>
      <c r="K39" s="1601"/>
      <c r="L39" s="451"/>
      <c r="M39" s="1491"/>
      <c r="N39" s="1601"/>
      <c r="O39" s="327">
        <f>'11-A. IEC Sub-Annex'!P96</f>
        <v>0</v>
      </c>
      <c r="P39" s="1604"/>
      <c r="Q39" s="3628" t="s">
        <v>5919</v>
      </c>
      <c r="R39" s="327">
        <f>'11-A. IEC Sub-Annex'!S96</f>
        <v>0</v>
      </c>
    </row>
    <row r="40" spans="1:18" x14ac:dyDescent="0.2">
      <c r="A40" s="1593" t="s">
        <v>5245</v>
      </c>
      <c r="B40" s="1594" t="s">
        <v>5239</v>
      </c>
      <c r="C40" s="1594" t="s">
        <v>1374</v>
      </c>
      <c r="D40" s="891" t="s">
        <v>85</v>
      </c>
      <c r="E40" s="1596" t="s">
        <v>1020</v>
      </c>
      <c r="F40" s="1601"/>
      <c r="G40" s="1601"/>
      <c r="H40" s="327">
        <f>'11-A. IEC Sub-Annex'!I97</f>
        <v>0</v>
      </c>
      <c r="I40" s="327">
        <f>'11-A. IEC Sub-Annex'!J97</f>
        <v>0</v>
      </c>
      <c r="J40" s="327">
        <f>'11-A. IEC Sub-Annex'!K97</f>
        <v>0</v>
      </c>
      <c r="K40" s="1601"/>
      <c r="L40" s="451"/>
      <c r="M40" s="1491"/>
      <c r="N40" s="1601"/>
      <c r="O40" s="327">
        <f>'11-A. IEC Sub-Annex'!P97</f>
        <v>0</v>
      </c>
      <c r="P40" s="1604"/>
      <c r="Q40" s="1604"/>
      <c r="R40" s="327">
        <f>'11-A. IEC Sub-Annex'!S97</f>
        <v>0</v>
      </c>
    </row>
    <row r="41" spans="1:18" x14ac:dyDescent="0.2">
      <c r="A41" s="1593" t="s">
        <v>5246</v>
      </c>
      <c r="B41" s="1594">
        <v>11.12</v>
      </c>
      <c r="C41" s="1594" t="s">
        <v>1377</v>
      </c>
      <c r="D41" s="891" t="s">
        <v>85</v>
      </c>
      <c r="E41" s="1596" t="s">
        <v>314</v>
      </c>
      <c r="F41" s="1601"/>
      <c r="G41" s="1601"/>
      <c r="H41" s="327">
        <f>'11-A. IEC Sub-Annex'!I100</f>
        <v>0</v>
      </c>
      <c r="I41" s="327">
        <f>'11-A. IEC Sub-Annex'!J100</f>
        <v>0</v>
      </c>
      <c r="J41" s="327">
        <f>'11-A. IEC Sub-Annex'!K100</f>
        <v>0</v>
      </c>
      <c r="K41" s="1601"/>
      <c r="L41" s="451"/>
      <c r="M41" s="1491"/>
      <c r="N41" s="1601"/>
      <c r="O41" s="327">
        <f>'11-A. IEC Sub-Annex'!P100</f>
        <v>0</v>
      </c>
      <c r="P41" s="1604"/>
      <c r="Q41" s="1604"/>
      <c r="R41" s="327">
        <f>'11-A. IEC Sub-Annex'!S100</f>
        <v>0</v>
      </c>
    </row>
    <row r="42" spans="1:18" x14ac:dyDescent="0.2">
      <c r="A42" s="1593" t="s">
        <v>5247</v>
      </c>
      <c r="B42" s="1594">
        <v>11.13</v>
      </c>
      <c r="C42" s="1594" t="s">
        <v>1384</v>
      </c>
      <c r="D42" s="891" t="s">
        <v>85</v>
      </c>
      <c r="E42" s="1596" t="s">
        <v>1034</v>
      </c>
      <c r="F42" s="1601"/>
      <c r="G42" s="1601"/>
      <c r="H42" s="327">
        <f>'11-A. IEC Sub-Annex'!I104</f>
        <v>0</v>
      </c>
      <c r="I42" s="327">
        <f>'11-A. IEC Sub-Annex'!J104</f>
        <v>0</v>
      </c>
      <c r="J42" s="327">
        <f>'11-A. IEC Sub-Annex'!K104</f>
        <v>0</v>
      </c>
      <c r="K42" s="1601"/>
      <c r="L42" s="451"/>
      <c r="M42" s="1491"/>
      <c r="N42" s="1601"/>
      <c r="O42" s="327">
        <f>'11-A. IEC Sub-Annex'!P104</f>
        <v>0</v>
      </c>
      <c r="P42" s="1604"/>
      <c r="Q42" s="3628" t="s">
        <v>5919</v>
      </c>
      <c r="R42" s="327">
        <f>'11-A. IEC Sub-Annex'!S104</f>
        <v>0</v>
      </c>
    </row>
    <row r="45" spans="1:18" x14ac:dyDescent="0.2">
      <c r="N45" s="178" t="s">
        <v>5740</v>
      </c>
      <c r="R45" s="1600">
        <f>R7-R46</f>
        <v>0</v>
      </c>
    </row>
    <row r="46" spans="1:18" x14ac:dyDescent="0.2">
      <c r="N46" s="178" t="s">
        <v>5741</v>
      </c>
      <c r="R46" s="1600">
        <f>'11-A. IEC Sub-Annex'!S21+'11-A. IEC Sub-Annex'!S47+'11-A. IEC Sub-Annex'!S49+'11-A. IEC Sub-Annex'!S53+'11-A. IEC Sub-Annex'!S55+'11-A. IEC Sub-Annex'!S95</f>
        <v>0</v>
      </c>
    </row>
  </sheetData>
  <autoFilter ref="A6:BA42"/>
  <mergeCells count="15">
    <mergeCell ref="K5:P5"/>
    <mergeCell ref="Q5:R5"/>
    <mergeCell ref="A5:A6"/>
    <mergeCell ref="B5:B6"/>
    <mergeCell ref="C5:C6"/>
    <mergeCell ref="D5:D6"/>
    <mergeCell ref="E5:E6"/>
    <mergeCell ref="F5:J5"/>
    <mergeCell ref="AP1:BA1"/>
    <mergeCell ref="A2:A4"/>
    <mergeCell ref="A1:C1"/>
    <mergeCell ref="E1:E2"/>
    <mergeCell ref="F1:N1"/>
    <mergeCell ref="O1:AH1"/>
    <mergeCell ref="AI1:AO1"/>
  </mergeCells>
  <phoneticPr fontId="57"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BE110"/>
  <sheetViews>
    <sheetView zoomScale="60" zoomScaleNormal="60" workbookViewId="0">
      <pane xSplit="6" ySplit="4" topLeftCell="G38" activePane="bottomRight" state="frozen"/>
      <selection activeCell="A2" sqref="A2:A4"/>
      <selection pane="topRight" activeCell="A2" sqref="A2:A4"/>
      <selection pane="bottomLeft" activeCell="A2" sqref="A2:A4"/>
      <selection pane="bottomRight" activeCell="R44" sqref="R44:S44"/>
    </sheetView>
  </sheetViews>
  <sheetFormatPr defaultColWidth="9.140625" defaultRowHeight="15" x14ac:dyDescent="0.2"/>
  <cols>
    <col min="1" max="1" width="9.140625" style="1259"/>
    <col min="2" max="2" width="16.28515625" style="1649" bestFit="1" customWidth="1"/>
    <col min="3" max="3" width="16.28515625" style="1649" hidden="1" customWidth="1"/>
    <col min="4" max="4" width="52.140625" style="1649" customWidth="1"/>
    <col min="5" max="5" width="9.7109375" style="1259" customWidth="1"/>
    <col min="6" max="6" width="20.5703125" style="1259" customWidth="1"/>
    <col min="7" max="7" width="15.140625" style="1619" customWidth="1"/>
    <col min="8" max="8" width="20.140625" style="1619" customWidth="1"/>
    <col min="9" max="11" width="15.140625" style="1619" customWidth="1"/>
    <col min="12" max="12" width="10.5703125" style="1619" customWidth="1"/>
    <col min="13" max="13" width="10.140625" style="1635" customWidth="1"/>
    <col min="14" max="14" width="12.85546875" style="1619" customWidth="1"/>
    <col min="15" max="15" width="9.5703125" style="1619" customWidth="1"/>
    <col min="16" max="16" width="14" style="1619" customWidth="1"/>
    <col min="17" max="17" width="40.85546875" style="1649" customWidth="1"/>
    <col min="18" max="18" width="34.5703125" style="1597" customWidth="1"/>
    <col min="19" max="19" width="11" style="1619" customWidth="1"/>
    <col min="20" max="16384" width="9.140625" style="1619"/>
  </cols>
  <sheetData>
    <row r="1" spans="1:57" s="1087" customFormat="1" x14ac:dyDescent="0.2">
      <c r="A1" s="3904" t="s">
        <v>5224</v>
      </c>
      <c r="B1" s="3905"/>
      <c r="C1" s="3905"/>
      <c r="D1" s="3906"/>
      <c r="F1" s="1606"/>
      <c r="G1" s="1092"/>
      <c r="H1" s="1606"/>
      <c r="I1" s="1093"/>
      <c r="J1" s="1094"/>
      <c r="K1" s="1094"/>
      <c r="L1" s="1094"/>
      <c r="M1" s="1094"/>
      <c r="N1" s="1094"/>
      <c r="O1" s="1499"/>
      <c r="P1" s="1094"/>
      <c r="Q1" s="1499"/>
      <c r="R1" s="1094"/>
      <c r="S1" s="1094"/>
      <c r="T1" s="1499"/>
      <c r="U1" s="1094"/>
      <c r="V1" s="1094"/>
      <c r="W1" s="1094"/>
      <c r="X1" s="1094"/>
      <c r="Y1" s="1094"/>
      <c r="Z1" s="1094"/>
      <c r="AA1" s="1094"/>
      <c r="AB1" s="1094"/>
      <c r="AC1" s="1094"/>
      <c r="AD1" s="1094"/>
      <c r="AE1" s="1094"/>
      <c r="AF1" s="1094"/>
      <c r="AG1" s="1094"/>
      <c r="AH1" s="1094"/>
      <c r="AI1" s="1094"/>
      <c r="AJ1" s="1094"/>
      <c r="AK1" s="1094"/>
      <c r="AL1" s="1094"/>
      <c r="AM1" s="1094"/>
      <c r="AN1" s="1094"/>
      <c r="AO1" s="1094"/>
      <c r="AP1" s="1094"/>
      <c r="AQ1" s="1094"/>
      <c r="AR1" s="1095"/>
      <c r="AS1" s="1095"/>
      <c r="AT1" s="1095"/>
      <c r="AU1" s="1095"/>
      <c r="AV1" s="1095"/>
      <c r="AW1" s="1095"/>
      <c r="AX1" s="1095"/>
      <c r="AY1" s="1306"/>
      <c r="AZ1" s="1306"/>
      <c r="BA1" s="1306"/>
      <c r="BB1" s="1306"/>
      <c r="BC1" s="1306"/>
      <c r="BD1" s="1306"/>
      <c r="BE1" s="1306"/>
    </row>
    <row r="2" spans="1:57" s="828" customFormat="1" x14ac:dyDescent="0.25">
      <c r="A2" s="1607" t="str">
        <f>HYPERLINK("#Index!A4", "Index Pg")</f>
        <v>Index Pg</v>
      </c>
      <c r="B2" s="831" t="str">
        <f>HYPERLINK("#'Budget Summary I'!A1:AL1", "Budget Summary I")</f>
        <v>Budget Summary I</v>
      </c>
      <c r="C2" s="831" t="str">
        <f>HYPERLINK("#'Budget Summary II'!A3:B5", "Budget Summary II")</f>
        <v>Budget Summary II</v>
      </c>
      <c r="D2" s="1308" t="str">
        <f>HYPERLINK("#'Summary of Abstracts'!A2", "Summary of Abst.")</f>
        <v>Summary of Abst.</v>
      </c>
      <c r="F2" s="940"/>
      <c r="G2" s="1092"/>
      <c r="H2" s="940"/>
      <c r="I2" s="1093"/>
      <c r="J2" s="1101"/>
      <c r="K2" s="1101"/>
      <c r="L2" s="1101"/>
      <c r="M2" s="1101"/>
      <c r="N2" s="1101"/>
      <c r="O2" s="1102"/>
      <c r="P2" s="1102"/>
      <c r="Q2" s="1102"/>
      <c r="R2" s="1102"/>
      <c r="S2" s="1103"/>
      <c r="T2" s="1103"/>
      <c r="U2" s="1103"/>
      <c r="V2" s="1103"/>
      <c r="W2" s="1103"/>
      <c r="X2" s="1103"/>
      <c r="Y2" s="1103"/>
      <c r="Z2" s="1103"/>
      <c r="AA2" s="1103"/>
      <c r="AB2" s="1103"/>
      <c r="AC2" s="1103"/>
      <c r="AD2" s="1103"/>
      <c r="AE2" s="1103"/>
      <c r="AF2" s="1103"/>
      <c r="AG2" s="1103"/>
      <c r="AH2" s="1103"/>
      <c r="AI2" s="1103"/>
      <c r="AJ2" s="1103"/>
      <c r="AK2" s="1103"/>
      <c r="AL2" s="1103"/>
      <c r="AM2" s="1103"/>
      <c r="AN2" s="1100"/>
      <c r="AO2" s="1100"/>
      <c r="AP2" s="1100"/>
      <c r="AQ2" s="1100"/>
      <c r="AR2" s="1100"/>
      <c r="AS2" s="1100"/>
      <c r="AT2" s="1100"/>
      <c r="AU2" s="1100"/>
      <c r="AV2" s="1100"/>
      <c r="AW2" s="1100"/>
      <c r="AX2" s="1100"/>
      <c r="AY2" s="1309"/>
      <c r="AZ2" s="1309"/>
      <c r="BA2" s="1309"/>
      <c r="BB2" s="1309"/>
      <c r="BC2" s="1309"/>
      <c r="BD2" s="1309"/>
      <c r="BE2" s="1309"/>
    </row>
    <row r="3" spans="1:57" s="1608" customFormat="1" x14ac:dyDescent="0.2">
      <c r="A3" s="3823" t="s">
        <v>5058</v>
      </c>
      <c r="B3" s="3897" t="s">
        <v>54</v>
      </c>
      <c r="C3" s="3898"/>
      <c r="D3" s="3823" t="s">
        <v>55</v>
      </c>
      <c r="E3" s="3823" t="s">
        <v>56</v>
      </c>
      <c r="F3" s="3823" t="s">
        <v>57</v>
      </c>
      <c r="G3" s="3876" t="s">
        <v>4629</v>
      </c>
      <c r="H3" s="3876"/>
      <c r="I3" s="3876"/>
      <c r="J3" s="3876"/>
      <c r="K3" s="3876"/>
      <c r="L3" s="3877" t="s">
        <v>4640</v>
      </c>
      <c r="M3" s="3888"/>
      <c r="N3" s="3888"/>
      <c r="O3" s="3888"/>
      <c r="P3" s="3888"/>
      <c r="Q3" s="3889"/>
      <c r="R3" s="3890" t="s">
        <v>4670</v>
      </c>
      <c r="S3" s="3891"/>
    </row>
    <row r="4" spans="1:57" s="1260" customFormat="1" ht="60" x14ac:dyDescent="0.2">
      <c r="A4" s="3823"/>
      <c r="B4" s="3907"/>
      <c r="C4" s="3908"/>
      <c r="D4" s="3823"/>
      <c r="E4" s="3823"/>
      <c r="F4" s="3823"/>
      <c r="G4" s="896" t="s">
        <v>4630</v>
      </c>
      <c r="H4" s="896" t="s">
        <v>4638</v>
      </c>
      <c r="I4" s="896" t="s">
        <v>4631</v>
      </c>
      <c r="J4" s="896" t="s">
        <v>4639</v>
      </c>
      <c r="K4" s="896" t="s">
        <v>2538</v>
      </c>
      <c r="L4" s="897" t="s">
        <v>58</v>
      </c>
      <c r="M4" s="897" t="s">
        <v>59</v>
      </c>
      <c r="N4" s="1197" t="s">
        <v>60</v>
      </c>
      <c r="O4" s="897" t="s">
        <v>61</v>
      </c>
      <c r="P4" s="1197" t="s">
        <v>62</v>
      </c>
      <c r="Q4" s="897" t="s">
        <v>5547</v>
      </c>
      <c r="R4" s="1609" t="s">
        <v>2540</v>
      </c>
      <c r="S4" s="1610" t="s">
        <v>4671</v>
      </c>
      <c r="T4" s="3448" t="s">
        <v>4724</v>
      </c>
    </row>
    <row r="5" spans="1:57" s="1616" customFormat="1" x14ac:dyDescent="0.2">
      <c r="A5" s="3959" t="s">
        <v>5225</v>
      </c>
      <c r="B5" s="3959"/>
      <c r="C5" s="3959"/>
      <c r="D5" s="3959"/>
      <c r="E5" s="1611"/>
      <c r="F5" s="1611"/>
      <c r="G5" s="1612"/>
      <c r="H5" s="1612"/>
      <c r="I5" s="1612"/>
      <c r="J5" s="1612"/>
      <c r="K5" s="1612"/>
      <c r="L5" s="1612"/>
      <c r="M5" s="1612"/>
      <c r="N5" s="1613"/>
      <c r="O5" s="1612"/>
      <c r="P5" s="1614"/>
      <c r="Q5" s="1615"/>
      <c r="R5" s="1144"/>
      <c r="S5" s="1126"/>
      <c r="T5" s="1616">
        <f>SUM(T6:T106)</f>
        <v>0</v>
      </c>
    </row>
    <row r="6" spans="1:57" x14ac:dyDescent="0.2">
      <c r="A6" s="1617" t="s">
        <v>4358</v>
      </c>
      <c r="B6" s="99">
        <v>11.4</v>
      </c>
      <c r="C6" s="906" t="s">
        <v>1343</v>
      </c>
      <c r="D6" s="99" t="s">
        <v>1344</v>
      </c>
      <c r="E6" s="907"/>
      <c r="F6" s="907"/>
      <c r="G6" s="1202"/>
      <c r="H6" s="1202"/>
      <c r="I6" s="1107"/>
      <c r="J6" s="1107"/>
      <c r="K6" s="1107"/>
      <c r="L6" s="1202"/>
      <c r="M6" s="1202"/>
      <c r="N6" s="1107"/>
      <c r="O6" s="1202"/>
      <c r="P6" s="1107">
        <f>SUM(P7:P9)</f>
        <v>0</v>
      </c>
      <c r="Q6" s="970"/>
      <c r="R6" s="1618"/>
      <c r="S6" s="1164">
        <f>SUM(S7:S9)</f>
        <v>0</v>
      </c>
    </row>
    <row r="7" spans="1:57" x14ac:dyDescent="0.2">
      <c r="A7" s="1259">
        <v>1</v>
      </c>
      <c r="B7" s="1620" t="s">
        <v>1363</v>
      </c>
      <c r="C7" s="441" t="s">
        <v>1345</v>
      </c>
      <c r="D7" s="441" t="s">
        <v>1346</v>
      </c>
      <c r="E7" s="1595" t="s">
        <v>90</v>
      </c>
      <c r="F7" s="1138" t="s">
        <v>118</v>
      </c>
      <c r="G7" s="449"/>
      <c r="H7" s="449"/>
      <c r="I7" s="449"/>
      <c r="J7" s="449"/>
      <c r="K7" s="449"/>
      <c r="L7" s="450"/>
      <c r="M7" s="304"/>
      <c r="N7" s="308"/>
      <c r="O7" s="304"/>
      <c r="P7" s="1621">
        <f>N7*O7</f>
        <v>0</v>
      </c>
      <c r="Q7" s="709"/>
      <c r="R7" s="1236">
        <f>'Ab1. RMNCH+A'!Q93</f>
        <v>0</v>
      </c>
      <c r="S7" s="1622">
        <f>'Ab1. RMNCH+A'!R93</f>
        <v>0</v>
      </c>
    </row>
    <row r="8" spans="1:57" x14ac:dyDescent="0.2">
      <c r="A8" s="1259">
        <v>2</v>
      </c>
      <c r="B8" s="1620" t="s">
        <v>1365</v>
      </c>
      <c r="C8" s="441" t="s">
        <v>1347</v>
      </c>
      <c r="D8" s="441" t="s">
        <v>1348</v>
      </c>
      <c r="E8" s="1595" t="s">
        <v>90</v>
      </c>
      <c r="F8" s="1138" t="s">
        <v>118</v>
      </c>
      <c r="G8" s="449"/>
      <c r="H8" s="449"/>
      <c r="I8" s="449"/>
      <c r="J8" s="449"/>
      <c r="K8" s="449"/>
      <c r="L8" s="450"/>
      <c r="M8" s="304"/>
      <c r="N8" s="308"/>
      <c r="O8" s="304"/>
      <c r="P8" s="1621">
        <f>N8*O8</f>
        <v>0</v>
      </c>
      <c r="Q8" s="709"/>
      <c r="R8" s="1236">
        <f>'Ab1. RMNCH+A'!Q94</f>
        <v>0</v>
      </c>
      <c r="S8" s="1622">
        <f>'Ab1. RMNCH+A'!R94</f>
        <v>0</v>
      </c>
    </row>
    <row r="9" spans="1:57" x14ac:dyDescent="0.2">
      <c r="A9" s="1259">
        <v>3</v>
      </c>
      <c r="B9" s="1620" t="s">
        <v>1367</v>
      </c>
      <c r="C9" s="976"/>
      <c r="D9" s="441" t="s">
        <v>1349</v>
      </c>
      <c r="E9" s="1595" t="s">
        <v>90</v>
      </c>
      <c r="F9" s="1138" t="s">
        <v>118</v>
      </c>
      <c r="G9" s="2650"/>
      <c r="H9" s="2651"/>
      <c r="I9" s="2651"/>
      <c r="J9" s="2651"/>
      <c r="K9" s="2651"/>
      <c r="L9" s="2652"/>
      <c r="M9" s="2653"/>
      <c r="N9" s="308"/>
      <c r="O9" s="304"/>
      <c r="P9" s="1621">
        <f>N9*O9</f>
        <v>0</v>
      </c>
      <c r="Q9" s="2654"/>
      <c r="R9" s="1236">
        <f>'Ab1. RMNCH+A'!Q95</f>
        <v>0</v>
      </c>
      <c r="S9" s="1622">
        <f>'Ab1. RMNCH+A'!R95</f>
        <v>0</v>
      </c>
    </row>
    <row r="10" spans="1:57" x14ac:dyDescent="0.2">
      <c r="A10" s="1617" t="s">
        <v>4359</v>
      </c>
      <c r="B10" s="99">
        <v>11.5</v>
      </c>
      <c r="C10" s="906" t="s">
        <v>1350</v>
      </c>
      <c r="D10" s="99" t="s">
        <v>1351</v>
      </c>
      <c r="E10" s="907"/>
      <c r="F10" s="907"/>
      <c r="G10" s="359"/>
      <c r="H10" s="359"/>
      <c r="I10" s="1107"/>
      <c r="J10" s="1107"/>
      <c r="K10" s="1107"/>
      <c r="L10" s="359"/>
      <c r="M10" s="359"/>
      <c r="N10" s="1107"/>
      <c r="O10" s="359"/>
      <c r="P10" s="1107">
        <f>SUM(P11:P14)</f>
        <v>0</v>
      </c>
      <c r="Q10" s="693"/>
      <c r="R10" s="1618"/>
      <c r="S10" s="1164">
        <f>SUM(S11:S14)</f>
        <v>0</v>
      </c>
    </row>
    <row r="11" spans="1:57" x14ac:dyDescent="0.2">
      <c r="A11" s="1259">
        <v>1</v>
      </c>
      <c r="B11" s="1620" t="s">
        <v>1369</v>
      </c>
      <c r="C11" s="441" t="s">
        <v>1352</v>
      </c>
      <c r="D11" s="441" t="s">
        <v>1346</v>
      </c>
      <c r="E11" s="1595" t="s">
        <v>90</v>
      </c>
      <c r="F11" s="1138" t="s">
        <v>131</v>
      </c>
      <c r="G11" s="2650"/>
      <c r="H11" s="2655"/>
      <c r="I11" s="2656"/>
      <c r="J11" s="2655"/>
      <c r="K11" s="2655"/>
      <c r="L11" s="2657"/>
      <c r="M11" s="2658"/>
      <c r="N11" s="308"/>
      <c r="O11" s="304"/>
      <c r="P11" s="1621">
        <f>N11*O11</f>
        <v>0</v>
      </c>
      <c r="Q11" s="2659"/>
      <c r="R11" s="1236">
        <f>'Ab1. RMNCH+A'!Q176</f>
        <v>0</v>
      </c>
      <c r="S11" s="1622">
        <f>'Ab1. RMNCH+A'!R176</f>
        <v>0</v>
      </c>
    </row>
    <row r="12" spans="1:57" x14ac:dyDescent="0.2">
      <c r="A12" s="1259">
        <v>2</v>
      </c>
      <c r="B12" s="1620" t="s">
        <v>2504</v>
      </c>
      <c r="C12" s="441" t="s">
        <v>1353</v>
      </c>
      <c r="D12" s="441" t="s">
        <v>1348</v>
      </c>
      <c r="E12" s="1595" t="s">
        <v>90</v>
      </c>
      <c r="F12" s="1138" t="s">
        <v>131</v>
      </c>
      <c r="G12" s="2650"/>
      <c r="H12" s="2655"/>
      <c r="I12" s="2656"/>
      <c r="J12" s="2655"/>
      <c r="K12" s="2655"/>
      <c r="L12" s="2657"/>
      <c r="M12" s="2658"/>
      <c r="N12" s="308"/>
      <c r="O12" s="304"/>
      <c r="P12" s="1621">
        <f>N12*O12</f>
        <v>0</v>
      </c>
      <c r="Q12" s="2660"/>
      <c r="R12" s="1236">
        <f>'Ab1. RMNCH+A'!Q177</f>
        <v>0</v>
      </c>
      <c r="S12" s="1622">
        <f>'Ab1. RMNCH+A'!R177</f>
        <v>0</v>
      </c>
    </row>
    <row r="13" spans="1:57" x14ac:dyDescent="0.2">
      <c r="A13" s="1259">
        <v>3</v>
      </c>
      <c r="B13" s="1620" t="s">
        <v>2505</v>
      </c>
      <c r="C13" s="976"/>
      <c r="D13" s="441" t="s">
        <v>2470</v>
      </c>
      <c r="E13" s="1595" t="s">
        <v>90</v>
      </c>
      <c r="F13" s="1138" t="s">
        <v>131</v>
      </c>
      <c r="G13" s="2650"/>
      <c r="H13" s="2655"/>
      <c r="I13" s="2656"/>
      <c r="J13" s="2655"/>
      <c r="K13" s="2655"/>
      <c r="L13" s="2657"/>
      <c r="M13" s="2658"/>
      <c r="N13" s="308"/>
      <c r="O13" s="304"/>
      <c r="P13" s="1621">
        <f>N13*O13</f>
        <v>0</v>
      </c>
      <c r="Q13" s="2660"/>
      <c r="R13" s="1236">
        <f>'Ab1. RMNCH+A'!Q178</f>
        <v>0</v>
      </c>
      <c r="S13" s="1622">
        <f>'Ab1. RMNCH+A'!R178</f>
        <v>0</v>
      </c>
    </row>
    <row r="14" spans="1:57" ht="30" x14ac:dyDescent="0.2">
      <c r="A14" s="1259">
        <v>4</v>
      </c>
      <c r="B14" s="1630" t="s">
        <v>2506</v>
      </c>
      <c r="C14" s="976"/>
      <c r="D14" s="441" t="s">
        <v>4372</v>
      </c>
      <c r="E14" s="1595" t="s">
        <v>90</v>
      </c>
      <c r="F14" s="1138" t="s">
        <v>131</v>
      </c>
      <c r="G14" s="2650"/>
      <c r="H14" s="2655"/>
      <c r="I14" s="2656"/>
      <c r="J14" s="2655"/>
      <c r="K14" s="2655"/>
      <c r="L14" s="2657"/>
      <c r="M14" s="2658"/>
      <c r="N14" s="308"/>
      <c r="O14" s="304"/>
      <c r="P14" s="1621">
        <f>N14*O14</f>
        <v>0</v>
      </c>
      <c r="Q14" s="2659"/>
      <c r="R14" s="1236">
        <f>'Ab1. RMNCH+A'!Q179</f>
        <v>0</v>
      </c>
      <c r="S14" s="1622">
        <f>'Ab1. RMNCH+A'!R179</f>
        <v>0</v>
      </c>
    </row>
    <row r="15" spans="1:57" x14ac:dyDescent="0.2">
      <c r="A15" s="1617" t="s">
        <v>4362</v>
      </c>
      <c r="B15" s="99">
        <v>11.6</v>
      </c>
      <c r="C15" s="906" t="s">
        <v>1354</v>
      </c>
      <c r="D15" s="99" t="s">
        <v>1355</v>
      </c>
      <c r="E15" s="907"/>
      <c r="F15" s="907"/>
      <c r="G15" s="359"/>
      <c r="H15" s="359"/>
      <c r="I15" s="1107"/>
      <c r="J15" s="1107"/>
      <c r="K15" s="1107"/>
      <c r="L15" s="359"/>
      <c r="M15" s="359"/>
      <c r="N15" s="1107"/>
      <c r="O15" s="359"/>
      <c r="P15" s="1107">
        <f>SUM(P16:P21)</f>
        <v>0</v>
      </c>
      <c r="Q15" s="693"/>
      <c r="R15" s="1618"/>
      <c r="S15" s="1164">
        <f>SUM(S16:S21)</f>
        <v>0</v>
      </c>
    </row>
    <row r="16" spans="1:57" x14ac:dyDescent="0.2">
      <c r="A16" s="1259">
        <v>1</v>
      </c>
      <c r="B16" s="1630" t="s">
        <v>1372</v>
      </c>
      <c r="C16" s="441" t="s">
        <v>1356</v>
      </c>
      <c r="D16" s="441" t="s">
        <v>1346</v>
      </c>
      <c r="E16" s="1595" t="s">
        <v>90</v>
      </c>
      <c r="F16" s="1138" t="s">
        <v>91</v>
      </c>
      <c r="G16" s="2650"/>
      <c r="H16" s="2661"/>
      <c r="I16" s="2662"/>
      <c r="J16" s="2663"/>
      <c r="K16" s="2651"/>
      <c r="L16" s="2657"/>
      <c r="M16" s="2664"/>
      <c r="N16" s="308"/>
      <c r="O16" s="2650"/>
      <c r="P16" s="1621">
        <f t="shared" ref="P16:P21" si="0">N16*O16</f>
        <v>0</v>
      </c>
      <c r="Q16" s="2668"/>
      <c r="R16" s="1236">
        <f>'Ab1. RMNCH+A'!Q271</f>
        <v>0</v>
      </c>
      <c r="S16" s="1622">
        <f>'Ab1. RMNCH+A'!R271</f>
        <v>0</v>
      </c>
    </row>
    <row r="17" spans="1:19" x14ac:dyDescent="0.2">
      <c r="A17" s="1259">
        <v>2</v>
      </c>
      <c r="B17" s="1620" t="s">
        <v>2507</v>
      </c>
      <c r="C17" s="441" t="s">
        <v>1357</v>
      </c>
      <c r="D17" s="441" t="s">
        <v>1348</v>
      </c>
      <c r="E17" s="1595" t="s">
        <v>90</v>
      </c>
      <c r="F17" s="1138" t="s">
        <v>91</v>
      </c>
      <c r="G17" s="2650"/>
      <c r="H17" s="2651"/>
      <c r="I17" s="2662"/>
      <c r="J17" s="2651"/>
      <c r="K17" s="2651"/>
      <c r="L17" s="2665"/>
      <c r="M17" s="2650"/>
      <c r="N17" s="308"/>
      <c r="O17" s="2650"/>
      <c r="P17" s="1621">
        <f t="shared" si="0"/>
        <v>0</v>
      </c>
      <c r="Q17" s="3059"/>
      <c r="R17" s="1236">
        <f>'Ab1. RMNCH+A'!Q272</f>
        <v>0</v>
      </c>
      <c r="S17" s="1622">
        <f>'Ab1. RMNCH+A'!R272</f>
        <v>0</v>
      </c>
    </row>
    <row r="18" spans="1:19" ht="30" x14ac:dyDescent="0.2">
      <c r="A18" s="1259">
        <v>3</v>
      </c>
      <c r="B18" s="1620" t="s">
        <v>2508</v>
      </c>
      <c r="C18" s="441" t="s">
        <v>1358</v>
      </c>
      <c r="D18" s="1623" t="s">
        <v>2492</v>
      </c>
      <c r="E18" s="1595" t="s">
        <v>90</v>
      </c>
      <c r="F18" s="1138" t="s">
        <v>91</v>
      </c>
      <c r="G18" s="2666"/>
      <c r="H18" s="2667"/>
      <c r="I18" s="2656"/>
      <c r="J18" s="2667"/>
      <c r="K18" s="2667"/>
      <c r="L18" s="2657"/>
      <c r="M18" s="2658"/>
      <c r="N18" s="308"/>
      <c r="O18" s="2666"/>
      <c r="P18" s="1621">
        <f t="shared" si="0"/>
        <v>0</v>
      </c>
      <c r="Q18" s="2668"/>
      <c r="R18" s="1236">
        <f>'Ab1. RMNCH+A'!Q273</f>
        <v>0</v>
      </c>
      <c r="S18" s="1622">
        <f>'Ab1. RMNCH+A'!R273</f>
        <v>0</v>
      </c>
    </row>
    <row r="19" spans="1:19" ht="30" x14ac:dyDescent="0.2">
      <c r="A19" s="1259">
        <v>4</v>
      </c>
      <c r="B19" s="1620" t="s">
        <v>2509</v>
      </c>
      <c r="C19" s="441" t="s">
        <v>1359</v>
      </c>
      <c r="D19" s="441" t="s">
        <v>2493</v>
      </c>
      <c r="E19" s="1595" t="s">
        <v>90</v>
      </c>
      <c r="F19" s="1138" t="s">
        <v>91</v>
      </c>
      <c r="G19" s="2666"/>
      <c r="H19" s="2655"/>
      <c r="I19" s="2656"/>
      <c r="J19" s="2667"/>
      <c r="K19" s="2655"/>
      <c r="L19" s="2657"/>
      <c r="M19" s="2658"/>
      <c r="N19" s="308"/>
      <c r="O19" s="2666"/>
      <c r="P19" s="1621">
        <f t="shared" si="0"/>
        <v>0</v>
      </c>
      <c r="Q19" s="2669"/>
      <c r="R19" s="1236">
        <f>'Ab1. RMNCH+A'!Q274</f>
        <v>0</v>
      </c>
      <c r="S19" s="1622">
        <f>'Ab1. RMNCH+A'!R274</f>
        <v>0</v>
      </c>
    </row>
    <row r="20" spans="1:19" ht="30" x14ac:dyDescent="0.2">
      <c r="A20" s="1259">
        <v>5</v>
      </c>
      <c r="B20" s="1620" t="s">
        <v>2510</v>
      </c>
      <c r="C20" s="983" t="s">
        <v>1360</v>
      </c>
      <c r="D20" s="441" t="s">
        <v>1361</v>
      </c>
      <c r="E20" s="1595" t="s">
        <v>90</v>
      </c>
      <c r="F20" s="1138" t="s">
        <v>91</v>
      </c>
      <c r="G20" s="2666"/>
      <c r="H20" s="2667"/>
      <c r="I20" s="2656"/>
      <c r="J20" s="2667"/>
      <c r="K20" s="2667"/>
      <c r="L20" s="2657"/>
      <c r="M20" s="2667"/>
      <c r="N20" s="308"/>
      <c r="O20" s="2666"/>
      <c r="P20" s="1621">
        <f t="shared" si="0"/>
        <v>0</v>
      </c>
      <c r="Q20" s="2670"/>
      <c r="R20" s="1236">
        <f>'Ab1. RMNCH+A'!Q275</f>
        <v>0</v>
      </c>
      <c r="S20" s="1622">
        <f>'Ab1. RMNCH+A'!R275</f>
        <v>0</v>
      </c>
    </row>
    <row r="21" spans="1:19" x14ac:dyDescent="0.2">
      <c r="A21" s="1259">
        <v>6</v>
      </c>
      <c r="B21" s="1630" t="s">
        <v>2511</v>
      </c>
      <c r="C21" s="1624"/>
      <c r="D21" s="441" t="s">
        <v>1349</v>
      </c>
      <c r="E21" s="1595" t="s">
        <v>90</v>
      </c>
      <c r="F21" s="1138" t="s">
        <v>91</v>
      </c>
      <c r="G21" s="2666"/>
      <c r="H21" s="2667"/>
      <c r="I21" s="2656"/>
      <c r="J21" s="2667"/>
      <c r="K21" s="2667"/>
      <c r="L21" s="2657"/>
      <c r="M21" s="2667"/>
      <c r="N21" s="308"/>
      <c r="O21" s="2666"/>
      <c r="P21" s="1621">
        <f t="shared" si="0"/>
        <v>0</v>
      </c>
      <c r="Q21" s="3243"/>
      <c r="R21" s="1236">
        <f>'Ab1. RMNCH+A'!Q276</f>
        <v>0</v>
      </c>
      <c r="S21" s="1622">
        <f>'Ab1. RMNCH+A'!R276</f>
        <v>0</v>
      </c>
    </row>
    <row r="22" spans="1:19" x14ac:dyDescent="0.2">
      <c r="A22" s="1617" t="s">
        <v>4363</v>
      </c>
      <c r="B22" s="99">
        <v>11.7</v>
      </c>
      <c r="C22" s="906" t="s">
        <v>1362</v>
      </c>
      <c r="D22" s="99" t="s">
        <v>2641</v>
      </c>
      <c r="E22" s="908"/>
      <c r="F22" s="908"/>
      <c r="G22" s="359"/>
      <c r="H22" s="359"/>
      <c r="I22" s="1107"/>
      <c r="J22" s="1107"/>
      <c r="K22" s="1107"/>
      <c r="L22" s="359"/>
      <c r="M22" s="359"/>
      <c r="N22" s="1107"/>
      <c r="O22" s="359"/>
      <c r="P22" s="1107">
        <f>SUM(P23:P25)</f>
        <v>0</v>
      </c>
      <c r="Q22" s="693"/>
      <c r="R22" s="1618"/>
      <c r="S22" s="1164">
        <f>SUM(S23:S25)</f>
        <v>0</v>
      </c>
    </row>
    <row r="23" spans="1:19" ht="30" x14ac:dyDescent="0.2">
      <c r="A23" s="1259">
        <v>1</v>
      </c>
      <c r="B23" s="1620" t="s">
        <v>1375</v>
      </c>
      <c r="C23" s="441" t="s">
        <v>1364</v>
      </c>
      <c r="D23" s="441" t="s">
        <v>2502</v>
      </c>
      <c r="E23" s="1595" t="s">
        <v>90</v>
      </c>
      <c r="F23" s="1138" t="s">
        <v>193</v>
      </c>
      <c r="G23" s="449"/>
      <c r="H23" s="449"/>
      <c r="I23" s="449"/>
      <c r="J23" s="449"/>
      <c r="K23" s="449"/>
      <c r="L23" s="450"/>
      <c r="M23" s="304"/>
      <c r="N23" s="308"/>
      <c r="O23" s="304"/>
      <c r="P23" s="1621">
        <f>N23*O23</f>
        <v>0</v>
      </c>
      <c r="Q23" s="710"/>
      <c r="R23" s="1236">
        <f>'Ab1. RMNCH+A'!Q331</f>
        <v>0</v>
      </c>
      <c r="S23" s="1622">
        <f>'Ab1. RMNCH+A'!R331</f>
        <v>0</v>
      </c>
    </row>
    <row r="24" spans="1:19" x14ac:dyDescent="0.2">
      <c r="A24" s="1259">
        <v>2</v>
      </c>
      <c r="B24" s="1620" t="s">
        <v>2512</v>
      </c>
      <c r="C24" s="441" t="s">
        <v>1366</v>
      </c>
      <c r="D24" s="441" t="s">
        <v>1348</v>
      </c>
      <c r="E24" s="1595" t="s">
        <v>90</v>
      </c>
      <c r="F24" s="1138" t="s">
        <v>193</v>
      </c>
      <c r="G24" s="452"/>
      <c r="H24" s="452"/>
      <c r="I24" s="452"/>
      <c r="J24" s="452"/>
      <c r="K24" s="452"/>
      <c r="L24" s="450"/>
      <c r="M24" s="304"/>
      <c r="N24" s="308"/>
      <c r="O24" s="304"/>
      <c r="P24" s="1621">
        <f>N24*O24</f>
        <v>0</v>
      </c>
      <c r="Q24" s="710"/>
      <c r="R24" s="1236">
        <f>'Ab1. RMNCH+A'!Q332</f>
        <v>0</v>
      </c>
      <c r="S24" s="1622">
        <f>'Ab1. RMNCH+A'!R332</f>
        <v>0</v>
      </c>
    </row>
    <row r="25" spans="1:19" x14ac:dyDescent="0.2">
      <c r="A25" s="1259">
        <v>3</v>
      </c>
      <c r="B25" s="1620" t="s">
        <v>2513</v>
      </c>
      <c r="C25" s="976"/>
      <c r="D25" s="441" t="s">
        <v>1349</v>
      </c>
      <c r="E25" s="1595" t="s">
        <v>90</v>
      </c>
      <c r="F25" s="1138" t="s">
        <v>193</v>
      </c>
      <c r="G25" s="450"/>
      <c r="H25" s="450"/>
      <c r="I25" s="450"/>
      <c r="J25" s="450"/>
      <c r="K25" s="450"/>
      <c r="L25" s="450"/>
      <c r="M25" s="304"/>
      <c r="N25" s="308"/>
      <c r="O25" s="304"/>
      <c r="P25" s="1621">
        <f>N25*O25</f>
        <v>0</v>
      </c>
      <c r="Q25" s="710"/>
      <c r="R25" s="1236">
        <f>'Ab1. RMNCH+A'!Q333</f>
        <v>0</v>
      </c>
      <c r="S25" s="1622">
        <f>'Ab1. RMNCH+A'!R333</f>
        <v>0</v>
      </c>
    </row>
    <row r="26" spans="1:19" x14ac:dyDescent="0.2">
      <c r="A26" s="1617" t="s">
        <v>4364</v>
      </c>
      <c r="B26" s="99">
        <v>11.8</v>
      </c>
      <c r="C26" s="906"/>
      <c r="D26" s="99" t="s">
        <v>2486</v>
      </c>
      <c r="E26" s="907"/>
      <c r="F26" s="907"/>
      <c r="G26" s="359"/>
      <c r="H26" s="359"/>
      <c r="I26" s="1107"/>
      <c r="J26" s="1107"/>
      <c r="K26" s="1107"/>
      <c r="L26" s="359"/>
      <c r="M26" s="359"/>
      <c r="N26" s="1107"/>
      <c r="O26" s="359"/>
      <c r="P26" s="1107">
        <f>P27+P28</f>
        <v>0</v>
      </c>
      <c r="Q26" s="693"/>
      <c r="R26" s="1618"/>
      <c r="S26" s="1164">
        <f>S27+S28</f>
        <v>0</v>
      </c>
    </row>
    <row r="27" spans="1:19" x14ac:dyDescent="0.2">
      <c r="A27" s="1259">
        <v>1</v>
      </c>
      <c r="B27" s="1620" t="s">
        <v>1378</v>
      </c>
      <c r="C27" s="976"/>
      <c r="D27" s="441" t="s">
        <v>2487</v>
      </c>
      <c r="E27" s="1595" t="s">
        <v>90</v>
      </c>
      <c r="F27" s="1138" t="s">
        <v>205</v>
      </c>
      <c r="G27" s="450"/>
      <c r="H27" s="450"/>
      <c r="I27" s="450"/>
      <c r="J27" s="450"/>
      <c r="K27" s="450"/>
      <c r="L27" s="450"/>
      <c r="M27" s="304"/>
      <c r="N27" s="308"/>
      <c r="O27" s="304"/>
      <c r="P27" s="1621">
        <f>N27*O27</f>
        <v>0</v>
      </c>
      <c r="Q27" s="711"/>
      <c r="R27" s="1236">
        <f>'Ab1. RMNCH+A'!Q418</f>
        <v>0</v>
      </c>
      <c r="S27" s="1622">
        <f>'Ab1. RMNCH+A'!R418</f>
        <v>0</v>
      </c>
    </row>
    <row r="28" spans="1:19" x14ac:dyDescent="0.2">
      <c r="A28" s="1259">
        <v>2</v>
      </c>
      <c r="B28" s="1620" t="s">
        <v>1381</v>
      </c>
      <c r="C28" s="976"/>
      <c r="D28" s="441" t="s">
        <v>1349</v>
      </c>
      <c r="E28" s="1595" t="s">
        <v>90</v>
      </c>
      <c r="F28" s="1138" t="s">
        <v>205</v>
      </c>
      <c r="G28" s="450"/>
      <c r="H28" s="450"/>
      <c r="I28" s="450"/>
      <c r="J28" s="450"/>
      <c r="K28" s="450"/>
      <c r="L28" s="451"/>
      <c r="M28" s="304"/>
      <c r="N28" s="308"/>
      <c r="O28" s="304"/>
      <c r="P28" s="1621">
        <f>N28*O28</f>
        <v>0</v>
      </c>
      <c r="Q28" s="711"/>
      <c r="R28" s="1236">
        <f>'Ab1. RMNCH+A'!Q419</f>
        <v>0</v>
      </c>
      <c r="S28" s="1622">
        <f>'Ab1. RMNCH+A'!R419</f>
        <v>0</v>
      </c>
    </row>
    <row r="29" spans="1:19" x14ac:dyDescent="0.2">
      <c r="A29" s="1617" t="s">
        <v>4673</v>
      </c>
      <c r="B29" s="99">
        <v>11.9</v>
      </c>
      <c r="C29" s="906"/>
      <c r="D29" s="99" t="s">
        <v>1368</v>
      </c>
      <c r="E29" s="907"/>
      <c r="F29" s="907"/>
      <c r="G29" s="359"/>
      <c r="H29" s="359"/>
      <c r="I29" s="1107"/>
      <c r="J29" s="1107"/>
      <c r="K29" s="1107"/>
      <c r="L29" s="359"/>
      <c r="M29" s="359"/>
      <c r="N29" s="1107"/>
      <c r="O29" s="359"/>
      <c r="P29" s="1107">
        <f>P30+P31</f>
        <v>0</v>
      </c>
      <c r="Q29" s="693"/>
      <c r="R29" s="1618"/>
      <c r="S29" s="1164">
        <f>S30+S31</f>
        <v>0</v>
      </c>
    </row>
    <row r="30" spans="1:19" x14ac:dyDescent="0.2">
      <c r="A30" s="1259">
        <v>1</v>
      </c>
      <c r="B30" s="1630" t="s">
        <v>1385</v>
      </c>
      <c r="C30" s="441" t="s">
        <v>1370</v>
      </c>
      <c r="D30" s="441" t="s">
        <v>1371</v>
      </c>
      <c r="E30" s="1595" t="s">
        <v>90</v>
      </c>
      <c r="F30" s="1625" t="s">
        <v>1134</v>
      </c>
      <c r="G30" s="450"/>
      <c r="H30" s="450"/>
      <c r="I30" s="450"/>
      <c r="J30" s="2650"/>
      <c r="K30" s="2650"/>
      <c r="L30" s="2665"/>
      <c r="M30" s="2650"/>
      <c r="N30" s="308"/>
      <c r="O30" s="304"/>
      <c r="P30" s="1621">
        <f>N30*O30</f>
        <v>0</v>
      </c>
      <c r="Q30" s="2873"/>
      <c r="R30" s="1236">
        <f>'Ab1. RMNCH+A'!Q384</f>
        <v>0</v>
      </c>
      <c r="S30" s="1622">
        <f>'Ab1. RMNCH+A'!R384</f>
        <v>0</v>
      </c>
    </row>
    <row r="31" spans="1:19" x14ac:dyDescent="0.2">
      <c r="A31" s="1259">
        <v>2</v>
      </c>
      <c r="B31" s="1620" t="s">
        <v>2642</v>
      </c>
      <c r="C31" s="976"/>
      <c r="D31" s="441" t="s">
        <v>1349</v>
      </c>
      <c r="E31" s="1595" t="s">
        <v>90</v>
      </c>
      <c r="F31" s="1625" t="s">
        <v>1134</v>
      </c>
      <c r="G31" s="450"/>
      <c r="H31" s="450"/>
      <c r="I31" s="450"/>
      <c r="J31" s="450"/>
      <c r="K31" s="450"/>
      <c r="L31" s="450"/>
      <c r="M31" s="304"/>
      <c r="N31" s="308"/>
      <c r="O31" s="304"/>
      <c r="P31" s="1621">
        <f>N31*O31</f>
        <v>0</v>
      </c>
      <c r="Q31" s="712"/>
      <c r="R31" s="1236">
        <f>'Ab1. RMNCH+A'!Q385</f>
        <v>0</v>
      </c>
      <c r="S31" s="1622">
        <f>'Ab1. RMNCH+A'!R385</f>
        <v>0</v>
      </c>
    </row>
    <row r="32" spans="1:19" x14ac:dyDescent="0.2">
      <c r="A32" s="1617" t="s">
        <v>4674</v>
      </c>
      <c r="B32" s="1201">
        <v>11.14</v>
      </c>
      <c r="C32" s="906"/>
      <c r="D32" s="99" t="s">
        <v>1388</v>
      </c>
      <c r="E32" s="907"/>
      <c r="F32" s="907"/>
      <c r="G32" s="359"/>
      <c r="H32" s="359"/>
      <c r="I32" s="1107"/>
      <c r="J32" s="1107"/>
      <c r="K32" s="1107"/>
      <c r="L32" s="359"/>
      <c r="M32" s="359"/>
      <c r="N32" s="1107"/>
      <c r="O32" s="359"/>
      <c r="P32" s="1107">
        <f>P33+P34</f>
        <v>0</v>
      </c>
      <c r="Q32" s="693"/>
      <c r="R32" s="1618"/>
      <c r="S32" s="1164">
        <f>S33+S34</f>
        <v>0</v>
      </c>
    </row>
    <row r="33" spans="1:19" x14ac:dyDescent="0.2">
      <c r="A33" s="1259">
        <v>1</v>
      </c>
      <c r="B33" s="1630" t="s">
        <v>1413</v>
      </c>
      <c r="C33" s="441" t="s">
        <v>1390</v>
      </c>
      <c r="D33" s="441" t="s">
        <v>1391</v>
      </c>
      <c r="E33" s="1595" t="s">
        <v>90</v>
      </c>
      <c r="F33" s="1138" t="s">
        <v>208</v>
      </c>
      <c r="G33" s="2650"/>
      <c r="H33" s="2655"/>
      <c r="I33" s="2656"/>
      <c r="J33" s="2655"/>
      <c r="K33" s="2655"/>
      <c r="L33" s="2657"/>
      <c r="M33" s="2667"/>
      <c r="N33" s="308"/>
      <c r="O33" s="304"/>
      <c r="P33" s="1621">
        <f>N33*O33</f>
        <v>0</v>
      </c>
      <c r="Q33" s="3250"/>
      <c r="R33" s="1236">
        <f>'Ab2. NIDDCP'!Q19</f>
        <v>0</v>
      </c>
      <c r="S33" s="1622">
        <f>'Ab2. NIDDCP'!R19</f>
        <v>0</v>
      </c>
    </row>
    <row r="34" spans="1:19" x14ac:dyDescent="0.2">
      <c r="A34" s="1259">
        <v>2</v>
      </c>
      <c r="B34" s="1620" t="s">
        <v>2648</v>
      </c>
      <c r="C34" s="976"/>
      <c r="D34" s="441" t="s">
        <v>1349</v>
      </c>
      <c r="E34" s="1595" t="s">
        <v>90</v>
      </c>
      <c r="F34" s="1138" t="s">
        <v>208</v>
      </c>
      <c r="G34" s="2650"/>
      <c r="H34" s="2655"/>
      <c r="I34" s="2656"/>
      <c r="J34" s="2655"/>
      <c r="K34" s="2655"/>
      <c r="L34" s="2657"/>
      <c r="M34" s="2667"/>
      <c r="N34" s="308"/>
      <c r="O34" s="304"/>
      <c r="P34" s="1621">
        <f>N34*O34</f>
        <v>0</v>
      </c>
      <c r="Q34" s="3250"/>
      <c r="R34" s="1236">
        <f>'Ab2. NIDDCP'!Q20</f>
        <v>0</v>
      </c>
      <c r="S34" s="1622">
        <f>'Ab2. NIDDCP'!R20</f>
        <v>0</v>
      </c>
    </row>
    <row r="35" spans="1:19" s="1616" customFormat="1" x14ac:dyDescent="0.2">
      <c r="A35" s="3959" t="s">
        <v>5226</v>
      </c>
      <c r="B35" s="3959"/>
      <c r="C35" s="3959"/>
      <c r="D35" s="3959"/>
      <c r="E35" s="1611"/>
      <c r="F35" s="1611"/>
      <c r="G35" s="644"/>
      <c r="H35" s="644"/>
      <c r="I35" s="644"/>
      <c r="J35" s="644"/>
      <c r="K35" s="644"/>
      <c r="L35" s="644"/>
      <c r="M35" s="644"/>
      <c r="N35" s="1613"/>
      <c r="O35" s="644"/>
      <c r="P35" s="1614"/>
      <c r="Q35" s="708"/>
      <c r="R35" s="1626"/>
      <c r="S35" s="1126"/>
    </row>
    <row r="36" spans="1:19" s="1587" customFormat="1" ht="30" x14ac:dyDescent="0.2">
      <c r="A36" s="1627" t="s">
        <v>4358</v>
      </c>
      <c r="B36" s="1620">
        <v>11.1</v>
      </c>
      <c r="C36" s="441" t="s">
        <v>1434</v>
      </c>
      <c r="D36" s="441" t="s">
        <v>1435</v>
      </c>
      <c r="E36" s="886" t="s">
        <v>70</v>
      </c>
      <c r="F36" s="1625" t="s">
        <v>70</v>
      </c>
      <c r="G36" s="449"/>
      <c r="H36" s="449"/>
      <c r="I36" s="449"/>
      <c r="J36" s="449"/>
      <c r="K36" s="449"/>
      <c r="L36" s="450"/>
      <c r="M36" s="304"/>
      <c r="N36" s="308"/>
      <c r="O36" s="304"/>
      <c r="P36" s="1621">
        <f>N36*O36</f>
        <v>0</v>
      </c>
      <c r="Q36" s="714"/>
      <c r="R36" s="1253"/>
      <c r="S36" s="1365"/>
    </row>
    <row r="37" spans="1:19" x14ac:dyDescent="0.2">
      <c r="A37" s="1617" t="s">
        <v>4359</v>
      </c>
      <c r="B37" s="1628" t="s">
        <v>2514</v>
      </c>
      <c r="C37" s="906" t="s">
        <v>1373</v>
      </c>
      <c r="D37" s="99" t="s">
        <v>2643</v>
      </c>
      <c r="E37" s="907"/>
      <c r="F37" s="907"/>
      <c r="G37" s="359"/>
      <c r="H37" s="359"/>
      <c r="I37" s="1107"/>
      <c r="J37" s="1107"/>
      <c r="K37" s="1107"/>
      <c r="L37" s="359"/>
      <c r="M37" s="359"/>
      <c r="N37" s="1107"/>
      <c r="O37" s="359"/>
      <c r="P37" s="1107">
        <f>P38+P39</f>
        <v>0</v>
      </c>
      <c r="Q37" s="693"/>
      <c r="R37" s="1618"/>
      <c r="S37" s="1164">
        <f>S38+S39</f>
        <v>0</v>
      </c>
    </row>
    <row r="38" spans="1:19" x14ac:dyDescent="0.2">
      <c r="A38" s="1259">
        <v>1</v>
      </c>
      <c r="B38" s="1620" t="s">
        <v>1389</v>
      </c>
      <c r="C38" s="976"/>
      <c r="D38" s="441" t="s">
        <v>3831</v>
      </c>
      <c r="E38" s="886" t="s">
        <v>70</v>
      </c>
      <c r="F38" s="1625" t="s">
        <v>3312</v>
      </c>
      <c r="G38" s="2650"/>
      <c r="H38" s="2671"/>
      <c r="I38" s="2656"/>
      <c r="J38" s="2671"/>
      <c r="K38" s="2671"/>
      <c r="L38" s="2657"/>
      <c r="M38" s="2667"/>
      <c r="N38" s="308"/>
      <c r="O38" s="304"/>
      <c r="P38" s="1621">
        <f>N38*O38</f>
        <v>0</v>
      </c>
      <c r="Q38" s="715"/>
      <c r="R38" s="1236">
        <f>'Abs5. Blood services &amp; Disorder'!Q24</f>
        <v>0</v>
      </c>
      <c r="S38" s="1629">
        <f>'Abs5. Blood services &amp; Disorder'!R24</f>
        <v>0</v>
      </c>
    </row>
    <row r="39" spans="1:19" x14ac:dyDescent="0.2">
      <c r="A39" s="1259">
        <v>2</v>
      </c>
      <c r="B39" s="1630" t="s">
        <v>2644</v>
      </c>
      <c r="C39" s="976"/>
      <c r="D39" s="441" t="s">
        <v>3832</v>
      </c>
      <c r="E39" s="886" t="s">
        <v>70</v>
      </c>
      <c r="F39" s="1625" t="s">
        <v>3312</v>
      </c>
      <c r="G39" s="2650"/>
      <c r="H39" s="2650"/>
      <c r="I39" s="2656"/>
      <c r="J39" s="2650"/>
      <c r="K39" s="2650"/>
      <c r="L39" s="2657"/>
      <c r="M39" s="2662"/>
      <c r="N39" s="308"/>
      <c r="O39" s="304"/>
      <c r="P39" s="1621">
        <f>N39*O39</f>
        <v>0</v>
      </c>
      <c r="Q39" s="2672"/>
      <c r="R39" s="1236">
        <f>'Abs5. Blood services &amp; Disorder'!Q25</f>
        <v>0</v>
      </c>
      <c r="S39" s="1629">
        <f>'Abs5. Blood services &amp; Disorder'!R25</f>
        <v>0</v>
      </c>
    </row>
    <row r="40" spans="1:19" x14ac:dyDescent="0.2">
      <c r="A40" s="1617" t="s">
        <v>4362</v>
      </c>
      <c r="B40" s="99">
        <v>11.23</v>
      </c>
      <c r="C40" s="99"/>
      <c r="D40" s="99" t="s">
        <v>2531</v>
      </c>
      <c r="E40" s="907"/>
      <c r="F40" s="907"/>
      <c r="G40" s="359"/>
      <c r="H40" s="359"/>
      <c r="I40" s="1107"/>
      <c r="J40" s="1107"/>
      <c r="K40" s="1107"/>
      <c r="L40" s="359"/>
      <c r="M40" s="359"/>
      <c r="N40" s="1107"/>
      <c r="O40" s="359"/>
      <c r="P40" s="1107">
        <f>P41+P42</f>
        <v>0</v>
      </c>
      <c r="Q40" s="693"/>
      <c r="R40" s="1618"/>
      <c r="S40" s="1164">
        <f>S41+S42</f>
        <v>0</v>
      </c>
    </row>
    <row r="41" spans="1:19" x14ac:dyDescent="0.2">
      <c r="A41" s="1259">
        <v>1</v>
      </c>
      <c r="B41" s="1620" t="s">
        <v>2526</v>
      </c>
      <c r="C41" s="1630"/>
      <c r="D41" s="1620"/>
      <c r="E41" s="886" t="s">
        <v>70</v>
      </c>
      <c r="F41" s="1625" t="s">
        <v>4995</v>
      </c>
      <c r="G41" s="449"/>
      <c r="H41" s="449"/>
      <c r="I41" s="449"/>
      <c r="J41" s="449"/>
      <c r="K41" s="449"/>
      <c r="L41" s="450"/>
      <c r="M41" s="304"/>
      <c r="N41" s="308"/>
      <c r="O41" s="304"/>
      <c r="P41" s="1621">
        <f>N41*O41</f>
        <v>0</v>
      </c>
      <c r="Q41" s="714"/>
      <c r="R41" s="1236">
        <f>'Ab3. ASHA'!Q95</f>
        <v>0</v>
      </c>
      <c r="S41" s="1629">
        <f>'Ab3. ASHA'!R95</f>
        <v>0</v>
      </c>
    </row>
    <row r="42" spans="1:19" x14ac:dyDescent="0.2">
      <c r="A42" s="1259">
        <v>2</v>
      </c>
      <c r="B42" s="1620" t="s">
        <v>2657</v>
      </c>
      <c r="C42" s="1630"/>
      <c r="D42" s="441"/>
      <c r="E42" s="886" t="s">
        <v>70</v>
      </c>
      <c r="F42" s="1625" t="s">
        <v>4995</v>
      </c>
      <c r="G42" s="449"/>
      <c r="H42" s="449"/>
      <c r="I42" s="449"/>
      <c r="J42" s="449"/>
      <c r="K42" s="449"/>
      <c r="L42" s="451"/>
      <c r="M42" s="304"/>
      <c r="N42" s="308"/>
      <c r="O42" s="304"/>
      <c r="P42" s="1621">
        <f>N42*O42</f>
        <v>0</v>
      </c>
      <c r="Q42" s="2864"/>
      <c r="R42" s="1236">
        <f>'Ab3. ASHA'!Q96</f>
        <v>0</v>
      </c>
      <c r="S42" s="1629">
        <f>'Ab3. ASHA'!R96</f>
        <v>0</v>
      </c>
    </row>
    <row r="43" spans="1:19" ht="30" x14ac:dyDescent="0.2">
      <c r="A43" s="1617" t="s">
        <v>4363</v>
      </c>
      <c r="B43" s="1571" t="s">
        <v>2527</v>
      </c>
      <c r="C43" s="779" t="s">
        <v>2041</v>
      </c>
      <c r="D43" s="441" t="s">
        <v>3890</v>
      </c>
      <c r="E43" s="886" t="s">
        <v>70</v>
      </c>
      <c r="F43" s="1625" t="s">
        <v>4365</v>
      </c>
      <c r="G43" s="2650"/>
      <c r="H43" s="2667"/>
      <c r="I43" s="2680"/>
      <c r="J43" s="2667"/>
      <c r="K43" s="2667"/>
      <c r="L43" s="2667"/>
      <c r="M43" s="2667"/>
      <c r="N43" s="308"/>
      <c r="O43" s="304"/>
      <c r="P43" s="1621">
        <f>N43*O43</f>
        <v>0</v>
      </c>
      <c r="Q43" s="2681"/>
      <c r="R43" s="1236">
        <f>'Abs6. CPHC'!Q29</f>
        <v>0</v>
      </c>
      <c r="S43" s="1631">
        <f>'Abs6. CPHC'!R29</f>
        <v>0</v>
      </c>
    </row>
    <row r="44" spans="1:19" ht="45" x14ac:dyDescent="0.2">
      <c r="A44" s="1617" t="s">
        <v>4364</v>
      </c>
      <c r="B44" s="1630" t="s">
        <v>4014</v>
      </c>
      <c r="C44" s="1630"/>
      <c r="D44" s="441" t="s">
        <v>4025</v>
      </c>
      <c r="E44" s="886" t="s">
        <v>70</v>
      </c>
      <c r="F44" s="1078" t="s">
        <v>3907</v>
      </c>
      <c r="G44" s="2650"/>
      <c r="H44" s="2650"/>
      <c r="I44" s="2650"/>
      <c r="J44" s="2650"/>
      <c r="K44" s="2650"/>
      <c r="L44" s="2665"/>
      <c r="M44" s="2650"/>
      <c r="N44" s="308"/>
      <c r="O44" s="304"/>
      <c r="P44" s="1621">
        <f>N44*O44</f>
        <v>0</v>
      </c>
      <c r="Q44" s="2682"/>
      <c r="R44" s="3438"/>
      <c r="S44" s="1365"/>
    </row>
    <row r="45" spans="1:19" s="1633" customFormat="1" ht="30" x14ac:dyDescent="0.2">
      <c r="A45" s="1617" t="s">
        <v>4673</v>
      </c>
      <c r="B45" s="1630" t="s">
        <v>4496</v>
      </c>
      <c r="C45" s="1630"/>
      <c r="D45" s="976" t="s">
        <v>4546</v>
      </c>
      <c r="E45" s="886" t="s">
        <v>70</v>
      </c>
      <c r="F45" s="1038" t="s">
        <v>4545</v>
      </c>
      <c r="G45" s="454"/>
      <c r="H45" s="454"/>
      <c r="I45" s="454"/>
      <c r="J45" s="454"/>
      <c r="K45" s="454"/>
      <c r="L45" s="454"/>
      <c r="M45" s="304"/>
      <c r="N45" s="308"/>
      <c r="O45" s="304"/>
      <c r="P45" s="1632">
        <f>N45*O45</f>
        <v>0</v>
      </c>
      <c r="Q45" s="716"/>
      <c r="R45" s="1236"/>
      <c r="S45" s="1335"/>
    </row>
    <row r="46" spans="1:19" x14ac:dyDescent="0.2">
      <c r="A46" s="1617" t="s">
        <v>4674</v>
      </c>
      <c r="B46" s="1201">
        <v>11.24</v>
      </c>
      <c r="C46" s="906"/>
      <c r="D46" s="99" t="s">
        <v>1432</v>
      </c>
      <c r="E46" s="907"/>
      <c r="F46" s="907"/>
      <c r="G46" s="359"/>
      <c r="H46" s="359"/>
      <c r="I46" s="1107"/>
      <c r="J46" s="1107"/>
      <c r="K46" s="1107"/>
      <c r="L46" s="359"/>
      <c r="M46" s="359"/>
      <c r="N46" s="1107"/>
      <c r="O46" s="359"/>
      <c r="P46" s="1107">
        <f>SUM(P47:P50)</f>
        <v>0</v>
      </c>
      <c r="Q46" s="693"/>
      <c r="R46" s="1618"/>
      <c r="S46" s="1107">
        <f>SUM(S47:S50)</f>
        <v>0</v>
      </c>
    </row>
    <row r="47" spans="1:19" s="1587" customFormat="1" ht="81" customHeight="1" x14ac:dyDescent="0.2">
      <c r="A47" s="1260">
        <v>1</v>
      </c>
      <c r="B47" s="1620">
        <v>11.2</v>
      </c>
      <c r="C47" s="441" t="s">
        <v>1436</v>
      </c>
      <c r="D47" s="441" t="s">
        <v>1437</v>
      </c>
      <c r="E47" s="886" t="s">
        <v>70</v>
      </c>
      <c r="F47" s="1625" t="s">
        <v>70</v>
      </c>
      <c r="G47" s="449"/>
      <c r="H47" s="449"/>
      <c r="I47" s="449"/>
      <c r="J47" s="449"/>
      <c r="K47" s="449"/>
      <c r="L47" s="451"/>
      <c r="M47" s="304"/>
      <c r="N47" s="308"/>
      <c r="O47" s="304"/>
      <c r="P47" s="1621">
        <f>N47*O47</f>
        <v>0</v>
      </c>
      <c r="Q47" s="2864"/>
      <c r="R47" s="3408"/>
      <c r="S47" s="1365"/>
    </row>
    <row r="48" spans="1:19" s="1587" customFormat="1" ht="30" x14ac:dyDescent="0.2">
      <c r="A48" s="1260">
        <v>2</v>
      </c>
      <c r="B48" s="1620">
        <v>11.3</v>
      </c>
      <c r="C48" s="441" t="s">
        <v>1438</v>
      </c>
      <c r="D48" s="441" t="s">
        <v>1439</v>
      </c>
      <c r="E48" s="886" t="s">
        <v>70</v>
      </c>
      <c r="F48" s="1625" t="s">
        <v>70</v>
      </c>
      <c r="G48" s="2650"/>
      <c r="H48" s="2655"/>
      <c r="I48" s="2714"/>
      <c r="J48" s="2655"/>
      <c r="K48" s="2655"/>
      <c r="L48" s="2657"/>
      <c r="M48" s="2658"/>
      <c r="N48" s="308"/>
      <c r="O48" s="304"/>
      <c r="P48" s="1621">
        <f>N48*O48</f>
        <v>0</v>
      </c>
      <c r="Q48" s="2672"/>
      <c r="R48" s="1253"/>
      <c r="S48" s="1365"/>
    </row>
    <row r="49" spans="1:19" s="1635" customFormat="1" ht="30" x14ac:dyDescent="0.2">
      <c r="A49" s="1634">
        <v>3</v>
      </c>
      <c r="B49" s="1620" t="s">
        <v>2658</v>
      </c>
      <c r="C49" s="441" t="s">
        <v>1440</v>
      </c>
      <c r="D49" s="441" t="s">
        <v>2503</v>
      </c>
      <c r="E49" s="886" t="s">
        <v>70</v>
      </c>
      <c r="F49" s="1625" t="s">
        <v>70</v>
      </c>
      <c r="G49" s="449"/>
      <c r="H49" s="449"/>
      <c r="I49" s="449"/>
      <c r="J49" s="449"/>
      <c r="K49" s="449"/>
      <c r="L49" s="451"/>
      <c r="M49" s="304"/>
      <c r="N49" s="308"/>
      <c r="O49" s="304"/>
      <c r="P49" s="1621">
        <f>N49*O49</f>
        <v>0</v>
      </c>
      <c r="Q49" s="2864"/>
      <c r="R49" s="1253"/>
      <c r="S49" s="3366"/>
    </row>
    <row r="50" spans="1:19" s="1635" customFormat="1" x14ac:dyDescent="0.2">
      <c r="A50" s="1634"/>
      <c r="B50" s="1636" t="s">
        <v>2659</v>
      </c>
      <c r="C50" s="1637" t="s">
        <v>1441</v>
      </c>
      <c r="D50" s="1636" t="s">
        <v>2660</v>
      </c>
      <c r="E50" s="1356"/>
      <c r="F50" s="917"/>
      <c r="G50" s="379"/>
      <c r="H50" s="379"/>
      <c r="I50" s="1355"/>
      <c r="J50" s="1355"/>
      <c r="K50" s="1355"/>
      <c r="L50" s="379"/>
      <c r="M50" s="456"/>
      <c r="N50" s="1352"/>
      <c r="O50" s="379"/>
      <c r="P50" s="1355">
        <f>SUM(P51:P55)</f>
        <v>0</v>
      </c>
      <c r="Q50" s="706"/>
      <c r="R50" s="1638"/>
      <c r="S50" s="1355">
        <f>SUM(S51:S55)</f>
        <v>0</v>
      </c>
    </row>
    <row r="51" spans="1:19" s="1635" customFormat="1" x14ac:dyDescent="0.2">
      <c r="A51" s="1625">
        <v>4</v>
      </c>
      <c r="B51" s="441" t="s">
        <v>2864</v>
      </c>
      <c r="C51" s="441" t="s">
        <v>1442</v>
      </c>
      <c r="D51" s="441" t="s">
        <v>1443</v>
      </c>
      <c r="E51" s="886" t="s">
        <v>70</v>
      </c>
      <c r="F51" s="1625" t="s">
        <v>70</v>
      </c>
      <c r="G51" s="457"/>
      <c r="H51" s="457"/>
      <c r="I51" s="457"/>
      <c r="J51" s="457"/>
      <c r="K51" s="457"/>
      <c r="L51" s="450"/>
      <c r="M51" s="304"/>
      <c r="N51" s="308"/>
      <c r="O51" s="304"/>
      <c r="P51" s="1621">
        <f>N51*O51</f>
        <v>0</v>
      </c>
      <c r="Q51" s="713"/>
      <c r="R51" s="1253"/>
      <c r="S51" s="1365"/>
    </row>
    <row r="52" spans="1:19" s="1635" customFormat="1" ht="30" x14ac:dyDescent="0.2">
      <c r="A52" s="1625">
        <v>5</v>
      </c>
      <c r="B52" s="441" t="s">
        <v>2865</v>
      </c>
      <c r="C52" s="441" t="s">
        <v>1444</v>
      </c>
      <c r="D52" s="441" t="s">
        <v>1445</v>
      </c>
      <c r="E52" s="886" t="s">
        <v>70</v>
      </c>
      <c r="F52" s="1625" t="s">
        <v>70</v>
      </c>
      <c r="G52" s="450"/>
      <c r="H52" s="450"/>
      <c r="I52" s="450"/>
      <c r="J52" s="450"/>
      <c r="K52" s="450"/>
      <c r="L52" s="450"/>
      <c r="M52" s="304"/>
      <c r="N52" s="308"/>
      <c r="O52" s="304"/>
      <c r="P52" s="1621">
        <f>N52*O52</f>
        <v>0</v>
      </c>
      <c r="Q52" s="714"/>
      <c r="R52" s="1253"/>
      <c r="S52" s="1365"/>
    </row>
    <row r="53" spans="1:19" s="1635" customFormat="1" x14ac:dyDescent="0.2">
      <c r="A53" s="1625">
        <v>6</v>
      </c>
      <c r="B53" s="441" t="s">
        <v>2866</v>
      </c>
      <c r="C53" s="441" t="s">
        <v>1446</v>
      </c>
      <c r="D53" s="441" t="s">
        <v>1447</v>
      </c>
      <c r="E53" s="886" t="s">
        <v>70</v>
      </c>
      <c r="F53" s="1625" t="s">
        <v>70</v>
      </c>
      <c r="G53" s="450"/>
      <c r="H53" s="450"/>
      <c r="I53" s="450"/>
      <c r="J53" s="450"/>
      <c r="K53" s="450"/>
      <c r="L53" s="451"/>
      <c r="M53" s="304"/>
      <c r="N53" s="308"/>
      <c r="O53" s="304"/>
      <c r="P53" s="1621">
        <f>N53*O53</f>
        <v>0</v>
      </c>
      <c r="Q53" s="3025"/>
      <c r="R53" s="1253"/>
      <c r="S53" s="1365"/>
    </row>
    <row r="54" spans="1:19" s="1635" customFormat="1" x14ac:dyDescent="0.2">
      <c r="A54" s="1625">
        <v>7</v>
      </c>
      <c r="B54" s="441" t="s">
        <v>2867</v>
      </c>
      <c r="C54" s="441" t="s">
        <v>1448</v>
      </c>
      <c r="D54" s="441" t="s">
        <v>1449</v>
      </c>
      <c r="E54" s="886" t="s">
        <v>70</v>
      </c>
      <c r="F54" s="1625" t="s">
        <v>70</v>
      </c>
      <c r="G54" s="450"/>
      <c r="H54" s="450"/>
      <c r="I54" s="450"/>
      <c r="J54" s="450"/>
      <c r="K54" s="450"/>
      <c r="L54" s="450"/>
      <c r="M54" s="304"/>
      <c r="N54" s="308"/>
      <c r="O54" s="304"/>
      <c r="P54" s="1621">
        <f>N54*O54</f>
        <v>0</v>
      </c>
      <c r="Q54" s="714"/>
      <c r="R54" s="1253"/>
      <c r="S54" s="1365"/>
    </row>
    <row r="55" spans="1:19" x14ac:dyDescent="0.2">
      <c r="A55" s="1639">
        <v>8</v>
      </c>
      <c r="B55" s="1630" t="s">
        <v>4544</v>
      </c>
      <c r="C55" s="1630"/>
      <c r="D55" s="1620" t="s">
        <v>1310</v>
      </c>
      <c r="E55" s="886" t="s">
        <v>70</v>
      </c>
      <c r="F55" s="1625"/>
      <c r="G55" s="450"/>
      <c r="H55" s="450"/>
      <c r="I55" s="450"/>
      <c r="J55" s="450"/>
      <c r="K55" s="450"/>
      <c r="L55" s="451"/>
      <c r="M55" s="304"/>
      <c r="N55" s="308"/>
      <c r="O55" s="304"/>
      <c r="P55" s="1621">
        <f>N55*O55</f>
        <v>0</v>
      </c>
      <c r="Q55" s="3025"/>
      <c r="R55" s="3430"/>
      <c r="S55" s="3439"/>
    </row>
    <row r="56" spans="1:19" s="1616" customFormat="1" x14ac:dyDescent="0.2">
      <c r="A56" s="3959" t="s">
        <v>5227</v>
      </c>
      <c r="B56" s="3959"/>
      <c r="C56" s="3959"/>
      <c r="D56" s="3959"/>
      <c r="E56" s="1611"/>
      <c r="F56" s="1611"/>
      <c r="G56" s="644"/>
      <c r="H56" s="644"/>
      <c r="I56" s="644"/>
      <c r="J56" s="644"/>
      <c r="K56" s="644"/>
      <c r="L56" s="644"/>
      <c r="M56" s="644"/>
      <c r="N56" s="1613"/>
      <c r="O56" s="644"/>
      <c r="P56" s="1614"/>
      <c r="Q56" s="708"/>
      <c r="R56" s="1626"/>
      <c r="S56" s="1126"/>
    </row>
    <row r="57" spans="1:19" s="1635" customFormat="1" x14ac:dyDescent="0.2">
      <c r="A57" s="1640" t="s">
        <v>4358</v>
      </c>
      <c r="B57" s="99">
        <v>11.15</v>
      </c>
      <c r="C57" s="906"/>
      <c r="D57" s="99" t="s">
        <v>1392</v>
      </c>
      <c r="E57" s="907"/>
      <c r="F57" s="907"/>
      <c r="G57" s="359"/>
      <c r="H57" s="359"/>
      <c r="I57" s="1107"/>
      <c r="J57" s="1107"/>
      <c r="K57" s="1107"/>
      <c r="L57" s="359"/>
      <c r="M57" s="359"/>
      <c r="N57" s="1107"/>
      <c r="O57" s="359"/>
      <c r="P57" s="1107">
        <f>SUM(P58:P65)</f>
        <v>0</v>
      </c>
      <c r="Q57" s="693"/>
      <c r="R57" s="1618"/>
      <c r="S57" s="3440">
        <f>SUM(S58:S65)</f>
        <v>0</v>
      </c>
    </row>
    <row r="58" spans="1:19" s="1635" customFormat="1" x14ac:dyDescent="0.2">
      <c r="A58" s="1643">
        <v>1</v>
      </c>
      <c r="B58" s="1620" t="s">
        <v>1417</v>
      </c>
      <c r="C58" s="441" t="s">
        <v>1394</v>
      </c>
      <c r="D58" s="441" t="s">
        <v>1395</v>
      </c>
      <c r="E58" s="888" t="s">
        <v>4366</v>
      </c>
      <c r="F58" s="1641" t="s">
        <v>4986</v>
      </c>
      <c r="G58" s="2658"/>
      <c r="H58" s="2658"/>
      <c r="I58" s="2673"/>
      <c r="J58" s="2658"/>
      <c r="K58" s="2658"/>
      <c r="L58" s="2674"/>
      <c r="M58" s="2658"/>
      <c r="N58" s="308"/>
      <c r="O58" s="2658"/>
      <c r="P58" s="1621">
        <f t="shared" ref="P58:P65" si="1">N58*O58</f>
        <v>0</v>
      </c>
      <c r="Q58" s="3250"/>
      <c r="R58" s="1236">
        <f>'Abs9. NVBDCP'!Q90</f>
        <v>0</v>
      </c>
      <c r="S58" s="1629">
        <f>'Abs9. NVBDCP'!R90</f>
        <v>0</v>
      </c>
    </row>
    <row r="59" spans="1:19" s="1635" customFormat="1" ht="30" x14ac:dyDescent="0.2">
      <c r="A59" s="1643">
        <v>2</v>
      </c>
      <c r="B59" s="1620" t="s">
        <v>1420</v>
      </c>
      <c r="C59" s="441" t="s">
        <v>1396</v>
      </c>
      <c r="D59" s="441" t="s">
        <v>1397</v>
      </c>
      <c r="E59" s="888" t="s">
        <v>4366</v>
      </c>
      <c r="F59" s="1641" t="s">
        <v>4981</v>
      </c>
      <c r="G59" s="2658"/>
      <c r="H59" s="2658"/>
      <c r="I59" s="2673"/>
      <c r="J59" s="2658"/>
      <c r="K59" s="2658"/>
      <c r="L59" s="2674"/>
      <c r="M59" s="2658"/>
      <c r="N59" s="308"/>
      <c r="O59" s="2658"/>
      <c r="P59" s="1621">
        <f t="shared" si="1"/>
        <v>0</v>
      </c>
      <c r="Q59" s="3250"/>
      <c r="R59" s="1236">
        <f>'Abs9. NVBDCP'!Q91</f>
        <v>0</v>
      </c>
      <c r="S59" s="1629">
        <f>'Abs9. NVBDCP'!R91</f>
        <v>0</v>
      </c>
    </row>
    <row r="60" spans="1:19" s="1635" customFormat="1" x14ac:dyDescent="0.2">
      <c r="A60" s="1643">
        <v>3</v>
      </c>
      <c r="B60" s="1620" t="s">
        <v>2517</v>
      </c>
      <c r="C60" s="441" t="s">
        <v>1398</v>
      </c>
      <c r="D60" s="441" t="s">
        <v>1399</v>
      </c>
      <c r="E60" s="888" t="s">
        <v>4366</v>
      </c>
      <c r="F60" s="1641" t="s">
        <v>4982</v>
      </c>
      <c r="G60" s="2658"/>
      <c r="H60" s="2658"/>
      <c r="I60" s="2673"/>
      <c r="J60" s="2658"/>
      <c r="K60" s="2658"/>
      <c r="L60" s="2674"/>
      <c r="M60" s="2658"/>
      <c r="N60" s="308"/>
      <c r="O60" s="2658"/>
      <c r="P60" s="1621">
        <f t="shared" si="1"/>
        <v>0</v>
      </c>
      <c r="Q60" s="3250"/>
      <c r="R60" s="1236">
        <f>'Abs9. NVBDCP'!Q92</f>
        <v>0</v>
      </c>
      <c r="S60" s="1629">
        <f>'Abs9. NVBDCP'!R92</f>
        <v>0</v>
      </c>
    </row>
    <row r="61" spans="1:19" s="1635" customFormat="1" ht="60" x14ac:dyDescent="0.2">
      <c r="A61" s="1625">
        <v>4</v>
      </c>
      <c r="B61" s="1620" t="s">
        <v>2518</v>
      </c>
      <c r="C61" s="441" t="s">
        <v>1400</v>
      </c>
      <c r="D61" s="441" t="s">
        <v>1401</v>
      </c>
      <c r="E61" s="888" t="s">
        <v>4366</v>
      </c>
      <c r="F61" s="1641" t="s">
        <v>4983</v>
      </c>
      <c r="G61" s="2650"/>
      <c r="H61" s="2650"/>
      <c r="I61" s="2650"/>
      <c r="J61" s="2650"/>
      <c r="K61" s="2650"/>
      <c r="L61" s="2650"/>
      <c r="M61" s="2650"/>
      <c r="N61" s="308"/>
      <c r="O61" s="304"/>
      <c r="P61" s="1621">
        <f t="shared" si="1"/>
        <v>0</v>
      </c>
      <c r="Q61" s="714"/>
      <c r="R61" s="1236">
        <f>'Abs9. NVBDCP'!Q93</f>
        <v>0</v>
      </c>
      <c r="S61" s="1629">
        <f>'Abs9. NVBDCP'!R93</f>
        <v>0</v>
      </c>
    </row>
    <row r="62" spans="1:19" s="1635" customFormat="1" x14ac:dyDescent="0.2">
      <c r="A62" s="1625">
        <v>5</v>
      </c>
      <c r="B62" s="1620" t="s">
        <v>2519</v>
      </c>
      <c r="C62" s="441" t="s">
        <v>1402</v>
      </c>
      <c r="D62" s="441" t="s">
        <v>1403</v>
      </c>
      <c r="E62" s="888" t="s">
        <v>4366</v>
      </c>
      <c r="F62" s="1641" t="s">
        <v>4984</v>
      </c>
      <c r="G62" s="2650"/>
      <c r="H62" s="2650"/>
      <c r="I62" s="2650"/>
      <c r="J62" s="2650"/>
      <c r="K62" s="2650"/>
      <c r="L62" s="2650"/>
      <c r="M62" s="2650"/>
      <c r="N62" s="308"/>
      <c r="O62" s="304"/>
      <c r="P62" s="1621">
        <f t="shared" si="1"/>
        <v>0</v>
      </c>
      <c r="Q62" s="714"/>
      <c r="R62" s="1236">
        <f>'Abs9. NVBDCP'!Q94</f>
        <v>0</v>
      </c>
      <c r="S62" s="1629">
        <f>'Abs9. NVBDCP'!R94</f>
        <v>0</v>
      </c>
    </row>
    <row r="63" spans="1:19" s="1635" customFormat="1" x14ac:dyDescent="0.2">
      <c r="A63" s="1625">
        <v>6</v>
      </c>
      <c r="B63" s="1620" t="s">
        <v>2520</v>
      </c>
      <c r="C63" s="441" t="s">
        <v>1404</v>
      </c>
      <c r="D63" s="441" t="s">
        <v>1405</v>
      </c>
      <c r="E63" s="888" t="s">
        <v>4366</v>
      </c>
      <c r="F63" s="1641" t="s">
        <v>1549</v>
      </c>
      <c r="G63" s="2650"/>
      <c r="H63" s="2650"/>
      <c r="I63" s="2650"/>
      <c r="J63" s="2650"/>
      <c r="K63" s="2650"/>
      <c r="L63" s="2650"/>
      <c r="M63" s="2650"/>
      <c r="N63" s="308"/>
      <c r="O63" s="304"/>
      <c r="P63" s="1621">
        <f t="shared" si="1"/>
        <v>0</v>
      </c>
      <c r="Q63" s="714"/>
      <c r="R63" s="1236">
        <f>'Abs9. NVBDCP'!Q95</f>
        <v>0</v>
      </c>
      <c r="S63" s="1629">
        <f>'Abs9. NVBDCP'!R95</f>
        <v>0</v>
      </c>
    </row>
    <row r="64" spans="1:19" s="1635" customFormat="1" x14ac:dyDescent="0.2">
      <c r="A64" s="1625">
        <v>7</v>
      </c>
      <c r="B64" s="1620" t="s">
        <v>2649</v>
      </c>
      <c r="C64" s="976"/>
      <c r="D64" s="441" t="s">
        <v>3828</v>
      </c>
      <c r="E64" s="888" t="s">
        <v>4366</v>
      </c>
      <c r="F64" s="1641" t="s">
        <v>4986</v>
      </c>
      <c r="G64" s="2650"/>
      <c r="H64" s="2650"/>
      <c r="I64" s="2650"/>
      <c r="J64" s="2650"/>
      <c r="K64" s="2650"/>
      <c r="L64" s="2650"/>
      <c r="M64" s="2650"/>
      <c r="N64" s="308"/>
      <c r="O64" s="304"/>
      <c r="P64" s="1621">
        <f t="shared" si="1"/>
        <v>0</v>
      </c>
      <c r="Q64" s="714"/>
      <c r="R64" s="1236">
        <f>'Abs9. NVBDCP'!Q96</f>
        <v>0</v>
      </c>
      <c r="S64" s="1629">
        <f>'Abs9. NVBDCP'!R96</f>
        <v>0</v>
      </c>
    </row>
    <row r="65" spans="1:19" s="1635" customFormat="1" x14ac:dyDescent="0.2">
      <c r="A65" s="1625">
        <v>8</v>
      </c>
      <c r="B65" s="1620" t="s">
        <v>3827</v>
      </c>
      <c r="C65" s="976"/>
      <c r="D65" s="441" t="s">
        <v>1349</v>
      </c>
      <c r="E65" s="888" t="s">
        <v>4366</v>
      </c>
      <c r="F65" s="1641" t="s">
        <v>114</v>
      </c>
      <c r="G65" s="2650"/>
      <c r="H65" s="2650"/>
      <c r="I65" s="2650"/>
      <c r="J65" s="2650"/>
      <c r="K65" s="2650"/>
      <c r="L65" s="2650"/>
      <c r="M65" s="2650"/>
      <c r="N65" s="308"/>
      <c r="O65" s="304"/>
      <c r="P65" s="1621">
        <f t="shared" si="1"/>
        <v>0</v>
      </c>
      <c r="Q65" s="713"/>
      <c r="R65" s="1236">
        <f>'Abs9. NVBDCP'!Q97</f>
        <v>0</v>
      </c>
      <c r="S65" s="1629">
        <f>'Abs9. NVBDCP'!R97</f>
        <v>0</v>
      </c>
    </row>
    <row r="66" spans="1:19" s="1635" customFormat="1" x14ac:dyDescent="0.2">
      <c r="A66" s="1640" t="s">
        <v>4359</v>
      </c>
      <c r="B66" s="99">
        <v>11.16</v>
      </c>
      <c r="C66" s="906"/>
      <c r="D66" s="99" t="s">
        <v>1406</v>
      </c>
      <c r="E66" s="907"/>
      <c r="F66" s="907"/>
      <c r="G66" s="359"/>
      <c r="H66" s="359"/>
      <c r="I66" s="1107"/>
      <c r="J66" s="1107"/>
      <c r="K66" s="1107"/>
      <c r="L66" s="359"/>
      <c r="M66" s="359"/>
      <c r="N66" s="1107"/>
      <c r="O66" s="359"/>
      <c r="P66" s="1107">
        <f>SUM(P67:P68)</f>
        <v>0</v>
      </c>
      <c r="Q66" s="693"/>
      <c r="R66" s="1618"/>
      <c r="S66" s="1164">
        <f>SUM(S67:S68)</f>
        <v>0</v>
      </c>
    </row>
    <row r="67" spans="1:19" s="1635" customFormat="1" ht="30" x14ac:dyDescent="0.2">
      <c r="A67" s="1625">
        <v>1</v>
      </c>
      <c r="B67" s="1620" t="s">
        <v>1424</v>
      </c>
      <c r="C67" s="441" t="s">
        <v>1408</v>
      </c>
      <c r="D67" s="441" t="s">
        <v>1409</v>
      </c>
      <c r="E67" s="888" t="s">
        <v>4366</v>
      </c>
      <c r="F67" s="1625" t="s">
        <v>146</v>
      </c>
      <c r="G67" s="2650"/>
      <c r="H67" s="2658"/>
      <c r="I67" s="2673"/>
      <c r="J67" s="2658"/>
      <c r="K67" s="2658"/>
      <c r="L67" s="2674"/>
      <c r="M67" s="2658"/>
      <c r="N67" s="308"/>
      <c r="O67" s="304"/>
      <c r="P67" s="1621">
        <f>N67*O67</f>
        <v>0</v>
      </c>
      <c r="Q67" s="2672"/>
      <c r="R67" s="1236">
        <f>'Abs10. NLEP'!Q30</f>
        <v>0</v>
      </c>
      <c r="S67" s="1335">
        <f>'Abs10. NLEP'!R30</f>
        <v>0</v>
      </c>
    </row>
    <row r="68" spans="1:19" s="1635" customFormat="1" x14ac:dyDescent="0.2">
      <c r="A68" s="1625">
        <v>2</v>
      </c>
      <c r="B68" s="1620" t="s">
        <v>2650</v>
      </c>
      <c r="C68" s="976"/>
      <c r="D68" s="441" t="s">
        <v>1349</v>
      </c>
      <c r="E68" s="888" t="s">
        <v>4366</v>
      </c>
      <c r="F68" s="1625" t="s">
        <v>146</v>
      </c>
      <c r="G68" s="450"/>
      <c r="H68" s="450"/>
      <c r="I68" s="450"/>
      <c r="J68" s="450"/>
      <c r="K68" s="450"/>
      <c r="L68" s="450"/>
      <c r="M68" s="304"/>
      <c r="N68" s="308"/>
      <c r="O68" s="304"/>
      <c r="P68" s="1621">
        <f>N68*O68</f>
        <v>0</v>
      </c>
      <c r="Q68" s="714"/>
      <c r="R68" s="1236">
        <f>'Abs10. NLEP'!Q31</f>
        <v>0</v>
      </c>
      <c r="S68" s="1335">
        <f>'Abs10. NLEP'!R31</f>
        <v>0</v>
      </c>
    </row>
    <row r="69" spans="1:19" x14ac:dyDescent="0.2">
      <c r="A69" s="1642" t="s">
        <v>4362</v>
      </c>
      <c r="B69" s="99">
        <v>11.17</v>
      </c>
      <c r="C69" s="906"/>
      <c r="D69" s="99" t="s">
        <v>4896</v>
      </c>
      <c r="E69" s="907"/>
      <c r="F69" s="907"/>
      <c r="G69" s="359"/>
      <c r="H69" s="359"/>
      <c r="I69" s="1107"/>
      <c r="J69" s="1107"/>
      <c r="K69" s="1107"/>
      <c r="L69" s="359"/>
      <c r="M69" s="359"/>
      <c r="N69" s="1107"/>
      <c r="O69" s="359"/>
      <c r="P69" s="1107">
        <f>P70+P71+P72</f>
        <v>0</v>
      </c>
      <c r="Q69" s="693"/>
      <c r="R69" s="1618"/>
      <c r="S69" s="1164">
        <f>S70+S71+S72</f>
        <v>0</v>
      </c>
    </row>
    <row r="70" spans="1:19" s="1635" customFormat="1" x14ac:dyDescent="0.2">
      <c r="A70" s="1625">
        <v>1</v>
      </c>
      <c r="B70" s="1620" t="s">
        <v>2651</v>
      </c>
      <c r="C70" s="1623" t="s">
        <v>1410</v>
      </c>
      <c r="D70" s="1623" t="s">
        <v>1411</v>
      </c>
      <c r="E70" s="980" t="s">
        <v>4366</v>
      </c>
      <c r="F70" s="1138" t="s">
        <v>4683</v>
      </c>
      <c r="G70" s="2650"/>
      <c r="H70" s="2655"/>
      <c r="I70" s="2673"/>
      <c r="J70" s="2655"/>
      <c r="K70" s="2655"/>
      <c r="L70" s="2674"/>
      <c r="M70" s="2658"/>
      <c r="N70" s="308"/>
      <c r="O70" s="304"/>
      <c r="P70" s="1621">
        <f t="shared" ref="P70:P75" si="2">N70*O70</f>
        <v>0</v>
      </c>
      <c r="Q70" s="2672"/>
      <c r="R70" s="1236">
        <f>'Abs11. NTEP'!Q41</f>
        <v>0</v>
      </c>
      <c r="S70" s="1335">
        <f>'Abs11. NTEP'!R41</f>
        <v>0</v>
      </c>
    </row>
    <row r="71" spans="1:19" s="1646" customFormat="1" x14ac:dyDescent="0.2">
      <c r="A71" s="1643">
        <v>2</v>
      </c>
      <c r="B71" s="1630" t="s">
        <v>2652</v>
      </c>
      <c r="C71" s="1644"/>
      <c r="D71" s="1645" t="s">
        <v>4516</v>
      </c>
      <c r="E71" s="980" t="s">
        <v>4366</v>
      </c>
      <c r="F71" s="1129" t="s">
        <v>4683</v>
      </c>
      <c r="G71" s="2675"/>
      <c r="H71" s="2663"/>
      <c r="I71" s="2663"/>
      <c r="J71" s="2663"/>
      <c r="K71" s="2663"/>
      <c r="L71" s="2674"/>
      <c r="M71" s="2675"/>
      <c r="N71" s="308"/>
      <c r="O71" s="304"/>
      <c r="P71" s="1632">
        <f t="shared" si="2"/>
        <v>0</v>
      </c>
      <c r="Q71" s="2672"/>
      <c r="R71" s="1236">
        <f>'Abs11. NTEP'!Q42</f>
        <v>0</v>
      </c>
      <c r="S71" s="1335">
        <f>'Abs11. NTEP'!R42</f>
        <v>0</v>
      </c>
    </row>
    <row r="72" spans="1:19" s="1635" customFormat="1" x14ac:dyDescent="0.2">
      <c r="A72" s="1625">
        <v>3</v>
      </c>
      <c r="B72" s="1620" t="s">
        <v>4515</v>
      </c>
      <c r="C72" s="1644"/>
      <c r="D72" s="441" t="s">
        <v>1349</v>
      </c>
      <c r="E72" s="980" t="s">
        <v>4366</v>
      </c>
      <c r="F72" s="1138" t="s">
        <v>4683</v>
      </c>
      <c r="G72" s="449"/>
      <c r="H72" s="449"/>
      <c r="I72" s="449"/>
      <c r="J72" s="449"/>
      <c r="K72" s="449"/>
      <c r="L72" s="450"/>
      <c r="M72" s="304"/>
      <c r="N72" s="308"/>
      <c r="O72" s="304"/>
      <c r="P72" s="1621">
        <f t="shared" si="2"/>
        <v>0</v>
      </c>
      <c r="Q72" s="714"/>
      <c r="R72" s="1236">
        <f>'Abs11. NTEP'!Q43</f>
        <v>0</v>
      </c>
      <c r="S72" s="1335">
        <f>'Abs11. NTEP'!R43</f>
        <v>0</v>
      </c>
    </row>
    <row r="73" spans="1:19" s="1635" customFormat="1" ht="30" x14ac:dyDescent="0.2">
      <c r="A73" s="1640" t="s">
        <v>4363</v>
      </c>
      <c r="B73" s="1620" t="s">
        <v>3902</v>
      </c>
      <c r="C73" s="1630"/>
      <c r="D73" s="441" t="s">
        <v>5229</v>
      </c>
      <c r="E73" s="888" t="s">
        <v>4366</v>
      </c>
      <c r="F73" s="1625" t="s">
        <v>3993</v>
      </c>
      <c r="G73" s="2650"/>
      <c r="H73" s="2650"/>
      <c r="I73" s="2650"/>
      <c r="J73" s="2650"/>
      <c r="K73" s="2650"/>
      <c r="L73" s="2665"/>
      <c r="M73" s="2650"/>
      <c r="N73" s="308"/>
      <c r="O73" s="304"/>
      <c r="P73" s="1621">
        <f t="shared" si="2"/>
        <v>0</v>
      </c>
      <c r="Q73" s="2682"/>
      <c r="R73" s="1236">
        <f>'Abs13. NRCP'!Q12</f>
        <v>0</v>
      </c>
      <c r="S73" s="1335">
        <f>'Abs13. NRCP'!R12</f>
        <v>0</v>
      </c>
    </row>
    <row r="74" spans="1:19" s="1633" customFormat="1" ht="30" x14ac:dyDescent="0.2">
      <c r="A74" s="1642" t="s">
        <v>4364</v>
      </c>
      <c r="B74" s="1630" t="s">
        <v>4024</v>
      </c>
      <c r="C74" s="1630"/>
      <c r="D74" s="976" t="s">
        <v>4534</v>
      </c>
      <c r="E74" s="888" t="s">
        <v>4366</v>
      </c>
      <c r="F74" s="1038" t="s">
        <v>4553</v>
      </c>
      <c r="G74" s="2675"/>
      <c r="H74" s="2675"/>
      <c r="I74" s="2675"/>
      <c r="J74" s="2675"/>
      <c r="K74" s="2675"/>
      <c r="L74" s="2823"/>
      <c r="M74" s="2675"/>
      <c r="N74" s="308"/>
      <c r="O74" s="304"/>
      <c r="P74" s="1632">
        <f t="shared" si="2"/>
        <v>0</v>
      </c>
      <c r="Q74" s="2682"/>
      <c r="R74" s="1236">
        <f>'Abs14. PPCL'!Q12</f>
        <v>0</v>
      </c>
      <c r="S74" s="1335">
        <f>'Abs14. PPCL'!R12</f>
        <v>0</v>
      </c>
    </row>
    <row r="75" spans="1:19" s="1633" customFormat="1" x14ac:dyDescent="0.2">
      <c r="A75" s="1642" t="s">
        <v>4673</v>
      </c>
      <c r="B75" s="1630" t="s">
        <v>5739</v>
      </c>
      <c r="C75" s="1630"/>
      <c r="D75" s="976" t="s">
        <v>5267</v>
      </c>
      <c r="E75" s="888" t="s">
        <v>4366</v>
      </c>
      <c r="F75" s="1038" t="s">
        <v>3323</v>
      </c>
      <c r="G75" s="454"/>
      <c r="H75" s="454"/>
      <c r="I75" s="454"/>
      <c r="J75" s="454"/>
      <c r="K75" s="454"/>
      <c r="L75" s="2665"/>
      <c r="M75" s="2650"/>
      <c r="N75" s="308"/>
      <c r="O75" s="304"/>
      <c r="P75" s="1632">
        <f t="shared" si="2"/>
        <v>0</v>
      </c>
      <c r="Q75" s="2246"/>
      <c r="R75" s="1236">
        <f>'Abs12. NVHCP'!Q33</f>
        <v>0</v>
      </c>
      <c r="S75" s="1647">
        <f>'Abs12. NVHCP'!R33</f>
        <v>0</v>
      </c>
    </row>
    <row r="76" spans="1:19" s="1616" customFormat="1" x14ac:dyDescent="0.2">
      <c r="A76" s="3959" t="s">
        <v>5228</v>
      </c>
      <c r="B76" s="3959"/>
      <c r="C76" s="3959"/>
      <c r="D76" s="3959"/>
      <c r="E76" s="1611"/>
      <c r="F76" s="1611"/>
      <c r="G76" s="644"/>
      <c r="H76" s="644"/>
      <c r="I76" s="644"/>
      <c r="J76" s="644"/>
      <c r="K76" s="644"/>
      <c r="L76" s="644"/>
      <c r="M76" s="644"/>
      <c r="N76" s="1613"/>
      <c r="O76" s="644"/>
      <c r="P76" s="1614"/>
      <c r="Q76" s="708"/>
      <c r="R76" s="1626"/>
      <c r="S76" s="1126"/>
    </row>
    <row r="77" spans="1:19" x14ac:dyDescent="0.2">
      <c r="A77" s="1642" t="s">
        <v>4358</v>
      </c>
      <c r="B77" s="99">
        <v>11.18</v>
      </c>
      <c r="C77" s="906"/>
      <c r="D77" s="99" t="s">
        <v>1412</v>
      </c>
      <c r="E77" s="907"/>
      <c r="F77" s="907"/>
      <c r="G77" s="359"/>
      <c r="H77" s="359"/>
      <c r="I77" s="1107"/>
      <c r="J77" s="1107"/>
      <c r="K77" s="1107"/>
      <c r="L77" s="359"/>
      <c r="M77" s="359"/>
      <c r="N77" s="1107"/>
      <c r="O77" s="359"/>
      <c r="P77" s="1107">
        <f>P78+P79</f>
        <v>0</v>
      </c>
      <c r="Q77" s="693"/>
      <c r="R77" s="1618"/>
      <c r="S77" s="1164">
        <f>S78+S79</f>
        <v>0</v>
      </c>
    </row>
    <row r="78" spans="1:19" ht="30" x14ac:dyDescent="0.2">
      <c r="A78" s="1639">
        <v>1</v>
      </c>
      <c r="B78" s="1620" t="s">
        <v>1429</v>
      </c>
      <c r="C78" s="441" t="s">
        <v>1414</v>
      </c>
      <c r="D78" s="441" t="s">
        <v>4478</v>
      </c>
      <c r="E78" s="891" t="s">
        <v>85</v>
      </c>
      <c r="F78" s="1138" t="s">
        <v>86</v>
      </c>
      <c r="G78" s="2650"/>
      <c r="H78" s="2655"/>
      <c r="I78" s="2656"/>
      <c r="J78" s="2655"/>
      <c r="K78" s="2655"/>
      <c r="L78" s="2657"/>
      <c r="M78" s="2658"/>
      <c r="N78" s="308"/>
      <c r="O78" s="304"/>
      <c r="P78" s="1621">
        <f>N78*O78</f>
        <v>0</v>
      </c>
      <c r="Q78" s="2672"/>
      <c r="R78" s="1236">
        <f>'Abs15. NPCB'!Q28</f>
        <v>0</v>
      </c>
      <c r="S78" s="1335">
        <f>'Abs15. NPCB'!R28</f>
        <v>0</v>
      </c>
    </row>
    <row r="79" spans="1:19" x14ac:dyDescent="0.2">
      <c r="A79" s="1639">
        <v>2</v>
      </c>
      <c r="B79" s="1620" t="s">
        <v>2653</v>
      </c>
      <c r="C79" s="976"/>
      <c r="D79" s="441" t="s">
        <v>1349</v>
      </c>
      <c r="E79" s="891" t="s">
        <v>85</v>
      </c>
      <c r="F79" s="1138" t="s">
        <v>86</v>
      </c>
      <c r="G79" s="449"/>
      <c r="H79" s="449"/>
      <c r="I79" s="449"/>
      <c r="J79" s="449"/>
      <c r="K79" s="449"/>
      <c r="L79" s="450"/>
      <c r="M79" s="304"/>
      <c r="N79" s="308"/>
      <c r="O79" s="304"/>
      <c r="P79" s="1621">
        <f>N79*O79</f>
        <v>0</v>
      </c>
      <c r="Q79" s="714"/>
      <c r="R79" s="1236">
        <f>'Abs15. NPCB'!Q29</f>
        <v>0</v>
      </c>
      <c r="S79" s="1335">
        <f>'Abs15. NPCB'!R29</f>
        <v>0</v>
      </c>
    </row>
    <row r="80" spans="1:19" x14ac:dyDescent="0.2">
      <c r="A80" s="1642" t="s">
        <v>4359</v>
      </c>
      <c r="B80" s="99">
        <v>11.19</v>
      </c>
      <c r="C80" s="906" t="s">
        <v>1415</v>
      </c>
      <c r="D80" s="99" t="s">
        <v>1416</v>
      </c>
      <c r="E80" s="907"/>
      <c r="F80" s="907"/>
      <c r="G80" s="359"/>
      <c r="H80" s="359"/>
      <c r="I80" s="1107"/>
      <c r="J80" s="1107"/>
      <c r="K80" s="1107"/>
      <c r="L80" s="359"/>
      <c r="M80" s="359"/>
      <c r="N80" s="1107"/>
      <c r="O80" s="359"/>
      <c r="P80" s="1107">
        <f>SUM(P81:P83)</f>
        <v>0</v>
      </c>
      <c r="Q80" s="693"/>
      <c r="R80" s="1618"/>
      <c r="S80" s="1164">
        <f>SUM(S81:S83)</f>
        <v>0</v>
      </c>
    </row>
    <row r="81" spans="1:19" x14ac:dyDescent="0.2">
      <c r="A81" s="1639">
        <v>1</v>
      </c>
      <c r="B81" s="1620" t="s">
        <v>1433</v>
      </c>
      <c r="C81" s="441" t="s">
        <v>1418</v>
      </c>
      <c r="D81" s="1623" t="s">
        <v>1419</v>
      </c>
      <c r="E81" s="891" t="s">
        <v>85</v>
      </c>
      <c r="F81" s="1625" t="s">
        <v>150</v>
      </c>
      <c r="G81" s="455"/>
      <c r="H81" s="455"/>
      <c r="I81" s="455"/>
      <c r="J81" s="455"/>
      <c r="K81" s="455"/>
      <c r="L81" s="450"/>
      <c r="M81" s="304"/>
      <c r="N81" s="308"/>
      <c r="O81" s="304"/>
      <c r="P81" s="1621">
        <f>N81*O81</f>
        <v>0</v>
      </c>
      <c r="Q81" s="714"/>
      <c r="R81" s="1236">
        <f>'Abs16. NMHP'!Q22</f>
        <v>0</v>
      </c>
      <c r="S81" s="1335">
        <f>'Abs16. NMHP'!R22</f>
        <v>0</v>
      </c>
    </row>
    <row r="82" spans="1:19" ht="30" x14ac:dyDescent="0.2">
      <c r="A82" s="1639">
        <v>2</v>
      </c>
      <c r="B82" s="1620" t="s">
        <v>2521</v>
      </c>
      <c r="C82" s="441" t="s">
        <v>1421</v>
      </c>
      <c r="D82" s="1623" t="s">
        <v>1422</v>
      </c>
      <c r="E82" s="891" t="s">
        <v>85</v>
      </c>
      <c r="F82" s="1625" t="s">
        <v>150</v>
      </c>
      <c r="G82" s="2650"/>
      <c r="H82" s="2666"/>
      <c r="I82" s="2656"/>
      <c r="J82" s="2666"/>
      <c r="K82" s="2666"/>
      <c r="L82" s="2657"/>
      <c r="M82" s="2658"/>
      <c r="N82" s="308"/>
      <c r="O82" s="304"/>
      <c r="P82" s="1621">
        <f>N82*O82</f>
        <v>0</v>
      </c>
      <c r="Q82" s="2676"/>
      <c r="R82" s="1236">
        <f>'Abs16. NMHP'!Q23</f>
        <v>0</v>
      </c>
      <c r="S82" s="1335">
        <f>'Abs16. NMHP'!R23</f>
        <v>0</v>
      </c>
    </row>
    <row r="83" spans="1:19" x14ac:dyDescent="0.2">
      <c r="A83" s="1639">
        <v>3</v>
      </c>
      <c r="B83" s="1620" t="s">
        <v>2654</v>
      </c>
      <c r="C83" s="976"/>
      <c r="D83" s="441" t="s">
        <v>1349</v>
      </c>
      <c r="E83" s="891" t="s">
        <v>85</v>
      </c>
      <c r="F83" s="1625" t="s">
        <v>150</v>
      </c>
      <c r="G83" s="450"/>
      <c r="H83" s="450"/>
      <c r="I83" s="450"/>
      <c r="J83" s="450"/>
      <c r="K83" s="450"/>
      <c r="L83" s="450"/>
      <c r="M83" s="304"/>
      <c r="N83" s="308"/>
      <c r="O83" s="304"/>
      <c r="P83" s="1621">
        <f>N83*O83</f>
        <v>0</v>
      </c>
      <c r="Q83" s="713"/>
      <c r="R83" s="1236">
        <f>'Abs16. NMHP'!Q24</f>
        <v>0</v>
      </c>
      <c r="S83" s="1335">
        <f>'Abs16. NMHP'!R24</f>
        <v>0</v>
      </c>
    </row>
    <row r="84" spans="1:19" x14ac:dyDescent="0.2">
      <c r="A84" s="1642" t="s">
        <v>4362</v>
      </c>
      <c r="B84" s="1628" t="s">
        <v>2522</v>
      </c>
      <c r="C84" s="906"/>
      <c r="D84" s="99" t="s">
        <v>1423</v>
      </c>
      <c r="E84" s="907"/>
      <c r="F84" s="907"/>
      <c r="G84" s="359"/>
      <c r="H84" s="359"/>
      <c r="I84" s="1107"/>
      <c r="J84" s="1107"/>
      <c r="K84" s="1107"/>
      <c r="L84" s="359"/>
      <c r="M84" s="359"/>
      <c r="N84" s="1107"/>
      <c r="O84" s="359"/>
      <c r="P84" s="1107">
        <f>P85+P86</f>
        <v>0</v>
      </c>
      <c r="Q84" s="693"/>
      <c r="R84" s="1618"/>
      <c r="S84" s="1164">
        <f>S85+S86</f>
        <v>0</v>
      </c>
    </row>
    <row r="85" spans="1:19" x14ac:dyDescent="0.2">
      <c r="A85" s="1639">
        <v>1</v>
      </c>
      <c r="B85" s="1630" t="s">
        <v>2397</v>
      </c>
      <c r="C85" s="441" t="s">
        <v>1425</v>
      </c>
      <c r="D85" s="441" t="s">
        <v>4427</v>
      </c>
      <c r="E85" s="891" t="s">
        <v>85</v>
      </c>
      <c r="F85" s="1625" t="s">
        <v>399</v>
      </c>
      <c r="G85" s="2650"/>
      <c r="H85" s="2666"/>
      <c r="I85" s="2656"/>
      <c r="J85" s="2666"/>
      <c r="K85" s="2666"/>
      <c r="L85" s="2657"/>
      <c r="M85" s="2658"/>
      <c r="N85" s="308"/>
      <c r="O85" s="304"/>
      <c r="P85" s="1621">
        <f>N85*O85</f>
        <v>0</v>
      </c>
      <c r="Q85" s="2672"/>
      <c r="R85" s="1236">
        <f>'Abs17. NPHCE'!Q28</f>
        <v>0</v>
      </c>
      <c r="S85" s="1629">
        <f>'Abs17. NPHCE'!R28</f>
        <v>0</v>
      </c>
    </row>
    <row r="86" spans="1:19" ht="30" x14ac:dyDescent="0.2">
      <c r="A86" s="1639">
        <v>2</v>
      </c>
      <c r="B86" s="1620" t="s">
        <v>2655</v>
      </c>
      <c r="C86" s="976"/>
      <c r="D86" s="441" t="s">
        <v>4428</v>
      </c>
      <c r="E86" s="891" t="s">
        <v>85</v>
      </c>
      <c r="F86" s="1625" t="s">
        <v>399</v>
      </c>
      <c r="G86" s="450"/>
      <c r="H86" s="450"/>
      <c r="I86" s="450"/>
      <c r="J86" s="450"/>
      <c r="K86" s="450"/>
      <c r="L86" s="450"/>
      <c r="M86" s="304"/>
      <c r="N86" s="308"/>
      <c r="O86" s="304"/>
      <c r="P86" s="1621">
        <f>N86*O86</f>
        <v>0</v>
      </c>
      <c r="Q86" s="714"/>
      <c r="R86" s="1236">
        <f>'Abs17. NPHCE'!Q29</f>
        <v>0</v>
      </c>
      <c r="S86" s="1629">
        <f>'Abs17. NPHCE'!R29</f>
        <v>0</v>
      </c>
    </row>
    <row r="87" spans="1:19" x14ac:dyDescent="0.2">
      <c r="A87" s="1642" t="s">
        <v>4363</v>
      </c>
      <c r="B87" s="99">
        <v>11.21</v>
      </c>
      <c r="C87" s="906"/>
      <c r="D87" s="99" t="s">
        <v>1426</v>
      </c>
      <c r="E87" s="907"/>
      <c r="F87" s="907"/>
      <c r="G87" s="359"/>
      <c r="H87" s="359"/>
      <c r="I87" s="1107"/>
      <c r="J87" s="1107"/>
      <c r="K87" s="1107"/>
      <c r="L87" s="359"/>
      <c r="M87" s="359"/>
      <c r="N87" s="1107"/>
      <c r="O87" s="359"/>
      <c r="P87" s="1107">
        <f>P88</f>
        <v>0</v>
      </c>
      <c r="Q87" s="693"/>
      <c r="R87" s="1618"/>
      <c r="S87" s="1164">
        <f>S88</f>
        <v>0</v>
      </c>
    </row>
    <row r="88" spans="1:19" x14ac:dyDescent="0.2">
      <c r="A88" s="1639">
        <v>1</v>
      </c>
      <c r="B88" s="1620" t="s">
        <v>2523</v>
      </c>
      <c r="C88" s="441" t="s">
        <v>1427</v>
      </c>
      <c r="D88" s="441" t="s">
        <v>3904</v>
      </c>
      <c r="E88" s="891" t="s">
        <v>85</v>
      </c>
      <c r="F88" s="1625" t="s">
        <v>152</v>
      </c>
      <c r="G88" s="2650"/>
      <c r="H88" s="2671"/>
      <c r="I88" s="2677"/>
      <c r="J88" s="2671"/>
      <c r="K88" s="2671"/>
      <c r="L88" s="2678"/>
      <c r="M88" s="2679"/>
      <c r="N88" s="308"/>
      <c r="O88" s="304"/>
      <c r="P88" s="1621">
        <f>N88*O88</f>
        <v>0</v>
      </c>
      <c r="Q88" s="2672"/>
      <c r="R88" s="1236">
        <f>'Abs18. NTCP'!Q24</f>
        <v>0</v>
      </c>
      <c r="S88" s="1629">
        <f>'Abs18. NTCP'!R24</f>
        <v>0</v>
      </c>
    </row>
    <row r="89" spans="1:19" x14ac:dyDescent="0.2">
      <c r="A89" s="1642" t="s">
        <v>4364</v>
      </c>
      <c r="B89" s="99">
        <v>11.22</v>
      </c>
      <c r="C89" s="906" t="s">
        <v>1112</v>
      </c>
      <c r="D89" s="99" t="s">
        <v>1428</v>
      </c>
      <c r="E89" s="908"/>
      <c r="F89" s="908"/>
      <c r="G89" s="359"/>
      <c r="H89" s="359"/>
      <c r="I89" s="1107"/>
      <c r="J89" s="1107"/>
      <c r="K89" s="1107"/>
      <c r="L89" s="359"/>
      <c r="M89" s="359"/>
      <c r="N89" s="1107"/>
      <c r="O89" s="359"/>
      <c r="P89" s="1107">
        <f>SUM(P90:P93)</f>
        <v>0</v>
      </c>
      <c r="Q89" s="693"/>
      <c r="R89" s="1618"/>
      <c r="S89" s="1164">
        <f>SUM(S90:S93)</f>
        <v>0</v>
      </c>
    </row>
    <row r="90" spans="1:19" x14ac:dyDescent="0.2">
      <c r="A90" s="1639">
        <v>1</v>
      </c>
      <c r="B90" s="1620" t="s">
        <v>2524</v>
      </c>
      <c r="C90" s="1620" t="s">
        <v>1115</v>
      </c>
      <c r="D90" s="1623" t="s">
        <v>1430</v>
      </c>
      <c r="E90" s="891" t="s">
        <v>85</v>
      </c>
      <c r="F90" s="1625" t="s">
        <v>415</v>
      </c>
      <c r="G90" s="2650"/>
      <c r="H90" s="2667"/>
      <c r="I90" s="2656"/>
      <c r="J90" s="2655"/>
      <c r="K90" s="2655"/>
      <c r="L90" s="2657"/>
      <c r="M90" s="2658"/>
      <c r="N90" s="308"/>
      <c r="O90" s="304"/>
      <c r="P90" s="1621">
        <f t="shared" ref="P90:P96" si="3">N90*O90</f>
        <v>0</v>
      </c>
      <c r="Q90" s="2672"/>
      <c r="R90" s="1236">
        <f>'Abs19. NPCDCS'!Q47</f>
        <v>0</v>
      </c>
      <c r="S90" s="1629">
        <f>'Abs19. NPCDCS'!R47</f>
        <v>0</v>
      </c>
    </row>
    <row r="91" spans="1:19" x14ac:dyDescent="0.2">
      <c r="A91" s="1639">
        <v>2</v>
      </c>
      <c r="B91" s="1620" t="s">
        <v>2525</v>
      </c>
      <c r="C91" s="1620" t="s">
        <v>1118</v>
      </c>
      <c r="D91" s="1623" t="s">
        <v>1431</v>
      </c>
      <c r="E91" s="891" t="s">
        <v>85</v>
      </c>
      <c r="F91" s="1625" t="s">
        <v>415</v>
      </c>
      <c r="G91" s="2650"/>
      <c r="H91" s="2667"/>
      <c r="I91" s="2656"/>
      <c r="J91" s="2655"/>
      <c r="K91" s="2655"/>
      <c r="L91" s="2657"/>
      <c r="M91" s="2658"/>
      <c r="N91" s="308"/>
      <c r="O91" s="304"/>
      <c r="P91" s="1621">
        <f t="shared" si="3"/>
        <v>0</v>
      </c>
      <c r="Q91" s="2672"/>
      <c r="R91" s="1236">
        <f>'Abs19. NPCDCS'!Q48</f>
        <v>0</v>
      </c>
      <c r="S91" s="1629">
        <f>'Abs19. NPCDCS'!R48</f>
        <v>0</v>
      </c>
    </row>
    <row r="92" spans="1:19" x14ac:dyDescent="0.2">
      <c r="A92" s="1639">
        <v>3</v>
      </c>
      <c r="B92" s="1620" t="s">
        <v>2656</v>
      </c>
      <c r="C92" s="1630"/>
      <c r="D92" s="1620" t="s">
        <v>2547</v>
      </c>
      <c r="E92" s="891" t="s">
        <v>85</v>
      </c>
      <c r="F92" s="1625" t="s">
        <v>2557</v>
      </c>
      <c r="G92" s="449"/>
      <c r="H92" s="449"/>
      <c r="I92" s="449"/>
      <c r="J92" s="449"/>
      <c r="K92" s="449"/>
      <c r="L92" s="451"/>
      <c r="M92" s="304"/>
      <c r="N92" s="308"/>
      <c r="O92" s="304"/>
      <c r="P92" s="1621">
        <f t="shared" si="3"/>
        <v>0</v>
      </c>
      <c r="Q92" s="713"/>
      <c r="R92" s="1236">
        <f>'Abs19. NPCDCS'!Q49</f>
        <v>0</v>
      </c>
      <c r="S92" s="1629">
        <f>'Abs19. NPCDCS'!R49</f>
        <v>0</v>
      </c>
    </row>
    <row r="93" spans="1:19" x14ac:dyDescent="0.2">
      <c r="A93" s="1639">
        <v>4</v>
      </c>
      <c r="B93" s="1620" t="s">
        <v>2863</v>
      </c>
      <c r="C93" s="1630"/>
      <c r="D93" s="441" t="s">
        <v>1349</v>
      </c>
      <c r="E93" s="891" t="s">
        <v>85</v>
      </c>
      <c r="F93" s="1625" t="s">
        <v>415</v>
      </c>
      <c r="G93" s="449"/>
      <c r="H93" s="449"/>
      <c r="I93" s="449"/>
      <c r="J93" s="449"/>
      <c r="K93" s="449"/>
      <c r="L93" s="450"/>
      <c r="M93" s="304"/>
      <c r="N93" s="308"/>
      <c r="O93" s="304"/>
      <c r="P93" s="1621">
        <f t="shared" si="3"/>
        <v>0</v>
      </c>
      <c r="Q93" s="714"/>
      <c r="R93" s="1236">
        <f>'Abs19. NPCDCS'!Q50</f>
        <v>0</v>
      </c>
      <c r="S93" s="1629">
        <f>'Abs19. NPCDCS'!R50</f>
        <v>0</v>
      </c>
    </row>
    <row r="94" spans="1:19" x14ac:dyDescent="0.2">
      <c r="A94" s="1642" t="s">
        <v>4673</v>
      </c>
      <c r="B94" s="1620" t="s">
        <v>3903</v>
      </c>
      <c r="C94" s="1630"/>
      <c r="D94" s="441" t="s">
        <v>4536</v>
      </c>
      <c r="E94" s="891" t="s">
        <v>85</v>
      </c>
      <c r="F94" s="1625" t="s">
        <v>312</v>
      </c>
      <c r="G94" s="2650"/>
      <c r="H94" s="2650"/>
      <c r="I94" s="2650"/>
      <c r="J94" s="2650"/>
      <c r="K94" s="2650"/>
      <c r="L94" s="2665"/>
      <c r="M94" s="2650"/>
      <c r="N94" s="308"/>
      <c r="O94" s="304"/>
      <c r="P94" s="1621">
        <f t="shared" si="3"/>
        <v>0</v>
      </c>
      <c r="Q94" s="2682"/>
      <c r="R94" s="1236">
        <f>'Abs24. NOHP'!Q13</f>
        <v>0</v>
      </c>
      <c r="S94" s="1629">
        <f>'Abs24. NOHP'!R13</f>
        <v>0</v>
      </c>
    </row>
    <row r="95" spans="1:19" ht="45" x14ac:dyDescent="0.2">
      <c r="A95" s="1642" t="s">
        <v>4674</v>
      </c>
      <c r="B95" s="1620" t="s">
        <v>4001</v>
      </c>
      <c r="C95" s="1630"/>
      <c r="D95" s="441" t="s">
        <v>4535</v>
      </c>
      <c r="E95" s="891" t="s">
        <v>85</v>
      </c>
      <c r="F95" s="1625" t="s">
        <v>4132</v>
      </c>
      <c r="G95" s="450"/>
      <c r="H95" s="450"/>
      <c r="I95" s="450"/>
      <c r="J95" s="450"/>
      <c r="K95" s="450"/>
      <c r="L95" s="451"/>
      <c r="M95" s="304"/>
      <c r="N95" s="308"/>
      <c r="O95" s="304"/>
      <c r="P95" s="1621">
        <f t="shared" si="3"/>
        <v>0</v>
      </c>
      <c r="Q95" s="3025"/>
      <c r="R95" s="1236">
        <f>'Abs21. NPCCHH'!Q16</f>
        <v>0</v>
      </c>
      <c r="S95" s="1629">
        <f>'Abs21. NPCCHH'!R16</f>
        <v>0</v>
      </c>
    </row>
    <row r="96" spans="1:19" s="1633" customFormat="1" ht="30" x14ac:dyDescent="0.2">
      <c r="A96" s="1642" t="s">
        <v>4675</v>
      </c>
      <c r="B96" s="1630" t="s">
        <v>4543</v>
      </c>
      <c r="C96" s="1630"/>
      <c r="D96" s="976" t="s">
        <v>4547</v>
      </c>
      <c r="E96" s="891" t="s">
        <v>85</v>
      </c>
      <c r="F96" s="1038" t="s">
        <v>4545</v>
      </c>
      <c r="G96" s="454"/>
      <c r="H96" s="454"/>
      <c r="I96" s="454"/>
      <c r="J96" s="454"/>
      <c r="K96" s="454"/>
      <c r="L96" s="454"/>
      <c r="M96" s="304"/>
      <c r="N96" s="308"/>
      <c r="O96" s="304"/>
      <c r="P96" s="1632">
        <f t="shared" si="3"/>
        <v>0</v>
      </c>
      <c r="Q96" s="716"/>
      <c r="R96" s="1236">
        <f>'Abs20. PMNDP'!Q19</f>
        <v>0</v>
      </c>
      <c r="S96" s="1335">
        <f>'Abs20. PMNDP'!R19</f>
        <v>0</v>
      </c>
    </row>
    <row r="97" spans="1:19" x14ac:dyDescent="0.2">
      <c r="A97" s="1642" t="s">
        <v>4784</v>
      </c>
      <c r="B97" s="99">
        <v>11.11</v>
      </c>
      <c r="C97" s="906" t="s">
        <v>1376</v>
      </c>
      <c r="D97" s="99" t="s">
        <v>1374</v>
      </c>
      <c r="E97" s="907"/>
      <c r="F97" s="907"/>
      <c r="G97" s="359"/>
      <c r="H97" s="359"/>
      <c r="I97" s="1107"/>
      <c r="J97" s="1107"/>
      <c r="K97" s="1107"/>
      <c r="L97" s="359"/>
      <c r="M97" s="359"/>
      <c r="N97" s="1107"/>
      <c r="O97" s="359"/>
      <c r="P97" s="1107">
        <f>P98+P99</f>
        <v>0</v>
      </c>
      <c r="Q97" s="693"/>
      <c r="R97" s="1618"/>
      <c r="S97" s="1164">
        <f>S98+S99</f>
        <v>0</v>
      </c>
    </row>
    <row r="98" spans="1:19" x14ac:dyDescent="0.2">
      <c r="A98" s="1639">
        <v>1</v>
      </c>
      <c r="B98" s="1630" t="s">
        <v>1393</v>
      </c>
      <c r="C98" s="976"/>
      <c r="D98" s="441" t="s">
        <v>5595</v>
      </c>
      <c r="E98" s="891" t="s">
        <v>85</v>
      </c>
      <c r="F98" s="1138" t="s">
        <v>1020</v>
      </c>
      <c r="G98" s="2650"/>
      <c r="H98" s="2655"/>
      <c r="I98" s="2656"/>
      <c r="J98" s="2655"/>
      <c r="K98" s="2655"/>
      <c r="L98" s="2657"/>
      <c r="M98" s="2658"/>
      <c r="N98" s="308"/>
      <c r="O98" s="304"/>
      <c r="P98" s="1621">
        <f>N98*O98</f>
        <v>0</v>
      </c>
      <c r="Q98" s="3047"/>
      <c r="R98" s="1236">
        <f>'Abs22. NPPCD'!Q15</f>
        <v>0</v>
      </c>
      <c r="S98" s="1335">
        <f>'Abs22. NPPCD'!R15</f>
        <v>0</v>
      </c>
    </row>
    <row r="99" spans="1:19" x14ac:dyDescent="0.2">
      <c r="A99" s="1639">
        <v>2</v>
      </c>
      <c r="B99" s="1630" t="s">
        <v>2645</v>
      </c>
      <c r="C99" s="976"/>
      <c r="D99" s="1648" t="s">
        <v>2977</v>
      </c>
      <c r="E99" s="891" t="s">
        <v>85</v>
      </c>
      <c r="F99" s="1129" t="s">
        <v>1020</v>
      </c>
      <c r="G99" s="453"/>
      <c r="H99" s="453"/>
      <c r="I99" s="453"/>
      <c r="J99" s="453"/>
      <c r="K99" s="453"/>
      <c r="L99" s="454"/>
      <c r="M99" s="304"/>
      <c r="N99" s="308"/>
      <c r="O99" s="304"/>
      <c r="P99" s="1632">
        <f>N99*O99</f>
        <v>0</v>
      </c>
      <c r="Q99" s="717"/>
      <c r="R99" s="1236">
        <f>'Abs22. NPPCD'!Q16</f>
        <v>0</v>
      </c>
      <c r="S99" s="1335">
        <f>'Abs22. NPPCD'!R16</f>
        <v>0</v>
      </c>
    </row>
    <row r="100" spans="1:19" x14ac:dyDescent="0.2">
      <c r="A100" s="1642" t="s">
        <v>4927</v>
      </c>
      <c r="B100" s="99">
        <v>11.12</v>
      </c>
      <c r="C100" s="906"/>
      <c r="D100" s="99" t="s">
        <v>1377</v>
      </c>
      <c r="E100" s="907"/>
      <c r="F100" s="907"/>
      <c r="G100" s="359"/>
      <c r="H100" s="359"/>
      <c r="I100" s="1107"/>
      <c r="J100" s="1107"/>
      <c r="K100" s="1107"/>
      <c r="L100" s="359"/>
      <c r="M100" s="359"/>
      <c r="N100" s="1107"/>
      <c r="O100" s="359"/>
      <c r="P100" s="1107">
        <f>SUM(P101:P103)</f>
        <v>0</v>
      </c>
      <c r="Q100" s="693"/>
      <c r="R100" s="1618"/>
      <c r="S100" s="1164">
        <f>SUM(S101:S103)</f>
        <v>0</v>
      </c>
    </row>
    <row r="101" spans="1:19" x14ac:dyDescent="0.2">
      <c r="A101" s="1639">
        <v>1</v>
      </c>
      <c r="B101" s="1620" t="s">
        <v>1407</v>
      </c>
      <c r="C101" s="441" t="s">
        <v>1379</v>
      </c>
      <c r="D101" s="441" t="s">
        <v>1380</v>
      </c>
      <c r="E101" s="891" t="s">
        <v>85</v>
      </c>
      <c r="F101" s="1625" t="s">
        <v>314</v>
      </c>
      <c r="G101" s="449"/>
      <c r="H101" s="449"/>
      <c r="I101" s="449"/>
      <c r="J101" s="449"/>
      <c r="K101" s="449"/>
      <c r="L101" s="450"/>
      <c r="M101" s="304"/>
      <c r="N101" s="308"/>
      <c r="O101" s="304"/>
      <c r="P101" s="1621">
        <f>N101*O101</f>
        <v>0</v>
      </c>
      <c r="Q101" s="713"/>
      <c r="R101" s="1236">
        <f>'Abs25. NPPC'!Q17</f>
        <v>0</v>
      </c>
      <c r="S101" s="1629">
        <f>'Abs25. NPPC'!R17</f>
        <v>0</v>
      </c>
    </row>
    <row r="102" spans="1:19" x14ac:dyDescent="0.2">
      <c r="A102" s="1639">
        <v>2</v>
      </c>
      <c r="B102" s="1620" t="s">
        <v>2515</v>
      </c>
      <c r="C102" s="441" t="s">
        <v>1382</v>
      </c>
      <c r="D102" s="441" t="s">
        <v>1383</v>
      </c>
      <c r="E102" s="891" t="s">
        <v>85</v>
      </c>
      <c r="F102" s="1625" t="s">
        <v>314</v>
      </c>
      <c r="G102" s="449"/>
      <c r="H102" s="449"/>
      <c r="I102" s="449"/>
      <c r="J102" s="449"/>
      <c r="K102" s="449"/>
      <c r="L102" s="451"/>
      <c r="M102" s="304"/>
      <c r="N102" s="308"/>
      <c r="O102" s="304"/>
      <c r="P102" s="1621">
        <f>N102*O102</f>
        <v>0</v>
      </c>
      <c r="Q102" s="713"/>
      <c r="R102" s="1236">
        <f>'Abs25. NPPC'!Q18</f>
        <v>0</v>
      </c>
      <c r="S102" s="1629">
        <f>'Abs25. NPPC'!R18</f>
        <v>0</v>
      </c>
    </row>
    <row r="103" spans="1:19" x14ac:dyDescent="0.2">
      <c r="A103" s="1639">
        <v>3</v>
      </c>
      <c r="B103" s="1620" t="s">
        <v>2646</v>
      </c>
      <c r="C103" s="976"/>
      <c r="D103" s="441" t="s">
        <v>1349</v>
      </c>
      <c r="E103" s="891" t="s">
        <v>85</v>
      </c>
      <c r="F103" s="1625" t="s">
        <v>314</v>
      </c>
      <c r="G103" s="449"/>
      <c r="H103" s="449"/>
      <c r="I103" s="449"/>
      <c r="J103" s="449"/>
      <c r="K103" s="449"/>
      <c r="L103" s="450"/>
      <c r="M103" s="304"/>
      <c r="N103" s="308"/>
      <c r="O103" s="304"/>
      <c r="P103" s="1621">
        <f>N103*O103</f>
        <v>0</v>
      </c>
      <c r="Q103" s="714"/>
      <c r="R103" s="1236">
        <f>'Abs25. NPPC'!Q19</f>
        <v>0</v>
      </c>
      <c r="S103" s="1629">
        <f>'Abs25. NPPC'!R19</f>
        <v>0</v>
      </c>
    </row>
    <row r="104" spans="1:19" x14ac:dyDescent="0.2">
      <c r="A104" s="1642" t="s">
        <v>4928</v>
      </c>
      <c r="B104" s="99">
        <v>11.13</v>
      </c>
      <c r="C104" s="906"/>
      <c r="D104" s="99" t="s">
        <v>1384</v>
      </c>
      <c r="E104" s="907"/>
      <c r="F104" s="907"/>
      <c r="G104" s="359"/>
      <c r="H104" s="359"/>
      <c r="I104" s="1107"/>
      <c r="J104" s="1107"/>
      <c r="K104" s="1107"/>
      <c r="L104" s="359"/>
      <c r="M104" s="359"/>
      <c r="N104" s="1107"/>
      <c r="O104" s="359"/>
      <c r="P104" s="1107">
        <f>P105+P106</f>
        <v>0</v>
      </c>
      <c r="Q104" s="693"/>
      <c r="R104" s="1618"/>
      <c r="S104" s="1164">
        <f>S105+S106</f>
        <v>0</v>
      </c>
    </row>
    <row r="105" spans="1:19" ht="30" x14ac:dyDescent="0.2">
      <c r="A105" s="1639">
        <v>1</v>
      </c>
      <c r="B105" s="1620" t="s">
        <v>2516</v>
      </c>
      <c r="C105" s="441" t="s">
        <v>1386</v>
      </c>
      <c r="D105" s="441" t="s">
        <v>1387</v>
      </c>
      <c r="E105" s="891" t="s">
        <v>85</v>
      </c>
      <c r="F105" s="1138" t="s">
        <v>1034</v>
      </c>
      <c r="G105" s="2650"/>
      <c r="H105" s="2655"/>
      <c r="I105" s="2656"/>
      <c r="J105" s="2655"/>
      <c r="K105" s="2655"/>
      <c r="L105" s="2657"/>
      <c r="M105" s="2658"/>
      <c r="N105" s="308"/>
      <c r="O105" s="304"/>
      <c r="P105" s="1621">
        <f>N105*O105</f>
        <v>0</v>
      </c>
      <c r="Q105" s="2672"/>
      <c r="R105" s="1236">
        <f>'Abs23. NPPCF'!Q15</f>
        <v>0</v>
      </c>
      <c r="S105" s="1629">
        <f>'Abs23. NPPCF'!R15</f>
        <v>0</v>
      </c>
    </row>
    <row r="106" spans="1:19" x14ac:dyDescent="0.2">
      <c r="A106" s="1639">
        <v>2</v>
      </c>
      <c r="B106" s="1620" t="s">
        <v>2647</v>
      </c>
      <c r="C106" s="976"/>
      <c r="D106" s="441" t="s">
        <v>1349</v>
      </c>
      <c r="E106" s="891" t="s">
        <v>85</v>
      </c>
      <c r="F106" s="1138" t="s">
        <v>1034</v>
      </c>
      <c r="G106" s="449"/>
      <c r="H106" s="449"/>
      <c r="I106" s="449"/>
      <c r="J106" s="449"/>
      <c r="K106" s="449"/>
      <c r="L106" s="450"/>
      <c r="M106" s="304"/>
      <c r="N106" s="308"/>
      <c r="O106" s="304"/>
      <c r="P106" s="1621">
        <f>N106*O106</f>
        <v>0</v>
      </c>
      <c r="Q106" s="714"/>
      <c r="R106" s="1236">
        <f>'Abs23. NPPCF'!Q16</f>
        <v>0</v>
      </c>
      <c r="S106" s="1629">
        <f>'Abs23. NPPCF'!R16</f>
        <v>0</v>
      </c>
    </row>
    <row r="107" spans="1:19" x14ac:dyDescent="0.2">
      <c r="C107" s="1650"/>
    </row>
    <row r="109" spans="1:19" x14ac:dyDescent="0.2">
      <c r="O109" s="178"/>
      <c r="P109" s="2839"/>
    </row>
    <row r="110" spans="1:19" x14ac:dyDescent="0.2">
      <c r="O110" s="178"/>
      <c r="P110" s="2853"/>
    </row>
  </sheetData>
  <sheetProtection formatCells="0" formatColumns="0" formatRows="0" autoFilter="0"/>
  <autoFilter ref="A4:BE106">
    <filterColumn colId="1" showButton="0"/>
  </autoFilter>
  <mergeCells count="13">
    <mergeCell ref="A5:D5"/>
    <mergeCell ref="A35:D35"/>
    <mergeCell ref="A56:D56"/>
    <mergeCell ref="A76:D76"/>
    <mergeCell ref="A1:D1"/>
    <mergeCell ref="A3:A4"/>
    <mergeCell ref="B3:C4"/>
    <mergeCell ref="L3:Q3"/>
    <mergeCell ref="R3:S3"/>
    <mergeCell ref="G3:K3"/>
    <mergeCell ref="D3:D4"/>
    <mergeCell ref="E3:E4"/>
    <mergeCell ref="F3:F4"/>
  </mergeCells>
  <phoneticPr fontId="57" type="noConversion"/>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9"/>
  <sheetViews>
    <sheetView zoomScale="60" zoomScaleNormal="60" workbookViewId="0">
      <pane xSplit="5" ySplit="7" topLeftCell="F8" activePane="bottomRight" state="frozen"/>
      <selection activeCell="A2" sqref="A2:A4"/>
      <selection pane="topRight" activeCell="A2" sqref="A2:A4"/>
      <selection pane="bottomLeft" activeCell="A2" sqref="A2:A4"/>
      <selection pane="bottomRight" activeCell="A19" sqref="A19"/>
    </sheetView>
  </sheetViews>
  <sheetFormatPr defaultColWidth="48.85546875" defaultRowHeight="15" x14ac:dyDescent="0.2"/>
  <cols>
    <col min="1" max="1" width="10.140625" style="1674" bestFit="1" customWidth="1"/>
    <col min="2" max="2" width="16.5703125" style="1674" hidden="1" customWidth="1"/>
    <col min="3" max="3" width="36.5703125" style="1675" bestFit="1" customWidth="1"/>
    <col min="4" max="4" width="9.5703125" style="1674" hidden="1" customWidth="1"/>
    <col min="5" max="5" width="22.42578125" style="1674" hidden="1" customWidth="1"/>
    <col min="6" max="6" width="15.140625" style="1664" hidden="1" customWidth="1"/>
    <col min="7" max="7" width="19.85546875" style="1664" hidden="1" customWidth="1"/>
    <col min="8" max="9" width="15.140625" style="1664" hidden="1" customWidth="1"/>
    <col min="10" max="10" width="17" style="1664" hidden="1" customWidth="1"/>
    <col min="11" max="11" width="9.140625" style="1676" hidden="1" customWidth="1"/>
    <col min="12" max="12" width="9.85546875" style="1664" hidden="1" customWidth="1"/>
    <col min="13" max="13" width="12.140625" style="1677" hidden="1" customWidth="1"/>
    <col min="14" max="14" width="10.5703125" style="1664" hidden="1" customWidth="1"/>
    <col min="15" max="15" width="12.140625" style="1677" bestFit="1" customWidth="1"/>
    <col min="16" max="16" width="45.5703125" style="1678" hidden="1" customWidth="1"/>
    <col min="17" max="17" width="40.42578125" style="1678" customWidth="1"/>
    <col min="18" max="18" width="11.140625" style="1677" customWidth="1"/>
    <col min="19" max="19" width="6.140625" style="1664" bestFit="1" customWidth="1"/>
    <col min="20" max="20" width="3.7109375" style="1664" bestFit="1" customWidth="1"/>
    <col min="21" max="22" width="5.5703125" style="1664" bestFit="1" customWidth="1"/>
    <col min="23" max="23" width="3.85546875" style="1664" bestFit="1" customWidth="1"/>
    <col min="24" max="24" width="4.5703125" style="1664" bestFit="1" customWidth="1"/>
    <col min="25" max="25" width="6.140625" style="1664" bestFit="1" customWidth="1"/>
    <col min="26" max="26" width="7.5703125" style="1664" bestFit="1" customWidth="1"/>
    <col min="27" max="27" width="4.140625" style="1664" bestFit="1" customWidth="1"/>
    <col min="28" max="28" width="8.140625" style="1664" bestFit="1" customWidth="1"/>
    <col min="29" max="30" width="4.140625" style="1664" bestFit="1" customWidth="1"/>
    <col min="31" max="31" width="12" style="1664" bestFit="1" customWidth="1"/>
    <col min="32" max="32" width="5.5703125" style="1664" bestFit="1" customWidth="1"/>
    <col min="33" max="33" width="7.42578125" style="1664" bestFit="1" customWidth="1"/>
    <col min="34" max="34" width="7" style="1664" bestFit="1" customWidth="1"/>
    <col min="35" max="35" width="5.5703125" style="1664" bestFit="1" customWidth="1"/>
    <col min="36" max="36" width="8" style="1664" bestFit="1" customWidth="1"/>
    <col min="37" max="37" width="5.5703125" style="1664" bestFit="1" customWidth="1"/>
    <col min="38" max="38" width="5.42578125" style="1664" bestFit="1" customWidth="1"/>
    <col min="39" max="39" width="6.85546875" style="1664" bestFit="1" customWidth="1"/>
    <col min="40" max="42" width="5.5703125" style="1664" bestFit="1" customWidth="1"/>
    <col min="43" max="43" width="6.42578125" style="1664" bestFit="1" customWidth="1"/>
    <col min="44" max="44" width="6.7109375" style="1664" bestFit="1" customWidth="1"/>
    <col min="45" max="45" width="5.42578125" style="1664" bestFit="1" customWidth="1"/>
    <col min="46" max="46" width="7.7109375" style="1664" bestFit="1" customWidth="1"/>
    <col min="47" max="47" width="7.42578125" style="1664" bestFit="1" customWidth="1"/>
    <col min="48" max="48" width="8" style="1664" bestFit="1" customWidth="1"/>
    <col min="49" max="49" width="6" style="1664" bestFit="1" customWidth="1"/>
    <col min="50" max="50" width="5.42578125" style="1664" bestFit="1" customWidth="1"/>
    <col min="51" max="51" width="6.42578125" style="1664" bestFit="1" customWidth="1"/>
    <col min="52" max="52" width="6.7109375" style="1664" bestFit="1" customWidth="1"/>
    <col min="53" max="53" width="7.7109375" style="1664" bestFit="1" customWidth="1"/>
    <col min="54" max="16384" width="48.85546875" style="1664"/>
  </cols>
  <sheetData>
    <row r="1" spans="1:53" s="1651" customFormat="1" ht="13.5" customHeight="1" x14ac:dyDescent="0.2">
      <c r="A1" s="3964" t="s">
        <v>1450</v>
      </c>
      <c r="B1" s="3965"/>
      <c r="C1" s="3966"/>
      <c r="D1" s="1191"/>
      <c r="E1" s="3825" t="s">
        <v>4719</v>
      </c>
      <c r="F1" s="3824" t="s">
        <v>4717</v>
      </c>
      <c r="G1" s="3824"/>
      <c r="H1" s="3824"/>
      <c r="I1" s="3824"/>
      <c r="J1" s="3824"/>
      <c r="K1" s="3824"/>
      <c r="L1" s="3824"/>
      <c r="M1" s="3824"/>
      <c r="N1" s="3824"/>
      <c r="O1" s="3967" t="s">
        <v>70</v>
      </c>
      <c r="P1" s="3967"/>
      <c r="Q1" s="3967"/>
      <c r="R1" s="3967"/>
      <c r="S1" s="3967"/>
      <c r="T1" s="3967"/>
      <c r="U1" s="3967"/>
      <c r="V1" s="3967"/>
      <c r="W1" s="3967"/>
      <c r="X1" s="3967"/>
      <c r="Y1" s="3967"/>
      <c r="Z1" s="3967"/>
      <c r="AA1" s="3967"/>
      <c r="AB1" s="3967"/>
      <c r="AC1" s="3967"/>
      <c r="AD1" s="3967"/>
      <c r="AE1" s="3967"/>
      <c r="AF1" s="3967"/>
      <c r="AG1" s="3967"/>
      <c r="AH1" s="3967"/>
      <c r="AI1" s="3968" t="s">
        <v>4366</v>
      </c>
      <c r="AJ1" s="3968"/>
      <c r="AK1" s="3968"/>
      <c r="AL1" s="3968"/>
      <c r="AM1" s="3968"/>
      <c r="AN1" s="3968"/>
      <c r="AO1" s="3968"/>
      <c r="AP1" s="3960" t="s">
        <v>85</v>
      </c>
      <c r="AQ1" s="3960"/>
      <c r="AR1" s="3960"/>
      <c r="AS1" s="3960"/>
      <c r="AT1" s="3960"/>
      <c r="AU1" s="3960"/>
      <c r="AV1" s="3960"/>
      <c r="AW1" s="3960"/>
      <c r="AX1" s="3960"/>
      <c r="AY1" s="3960"/>
      <c r="AZ1" s="3960"/>
      <c r="BA1" s="3960"/>
    </row>
    <row r="2" spans="1:53" s="1652" customFormat="1" ht="30" x14ac:dyDescent="0.2">
      <c r="A2" s="3961" t="str">
        <f>HYPERLINK("#Index!A4", "Index Pg")</f>
        <v>Index Pg</v>
      </c>
      <c r="B2" s="1308" t="str">
        <f>HYPERLINK("#'Summary of Abstracts'!A2", "Summary of Abst.")</f>
        <v>Summary of Abst.</v>
      </c>
      <c r="C2" s="828"/>
      <c r="D2" s="1193"/>
      <c r="E2" s="3825"/>
      <c r="F2" s="884" t="s">
        <v>118</v>
      </c>
      <c r="G2" s="884" t="s">
        <v>131</v>
      </c>
      <c r="H2" s="884" t="s">
        <v>91</v>
      </c>
      <c r="I2" s="884" t="s">
        <v>4715</v>
      </c>
      <c r="J2" s="884" t="s">
        <v>96</v>
      </c>
      <c r="K2" s="1194" t="s">
        <v>4071</v>
      </c>
      <c r="L2" s="885" t="s">
        <v>4716</v>
      </c>
      <c r="M2" s="884" t="s">
        <v>4720</v>
      </c>
      <c r="N2" s="885" t="s">
        <v>208</v>
      </c>
      <c r="O2" s="886" t="s">
        <v>4365</v>
      </c>
      <c r="P2" s="887" t="s">
        <v>3855</v>
      </c>
      <c r="Q2" s="887" t="s">
        <v>4729</v>
      </c>
      <c r="R2" s="887" t="s">
        <v>4726</v>
      </c>
      <c r="S2" s="887"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307</v>
      </c>
      <c r="AI2" s="888" t="s">
        <v>293</v>
      </c>
      <c r="AJ2" s="888" t="s">
        <v>114</v>
      </c>
      <c r="AK2" s="888" t="s">
        <v>146</v>
      </c>
      <c r="AL2" s="888" t="s">
        <v>4683</v>
      </c>
      <c r="AM2" s="888" t="s">
        <v>3323</v>
      </c>
      <c r="AN2" s="888" t="s">
        <v>3993</v>
      </c>
      <c r="AO2" s="888" t="s">
        <v>4553</v>
      </c>
      <c r="AP2" s="1177" t="s">
        <v>86</v>
      </c>
      <c r="AQ2" s="1177" t="s">
        <v>150</v>
      </c>
      <c r="AR2" s="1177" t="s">
        <v>399</v>
      </c>
      <c r="AS2" s="1177" t="s">
        <v>152</v>
      </c>
      <c r="AT2" s="1177" t="s">
        <v>415</v>
      </c>
      <c r="AU2" s="1177" t="s">
        <v>4607</v>
      </c>
      <c r="AV2" s="1177" t="s">
        <v>4132</v>
      </c>
      <c r="AW2" s="1177" t="s">
        <v>312</v>
      </c>
      <c r="AX2" s="1177" t="s">
        <v>314</v>
      </c>
      <c r="AY2" s="1177" t="s">
        <v>1034</v>
      </c>
      <c r="AZ2" s="1177" t="s">
        <v>1020</v>
      </c>
      <c r="BA2" s="1177" t="s">
        <v>4718</v>
      </c>
    </row>
    <row r="3" spans="1:53" s="1652" customFormat="1" ht="30" x14ac:dyDescent="0.25">
      <c r="A3" s="3962"/>
      <c r="B3" s="1653" t="str">
        <f>HYPERLINK("#'Budget Summary I'!A1:AL1", "Budget Summary I")</f>
        <v>Budget Summary I</v>
      </c>
      <c r="C3" s="961" t="s">
        <v>4608</v>
      </c>
      <c r="D3" s="1193"/>
      <c r="E3" s="1446">
        <f>R7</f>
        <v>0</v>
      </c>
      <c r="F3" s="961">
        <f>R9</f>
        <v>0</v>
      </c>
      <c r="G3" s="961">
        <f>R10</f>
        <v>0</v>
      </c>
      <c r="H3" s="961">
        <f>R11</f>
        <v>0</v>
      </c>
      <c r="I3" s="961">
        <f>R12</f>
        <v>0</v>
      </c>
      <c r="J3" s="961">
        <f>R13</f>
        <v>0</v>
      </c>
      <c r="K3" s="961">
        <f>R15</f>
        <v>0</v>
      </c>
      <c r="L3" s="961">
        <f>R14</f>
        <v>0</v>
      </c>
      <c r="M3" s="961"/>
      <c r="N3" s="961"/>
      <c r="O3" s="961">
        <f>R21</f>
        <v>0</v>
      </c>
      <c r="P3" s="961">
        <f>R18</f>
        <v>0</v>
      </c>
      <c r="Q3" s="961"/>
      <c r="R3" s="961"/>
      <c r="S3" s="961"/>
      <c r="T3" s="961"/>
      <c r="U3" s="961">
        <f>R23</f>
        <v>0</v>
      </c>
      <c r="V3" s="1654"/>
      <c r="W3" s="961"/>
      <c r="X3" s="961"/>
      <c r="Y3" s="961"/>
      <c r="Z3" s="961"/>
      <c r="AA3" s="961"/>
      <c r="AB3" s="961"/>
      <c r="AC3" s="961"/>
      <c r="AD3" s="961"/>
      <c r="AE3" s="961">
        <f>R20</f>
        <v>0</v>
      </c>
      <c r="AF3" s="961">
        <f>R19</f>
        <v>0</v>
      </c>
      <c r="AG3" s="961"/>
      <c r="AH3" s="961">
        <f>R17+R22+R24</f>
        <v>0</v>
      </c>
      <c r="AI3" s="961">
        <f>R30</f>
        <v>0</v>
      </c>
      <c r="AJ3" s="961">
        <f>R26</f>
        <v>0</v>
      </c>
      <c r="AK3" s="961">
        <f>R27</f>
        <v>0</v>
      </c>
      <c r="AL3" s="961">
        <f>R28</f>
        <v>0</v>
      </c>
      <c r="AM3" s="961">
        <f>R29</f>
        <v>0</v>
      </c>
      <c r="AN3" s="961">
        <f>R31</f>
        <v>0</v>
      </c>
      <c r="AO3" s="961">
        <f>R32</f>
        <v>0</v>
      </c>
      <c r="AP3" s="961">
        <f>R34</f>
        <v>0</v>
      </c>
      <c r="AQ3" s="961">
        <f>R35</f>
        <v>0</v>
      </c>
      <c r="AR3" s="961">
        <f>R36</f>
        <v>0</v>
      </c>
      <c r="AS3" s="961">
        <f>R37</f>
        <v>0</v>
      </c>
      <c r="AT3" s="961">
        <f>R38</f>
        <v>0</v>
      </c>
      <c r="AU3" s="961">
        <f>R39</f>
        <v>0</v>
      </c>
      <c r="AV3" s="961">
        <f>R40</f>
        <v>0</v>
      </c>
      <c r="AW3" s="961">
        <f>R43</f>
        <v>0</v>
      </c>
      <c r="AX3" s="961">
        <f>R44</f>
        <v>0</v>
      </c>
      <c r="AY3" s="961">
        <f>R42</f>
        <v>0</v>
      </c>
      <c r="AZ3" s="961">
        <f>R41</f>
        <v>0</v>
      </c>
      <c r="BA3" s="961">
        <f>R45</f>
        <v>0</v>
      </c>
    </row>
    <row r="4" spans="1:53" s="1652" customFormat="1" ht="30" x14ac:dyDescent="0.25">
      <c r="A4" s="3963"/>
      <c r="B4" s="1653" t="str">
        <f>HYPERLINK("#'Budget Summary II'!A3:B5", "Budget Summary II")</f>
        <v>Budget Summary II</v>
      </c>
      <c r="C4" s="961" t="s">
        <v>4609</v>
      </c>
      <c r="D4" s="1193"/>
      <c r="E4" s="1446">
        <f>O7</f>
        <v>0</v>
      </c>
      <c r="F4" s="961">
        <f>O9</f>
        <v>0</v>
      </c>
      <c r="G4" s="961">
        <f>O10</f>
        <v>0</v>
      </c>
      <c r="H4" s="961">
        <f>O11</f>
        <v>0</v>
      </c>
      <c r="I4" s="961">
        <f>O12</f>
        <v>0</v>
      </c>
      <c r="J4" s="961">
        <f>O13</f>
        <v>0</v>
      </c>
      <c r="K4" s="961">
        <f>O15</f>
        <v>0</v>
      </c>
      <c r="L4" s="961">
        <f>O14</f>
        <v>0</v>
      </c>
      <c r="M4" s="961"/>
      <c r="N4" s="961"/>
      <c r="O4" s="961">
        <f>O21</f>
        <v>0</v>
      </c>
      <c r="P4" s="961">
        <f>O18</f>
        <v>0</v>
      </c>
      <c r="Q4" s="961"/>
      <c r="R4" s="961"/>
      <c r="S4" s="961"/>
      <c r="T4" s="961"/>
      <c r="U4" s="961">
        <f>O23</f>
        <v>0</v>
      </c>
      <c r="V4" s="1654"/>
      <c r="W4" s="961"/>
      <c r="X4" s="961"/>
      <c r="Y4" s="961"/>
      <c r="Z4" s="961"/>
      <c r="AA4" s="961"/>
      <c r="AB4" s="961"/>
      <c r="AC4" s="961"/>
      <c r="AD4" s="961"/>
      <c r="AE4" s="961">
        <f>O20</f>
        <v>0</v>
      </c>
      <c r="AF4" s="961">
        <f>O19</f>
        <v>0</v>
      </c>
      <c r="AG4" s="961"/>
      <c r="AH4" s="961">
        <f>O17+O22+O24</f>
        <v>0</v>
      </c>
      <c r="AI4" s="961">
        <f>O30</f>
        <v>0</v>
      </c>
      <c r="AJ4" s="961">
        <f>O26</f>
        <v>0</v>
      </c>
      <c r="AK4" s="961">
        <f>O27</f>
        <v>0</v>
      </c>
      <c r="AL4" s="961">
        <f>O28</f>
        <v>0</v>
      </c>
      <c r="AM4" s="961">
        <f>O29</f>
        <v>0</v>
      </c>
      <c r="AN4" s="961">
        <f>O31</f>
        <v>0</v>
      </c>
      <c r="AO4" s="961">
        <f>O32</f>
        <v>0</v>
      </c>
      <c r="AP4" s="961">
        <f>O34</f>
        <v>0</v>
      </c>
      <c r="AQ4" s="961">
        <f>O35</f>
        <v>0</v>
      </c>
      <c r="AR4" s="961">
        <f>O36</f>
        <v>0</v>
      </c>
      <c r="AS4" s="961">
        <f>O37</f>
        <v>0</v>
      </c>
      <c r="AT4" s="961">
        <f>O38</f>
        <v>0</v>
      </c>
      <c r="AU4" s="961">
        <f>O39</f>
        <v>0</v>
      </c>
      <c r="AV4" s="961">
        <f>O40</f>
        <v>0</v>
      </c>
      <c r="AW4" s="961">
        <f>O43</f>
        <v>0</v>
      </c>
      <c r="AX4" s="961">
        <f>O44</f>
        <v>0</v>
      </c>
      <c r="AY4" s="961">
        <f>O42</f>
        <v>0</v>
      </c>
      <c r="AZ4" s="961">
        <f>O41</f>
        <v>0</v>
      </c>
      <c r="BA4" s="961">
        <f>O45</f>
        <v>0</v>
      </c>
    </row>
    <row r="5" spans="1:53" s="1584" customFormat="1" ht="12.75" customHeight="1" x14ac:dyDescent="0.2">
      <c r="A5" s="3823" t="s">
        <v>53</v>
      </c>
      <c r="B5" s="3823" t="s">
        <v>54</v>
      </c>
      <c r="C5" s="3823" t="s">
        <v>55</v>
      </c>
      <c r="D5" s="3823" t="s">
        <v>56</v>
      </c>
      <c r="E5" s="3823" t="s">
        <v>57</v>
      </c>
      <c r="F5" s="3876" t="s">
        <v>4629</v>
      </c>
      <c r="G5" s="3876"/>
      <c r="H5" s="3876"/>
      <c r="I5" s="3876"/>
      <c r="J5" s="3876"/>
      <c r="K5" s="3876" t="s">
        <v>4640</v>
      </c>
      <c r="L5" s="3876"/>
      <c r="M5" s="3876"/>
      <c r="N5" s="3876"/>
      <c r="O5" s="3876"/>
      <c r="P5" s="3876"/>
      <c r="Q5" s="3823" t="s">
        <v>4670</v>
      </c>
      <c r="R5" s="3823"/>
    </row>
    <row r="6" spans="1:53" s="1260" customFormat="1" ht="45" x14ac:dyDescent="0.2">
      <c r="A6" s="3823"/>
      <c r="B6" s="3823"/>
      <c r="C6" s="3823"/>
      <c r="D6" s="3823"/>
      <c r="E6" s="3823"/>
      <c r="F6" s="896" t="s">
        <v>4630</v>
      </c>
      <c r="G6" s="896" t="s">
        <v>4638</v>
      </c>
      <c r="H6" s="896" t="s">
        <v>4631</v>
      </c>
      <c r="I6" s="896" t="s">
        <v>4639</v>
      </c>
      <c r="J6" s="896" t="s">
        <v>2538</v>
      </c>
      <c r="K6" s="897" t="s">
        <v>58</v>
      </c>
      <c r="L6" s="897" t="s">
        <v>59</v>
      </c>
      <c r="M6" s="1197" t="s">
        <v>60</v>
      </c>
      <c r="N6" s="897" t="s">
        <v>61</v>
      </c>
      <c r="O6" s="1197" t="s">
        <v>62</v>
      </c>
      <c r="P6" s="897" t="s">
        <v>5547</v>
      </c>
      <c r="Q6" s="899" t="s">
        <v>2540</v>
      </c>
      <c r="R6" s="1198" t="s">
        <v>4671</v>
      </c>
      <c r="S6" s="3448" t="s">
        <v>4724</v>
      </c>
    </row>
    <row r="7" spans="1:53" s="1265" customFormat="1" x14ac:dyDescent="0.2">
      <c r="A7" s="1585">
        <v>12</v>
      </c>
      <c r="B7" s="1585"/>
      <c r="C7" s="484" t="s">
        <v>29</v>
      </c>
      <c r="D7" s="1261"/>
      <c r="E7" s="1261"/>
      <c r="F7" s="484"/>
      <c r="G7" s="484"/>
      <c r="H7" s="486">
        <f>H8+H16+H25+H33</f>
        <v>0</v>
      </c>
      <c r="I7" s="486">
        <f>I8+I16+I25+I33</f>
        <v>0</v>
      </c>
      <c r="J7" s="486">
        <f>J8+J16+J25+J33</f>
        <v>0</v>
      </c>
      <c r="K7" s="484"/>
      <c r="L7" s="484"/>
      <c r="M7" s="1655"/>
      <c r="N7" s="484"/>
      <c r="O7" s="486">
        <f>O8+O16+O25+O33</f>
        <v>0</v>
      </c>
      <c r="P7" s="484"/>
      <c r="Q7" s="484"/>
      <c r="R7" s="486">
        <f>R8+R16+R25+R33</f>
        <v>0</v>
      </c>
      <c r="S7" s="1265">
        <f>SUM(S8:S45)</f>
        <v>0</v>
      </c>
    </row>
    <row r="8" spans="1:53" x14ac:dyDescent="0.2">
      <c r="A8" s="1656">
        <v>12.1</v>
      </c>
      <c r="B8" s="1657"/>
      <c r="C8" s="1658" t="s">
        <v>5196</v>
      </c>
      <c r="D8" s="1657"/>
      <c r="E8" s="1657"/>
      <c r="F8" s="1659"/>
      <c r="G8" s="1659"/>
      <c r="H8" s="1662">
        <f>SUM(H9:H15)</f>
        <v>0</v>
      </c>
      <c r="I8" s="1662">
        <f>SUM(I9:I15)</f>
        <v>0</v>
      </c>
      <c r="J8" s="1662">
        <f>SUM(J9:J15)</f>
        <v>0</v>
      </c>
      <c r="K8" s="1660"/>
      <c r="L8" s="1659"/>
      <c r="M8" s="1661"/>
      <c r="N8" s="1659"/>
      <c r="O8" s="1662">
        <f>SUM(O9:O15)</f>
        <v>0</v>
      </c>
      <c r="P8" s="1663"/>
      <c r="Q8" s="1663"/>
      <c r="R8" s="1662">
        <f>SUM(R9:R15)</f>
        <v>0</v>
      </c>
    </row>
    <row r="9" spans="1:53" x14ac:dyDescent="0.2">
      <c r="A9" s="1665" t="s">
        <v>1452</v>
      </c>
      <c r="B9" s="1666">
        <v>12.1</v>
      </c>
      <c r="C9" s="1667" t="s">
        <v>1451</v>
      </c>
      <c r="D9" s="1668" t="s">
        <v>90</v>
      </c>
      <c r="E9" s="1669" t="s">
        <v>118</v>
      </c>
      <c r="F9" s="460"/>
      <c r="G9" s="460"/>
      <c r="H9" s="1670">
        <f>'12-A. Print Sub-Annex'!I6</f>
        <v>0</v>
      </c>
      <c r="I9" s="1670">
        <f>'12-A. Print Sub-Annex'!J6</f>
        <v>0</v>
      </c>
      <c r="J9" s="1670">
        <f>'12-A. Print Sub-Annex'!K6</f>
        <v>0</v>
      </c>
      <c r="K9" s="1679"/>
      <c r="L9" s="460"/>
      <c r="M9" s="1680"/>
      <c r="N9" s="460"/>
      <c r="O9" s="1670">
        <f>'12-A. Print Sub-Annex'!P6</f>
        <v>0</v>
      </c>
      <c r="P9" s="1684"/>
      <c r="Q9" s="3629" t="s">
        <v>5920</v>
      </c>
      <c r="R9" s="1670">
        <f>'12-A. Print Sub-Annex'!S6</f>
        <v>0</v>
      </c>
    </row>
    <row r="10" spans="1:53" x14ac:dyDescent="0.2">
      <c r="A10" s="1665" t="s">
        <v>1454</v>
      </c>
      <c r="B10" s="1666">
        <v>12.2</v>
      </c>
      <c r="C10" s="1667" t="s">
        <v>1458</v>
      </c>
      <c r="D10" s="1668" t="s">
        <v>90</v>
      </c>
      <c r="E10" s="1666" t="s">
        <v>131</v>
      </c>
      <c r="F10" s="460"/>
      <c r="G10" s="460"/>
      <c r="H10" s="1670">
        <f>'12-A. Print Sub-Annex'!I12</f>
        <v>0</v>
      </c>
      <c r="I10" s="1670">
        <f>'12-A. Print Sub-Annex'!J12</f>
        <v>0</v>
      </c>
      <c r="J10" s="1670">
        <f>'12-A. Print Sub-Annex'!K12</f>
        <v>0</v>
      </c>
      <c r="K10" s="1679"/>
      <c r="L10" s="460"/>
      <c r="M10" s="1680"/>
      <c r="N10" s="460"/>
      <c r="O10" s="1670">
        <f>'12-A. Print Sub-Annex'!P12</f>
        <v>0</v>
      </c>
      <c r="P10" s="1684"/>
      <c r="Q10" s="3629" t="s">
        <v>5920</v>
      </c>
      <c r="R10" s="1670">
        <f>'12-A. Print Sub-Annex'!S12</f>
        <v>0</v>
      </c>
    </row>
    <row r="11" spans="1:53" x14ac:dyDescent="0.2">
      <c r="A11" s="1665" t="s">
        <v>1457</v>
      </c>
      <c r="B11" s="1666">
        <v>12.3</v>
      </c>
      <c r="C11" s="1667" t="s">
        <v>1477</v>
      </c>
      <c r="D11" s="1668" t="s">
        <v>90</v>
      </c>
      <c r="E11" s="1666" t="s">
        <v>91</v>
      </c>
      <c r="F11" s="460"/>
      <c r="G11" s="460"/>
      <c r="H11" s="1670">
        <f>'12-A. Print Sub-Annex'!I27</f>
        <v>0</v>
      </c>
      <c r="I11" s="1670">
        <f>'12-A. Print Sub-Annex'!J27</f>
        <v>0</v>
      </c>
      <c r="J11" s="1670">
        <f>'12-A. Print Sub-Annex'!K27</f>
        <v>0</v>
      </c>
      <c r="K11" s="1679"/>
      <c r="L11" s="460"/>
      <c r="M11" s="1680"/>
      <c r="N11" s="460"/>
      <c r="O11" s="1670">
        <f>'12-A. Print Sub-Annex'!P27</f>
        <v>0</v>
      </c>
      <c r="P11" s="1684"/>
      <c r="Q11" s="3629" t="s">
        <v>5920</v>
      </c>
      <c r="R11" s="1670">
        <f>'12-A. Print Sub-Annex'!S27</f>
        <v>0</v>
      </c>
    </row>
    <row r="12" spans="1:53" x14ac:dyDescent="0.2">
      <c r="A12" s="1665" t="s">
        <v>2464</v>
      </c>
      <c r="B12" s="1666">
        <v>12.4</v>
      </c>
      <c r="C12" s="1667" t="s">
        <v>1489</v>
      </c>
      <c r="D12" s="1668" t="s">
        <v>90</v>
      </c>
      <c r="E12" s="1666" t="s">
        <v>193</v>
      </c>
      <c r="F12" s="460"/>
      <c r="G12" s="460"/>
      <c r="H12" s="1670">
        <f>'12-A. Print Sub-Annex'!I33</f>
        <v>0</v>
      </c>
      <c r="I12" s="1670">
        <f>'12-A. Print Sub-Annex'!J33</f>
        <v>0</v>
      </c>
      <c r="J12" s="1670">
        <f>'12-A. Print Sub-Annex'!K33</f>
        <v>0</v>
      </c>
      <c r="K12" s="1679"/>
      <c r="L12" s="460"/>
      <c r="M12" s="1680"/>
      <c r="N12" s="460"/>
      <c r="O12" s="1670">
        <f>'12-A. Print Sub-Annex'!P33</f>
        <v>0</v>
      </c>
      <c r="P12" s="1684"/>
      <c r="Q12" s="3629" t="s">
        <v>5920</v>
      </c>
      <c r="R12" s="1670">
        <f>'12-A. Print Sub-Annex'!S33</f>
        <v>0</v>
      </c>
    </row>
    <row r="13" spans="1:53" x14ac:dyDescent="0.2">
      <c r="A13" s="1665" t="s">
        <v>2481</v>
      </c>
      <c r="B13" s="1666">
        <v>12.5</v>
      </c>
      <c r="C13" s="1667" t="s">
        <v>1498</v>
      </c>
      <c r="D13" s="1668" t="s">
        <v>90</v>
      </c>
      <c r="E13" s="1666" t="s">
        <v>96</v>
      </c>
      <c r="F13" s="460"/>
      <c r="G13" s="460"/>
      <c r="H13" s="1670">
        <f>'12-A. Print Sub-Annex'!I40</f>
        <v>0</v>
      </c>
      <c r="I13" s="1670">
        <f>'12-A. Print Sub-Annex'!J40</f>
        <v>0</v>
      </c>
      <c r="J13" s="1670">
        <f>'12-A. Print Sub-Annex'!K40</f>
        <v>0</v>
      </c>
      <c r="K13" s="1679"/>
      <c r="L13" s="460"/>
      <c r="M13" s="1680"/>
      <c r="N13" s="460"/>
      <c r="O13" s="1670">
        <f>'12-A. Print Sub-Annex'!P40</f>
        <v>0</v>
      </c>
      <c r="P13" s="1684"/>
      <c r="Q13" s="3629" t="s">
        <v>5920</v>
      </c>
      <c r="R13" s="1670">
        <f>'12-A. Print Sub-Annex'!S47</f>
        <v>0</v>
      </c>
    </row>
    <row r="14" spans="1:53" x14ac:dyDescent="0.2">
      <c r="A14" s="1665" t="s">
        <v>5213</v>
      </c>
      <c r="B14" s="1666">
        <v>12.1</v>
      </c>
      <c r="C14" s="1667" t="s">
        <v>1537</v>
      </c>
      <c r="D14" s="1668" t="s">
        <v>90</v>
      </c>
      <c r="E14" s="1666" t="s">
        <v>205</v>
      </c>
      <c r="F14" s="460"/>
      <c r="G14" s="460"/>
      <c r="H14" s="1670">
        <f>'12-A. Print Sub-Annex'!I47</f>
        <v>0</v>
      </c>
      <c r="I14" s="1670">
        <f>'12-A. Print Sub-Annex'!J47</f>
        <v>0</v>
      </c>
      <c r="J14" s="1670">
        <f>'12-A. Print Sub-Annex'!K47</f>
        <v>0</v>
      </c>
      <c r="K14" s="1679"/>
      <c r="L14" s="460"/>
      <c r="M14" s="1680"/>
      <c r="N14" s="460"/>
      <c r="O14" s="1670">
        <f>'12-A. Print Sub-Annex'!P47</f>
        <v>0</v>
      </c>
      <c r="P14" s="1684"/>
      <c r="Q14" s="3629" t="s">
        <v>5920</v>
      </c>
      <c r="R14" s="1670">
        <f>'12-A. Print Sub-Annex'!S47</f>
        <v>0</v>
      </c>
    </row>
    <row r="15" spans="1:53" x14ac:dyDescent="0.2">
      <c r="A15" s="1665" t="s">
        <v>5214</v>
      </c>
      <c r="B15" s="1666">
        <v>12.18</v>
      </c>
      <c r="C15" s="1667" t="s">
        <v>5210</v>
      </c>
      <c r="D15" s="1668" t="s">
        <v>90</v>
      </c>
      <c r="E15" s="1666" t="s">
        <v>4071</v>
      </c>
      <c r="F15" s="460"/>
      <c r="G15" s="460"/>
      <c r="H15" s="1670">
        <f>'12-A. Print Sub-Annex'!I50</f>
        <v>0</v>
      </c>
      <c r="I15" s="1670">
        <f>'12-A. Print Sub-Annex'!J50</f>
        <v>0</v>
      </c>
      <c r="J15" s="1670">
        <f>'12-A. Print Sub-Annex'!K50</f>
        <v>0</v>
      </c>
      <c r="K15" s="1679"/>
      <c r="L15" s="460"/>
      <c r="M15" s="1680"/>
      <c r="N15" s="460"/>
      <c r="O15" s="1670">
        <f>'12-A. Print Sub-Annex'!P50</f>
        <v>0</v>
      </c>
      <c r="P15" s="1684"/>
      <c r="Q15" s="1671"/>
      <c r="R15" s="1670">
        <f>'12-A. Print Sub-Annex'!S50</f>
        <v>0</v>
      </c>
    </row>
    <row r="16" spans="1:53" x14ac:dyDescent="0.2">
      <c r="A16" s="1656">
        <v>12.2</v>
      </c>
      <c r="B16" s="1657"/>
      <c r="C16" s="1658" t="s">
        <v>5197</v>
      </c>
      <c r="D16" s="1657"/>
      <c r="E16" s="1657"/>
      <c r="F16" s="1681"/>
      <c r="G16" s="1681"/>
      <c r="H16" s="1662">
        <f>SUM(H17:H24)</f>
        <v>0</v>
      </c>
      <c r="I16" s="1662">
        <f>SUM(I17:I24)</f>
        <v>0</v>
      </c>
      <c r="J16" s="1662">
        <f>SUM(J17:J24)</f>
        <v>0</v>
      </c>
      <c r="K16" s="1682"/>
      <c r="L16" s="1681"/>
      <c r="M16" s="1683"/>
      <c r="N16" s="1681"/>
      <c r="O16" s="1662">
        <f>SUM(O17:O24)</f>
        <v>0</v>
      </c>
      <c r="P16" s="1685"/>
      <c r="Q16" s="1663"/>
      <c r="R16" s="1662">
        <f>SUM(R17:R24)</f>
        <v>0</v>
      </c>
    </row>
    <row r="17" spans="1:18" x14ac:dyDescent="0.2">
      <c r="A17" s="1665" t="s">
        <v>1459</v>
      </c>
      <c r="B17" s="1666">
        <v>12.6</v>
      </c>
      <c r="C17" s="1667" t="s">
        <v>1515</v>
      </c>
      <c r="D17" s="886" t="s">
        <v>70</v>
      </c>
      <c r="E17" s="1666" t="s">
        <v>70</v>
      </c>
      <c r="F17" s="460"/>
      <c r="G17" s="460"/>
      <c r="H17" s="1670">
        <f>'12-A. Print Sub-Annex'!I55</f>
        <v>0</v>
      </c>
      <c r="I17" s="1670">
        <f>'12-A. Print Sub-Annex'!J55</f>
        <v>0</v>
      </c>
      <c r="J17" s="1670">
        <f>'12-A. Print Sub-Annex'!K55</f>
        <v>0</v>
      </c>
      <c r="K17" s="1679"/>
      <c r="L17" s="460"/>
      <c r="M17" s="1680"/>
      <c r="N17" s="460"/>
      <c r="O17" s="1670">
        <f>'12-A. Print Sub-Annex'!P55</f>
        <v>0</v>
      </c>
      <c r="P17" s="1684"/>
      <c r="Q17" s="1671"/>
      <c r="R17" s="1670">
        <f>'12-A. Print Sub-Annex'!S55</f>
        <v>0</v>
      </c>
    </row>
    <row r="18" spans="1:18" x14ac:dyDescent="0.2">
      <c r="A18" s="1665" t="s">
        <v>1460</v>
      </c>
      <c r="B18" s="1666">
        <v>12.7</v>
      </c>
      <c r="C18" s="1667" t="s">
        <v>1519</v>
      </c>
      <c r="D18" s="886" t="s">
        <v>70</v>
      </c>
      <c r="E18" s="1666" t="s">
        <v>4995</v>
      </c>
      <c r="F18" s="460"/>
      <c r="G18" s="460"/>
      <c r="H18" s="1670">
        <f>'12-A. Print Sub-Annex'!I58</f>
        <v>0</v>
      </c>
      <c r="I18" s="1670">
        <f>'12-A. Print Sub-Annex'!J58</f>
        <v>0</v>
      </c>
      <c r="J18" s="1670">
        <f>'12-A. Print Sub-Annex'!K58</f>
        <v>0</v>
      </c>
      <c r="K18" s="1679"/>
      <c r="L18" s="460"/>
      <c r="M18" s="1680"/>
      <c r="N18" s="460"/>
      <c r="O18" s="1670">
        <f>'12-A. Print Sub-Annex'!P58</f>
        <v>0</v>
      </c>
      <c r="P18" s="1684"/>
      <c r="Q18" s="3629" t="s">
        <v>5920</v>
      </c>
      <c r="R18" s="1670">
        <f>'12-A. Print Sub-Annex'!S58</f>
        <v>0</v>
      </c>
    </row>
    <row r="19" spans="1:18" ht="30" x14ac:dyDescent="0.2">
      <c r="A19" s="1665" t="s">
        <v>1461</v>
      </c>
      <c r="B19" s="1666">
        <v>12.8</v>
      </c>
      <c r="C19" s="1667" t="s">
        <v>2661</v>
      </c>
      <c r="D19" s="886" t="s">
        <v>70</v>
      </c>
      <c r="E19" s="1666" t="s">
        <v>2091</v>
      </c>
      <c r="F19" s="460"/>
      <c r="G19" s="460"/>
      <c r="H19" s="1670">
        <f>'12-A. Print Sub-Annex'!I64</f>
        <v>0</v>
      </c>
      <c r="I19" s="1670">
        <f>'12-A. Print Sub-Annex'!J64</f>
        <v>0</v>
      </c>
      <c r="J19" s="1670">
        <f>'12-A. Print Sub-Annex'!K64</f>
        <v>0</v>
      </c>
      <c r="K19" s="1679"/>
      <c r="L19" s="460"/>
      <c r="M19" s="1680"/>
      <c r="N19" s="460"/>
      <c r="O19" s="1670">
        <f>'12-A. Print Sub-Annex'!P64</f>
        <v>0</v>
      </c>
      <c r="P19" s="1684"/>
      <c r="Q19" s="3629" t="s">
        <v>5920</v>
      </c>
      <c r="R19" s="1670">
        <f>'12-A. Print Sub-Annex'!S64</f>
        <v>0</v>
      </c>
    </row>
    <row r="20" spans="1:18" x14ac:dyDescent="0.2">
      <c r="A20" s="1665" t="s">
        <v>1462</v>
      </c>
      <c r="B20" s="1666">
        <v>12.9</v>
      </c>
      <c r="C20" s="1667" t="s">
        <v>1526</v>
      </c>
      <c r="D20" s="886" t="s">
        <v>70</v>
      </c>
      <c r="E20" s="1666" t="s">
        <v>2383</v>
      </c>
      <c r="F20" s="460"/>
      <c r="G20" s="460"/>
      <c r="H20" s="1670">
        <f>'12-A. Print Sub-Annex'!I67</f>
        <v>0</v>
      </c>
      <c r="I20" s="1670">
        <f>'12-A. Print Sub-Annex'!J67</f>
        <v>0</v>
      </c>
      <c r="J20" s="1670">
        <f>'12-A. Print Sub-Annex'!K67</f>
        <v>0</v>
      </c>
      <c r="K20" s="1679"/>
      <c r="L20" s="460"/>
      <c r="M20" s="1680"/>
      <c r="N20" s="460"/>
      <c r="O20" s="1670">
        <f>'12-A. Print Sub-Annex'!P67</f>
        <v>0</v>
      </c>
      <c r="P20" s="1684"/>
      <c r="Q20" s="3629" t="s">
        <v>5920</v>
      </c>
      <c r="R20" s="1670">
        <f>'12-A. Print Sub-Annex'!S67</f>
        <v>0</v>
      </c>
    </row>
    <row r="21" spans="1:18" ht="30" x14ac:dyDescent="0.2">
      <c r="A21" s="1665" t="s">
        <v>1464</v>
      </c>
      <c r="B21" s="1666" t="s">
        <v>1572</v>
      </c>
      <c r="C21" s="1667" t="s">
        <v>3892</v>
      </c>
      <c r="D21" s="886" t="s">
        <v>70</v>
      </c>
      <c r="E21" s="1666" t="s">
        <v>4365</v>
      </c>
      <c r="F21" s="460"/>
      <c r="G21" s="460"/>
      <c r="H21" s="1670">
        <f>'12-A. Print Sub-Annex'!I72</f>
        <v>0</v>
      </c>
      <c r="I21" s="1670">
        <f>'12-A. Print Sub-Annex'!J72</f>
        <v>0</v>
      </c>
      <c r="J21" s="1670">
        <f>'12-A. Print Sub-Annex'!K72</f>
        <v>0</v>
      </c>
      <c r="K21" s="1679"/>
      <c r="L21" s="460"/>
      <c r="M21" s="1680"/>
      <c r="N21" s="460"/>
      <c r="O21" s="1670">
        <f>'12-A. Print Sub-Annex'!P72</f>
        <v>0</v>
      </c>
      <c r="P21" s="1684"/>
      <c r="Q21" s="3629" t="s">
        <v>5920</v>
      </c>
      <c r="R21" s="1670">
        <f>'12-A. Print Sub-Annex'!S72</f>
        <v>0</v>
      </c>
    </row>
    <row r="22" spans="1:18" ht="30" x14ac:dyDescent="0.2">
      <c r="A22" s="1665" t="s">
        <v>1467</v>
      </c>
      <c r="B22" s="1666" t="s">
        <v>5223</v>
      </c>
      <c r="C22" s="1667" t="s">
        <v>3905</v>
      </c>
      <c r="D22" s="886" t="s">
        <v>70</v>
      </c>
      <c r="E22" s="1666" t="s">
        <v>70</v>
      </c>
      <c r="F22" s="460"/>
      <c r="G22" s="460"/>
      <c r="H22" s="1670">
        <f>'12-A. Print Sub-Annex'!I73</f>
        <v>0</v>
      </c>
      <c r="I22" s="1670">
        <f>'12-A. Print Sub-Annex'!J73</f>
        <v>0</v>
      </c>
      <c r="J22" s="1670">
        <f>'12-A. Print Sub-Annex'!K73</f>
        <v>0</v>
      </c>
      <c r="K22" s="1679"/>
      <c r="L22" s="460"/>
      <c r="M22" s="1680"/>
      <c r="N22" s="460"/>
      <c r="O22" s="1670">
        <f>'12-A. Print Sub-Annex'!P73</f>
        <v>0</v>
      </c>
      <c r="P22" s="1684"/>
      <c r="Q22" s="3629" t="s">
        <v>5920</v>
      </c>
      <c r="R22" s="1670">
        <f>'12-A. Print Sub-Annex'!S73</f>
        <v>0</v>
      </c>
    </row>
    <row r="23" spans="1:18" ht="30" x14ac:dyDescent="0.2">
      <c r="A23" s="1665" t="s">
        <v>1470</v>
      </c>
      <c r="B23" s="1666" t="s">
        <v>4026</v>
      </c>
      <c r="C23" s="1667" t="s">
        <v>4027</v>
      </c>
      <c r="D23" s="886" t="s">
        <v>70</v>
      </c>
      <c r="E23" s="1666" t="s">
        <v>4730</v>
      </c>
      <c r="F23" s="460"/>
      <c r="G23" s="460"/>
      <c r="H23" s="1670">
        <f>'12-A. Print Sub-Annex'!I74</f>
        <v>0</v>
      </c>
      <c r="I23" s="1670">
        <f>'12-A. Print Sub-Annex'!J74</f>
        <v>0</v>
      </c>
      <c r="J23" s="1670">
        <f>'12-A. Print Sub-Annex'!K74</f>
        <v>0</v>
      </c>
      <c r="K23" s="1679"/>
      <c r="L23" s="460"/>
      <c r="M23" s="1680"/>
      <c r="N23" s="460"/>
      <c r="O23" s="1670">
        <f>'12-A. Print Sub-Annex'!P74</f>
        <v>0</v>
      </c>
      <c r="P23" s="1684"/>
      <c r="Q23" s="3629" t="s">
        <v>5920</v>
      </c>
      <c r="R23" s="1670">
        <f>'12-A. Print Sub-Annex'!S74</f>
        <v>0</v>
      </c>
    </row>
    <row r="24" spans="1:18" x14ac:dyDescent="0.2">
      <c r="A24" s="1665" t="s">
        <v>1473</v>
      </c>
      <c r="B24" s="1666" t="s">
        <v>4413</v>
      </c>
      <c r="C24" s="1667" t="s">
        <v>1310</v>
      </c>
      <c r="D24" s="886" t="s">
        <v>70</v>
      </c>
      <c r="E24" s="1666" t="s">
        <v>70</v>
      </c>
      <c r="F24" s="460"/>
      <c r="G24" s="460"/>
      <c r="H24" s="1670">
        <f>'12-A. Print Sub-Annex'!I75</f>
        <v>0</v>
      </c>
      <c r="I24" s="1670">
        <f>'12-A. Print Sub-Annex'!J75</f>
        <v>0</v>
      </c>
      <c r="J24" s="1670">
        <f>'12-A. Print Sub-Annex'!K75</f>
        <v>0</v>
      </c>
      <c r="K24" s="1679"/>
      <c r="L24" s="460"/>
      <c r="M24" s="1680"/>
      <c r="N24" s="460"/>
      <c r="O24" s="1670">
        <f>'12-A. Print Sub-Annex'!P75</f>
        <v>0</v>
      </c>
      <c r="P24" s="1684"/>
      <c r="Q24" s="3629" t="s">
        <v>5920</v>
      </c>
      <c r="R24" s="1670">
        <f>'12-A. Print Sub-Annex'!S75</f>
        <v>0</v>
      </c>
    </row>
    <row r="25" spans="1:18" x14ac:dyDescent="0.2">
      <c r="A25" s="1656">
        <v>12.3</v>
      </c>
      <c r="B25" s="1657"/>
      <c r="C25" s="1658" t="s">
        <v>5198</v>
      </c>
      <c r="D25" s="1657"/>
      <c r="E25" s="1657"/>
      <c r="F25" s="1681"/>
      <c r="G25" s="1681"/>
      <c r="H25" s="1662">
        <f>SUM(H26:H32)</f>
        <v>0</v>
      </c>
      <c r="I25" s="1662">
        <f>SUM(I26:I32)</f>
        <v>0</v>
      </c>
      <c r="J25" s="1662">
        <f>SUM(J26:J32)</f>
        <v>0</v>
      </c>
      <c r="K25" s="1682"/>
      <c r="L25" s="1681"/>
      <c r="M25" s="1683"/>
      <c r="N25" s="1681"/>
      <c r="O25" s="1662">
        <f>SUM(O26:O32)</f>
        <v>0</v>
      </c>
      <c r="P25" s="1685"/>
      <c r="Q25" s="1663"/>
      <c r="R25" s="1662">
        <f>SUM(R26:R32)</f>
        <v>0</v>
      </c>
    </row>
    <row r="26" spans="1:18" x14ac:dyDescent="0.2">
      <c r="A26" s="1665" t="s">
        <v>1478</v>
      </c>
      <c r="B26" s="1666">
        <v>12.11</v>
      </c>
      <c r="C26" s="1667" t="s">
        <v>1542</v>
      </c>
      <c r="D26" s="1672" t="s">
        <v>4366</v>
      </c>
      <c r="E26" s="1666" t="s">
        <v>114</v>
      </c>
      <c r="F26" s="460"/>
      <c r="G26" s="460"/>
      <c r="H26" s="1670">
        <f>'12-A. Print Sub-Annex'!I77</f>
        <v>0</v>
      </c>
      <c r="I26" s="1670">
        <f>'12-A. Print Sub-Annex'!J77</f>
        <v>0</v>
      </c>
      <c r="J26" s="1670">
        <f>'12-A. Print Sub-Annex'!K77</f>
        <v>0</v>
      </c>
      <c r="K26" s="1679"/>
      <c r="L26" s="460"/>
      <c r="M26" s="1680"/>
      <c r="N26" s="460"/>
      <c r="O26" s="1670">
        <f>'12-A. Print Sub-Annex'!P77</f>
        <v>0</v>
      </c>
      <c r="P26" s="1684"/>
      <c r="Q26" s="1671"/>
      <c r="R26" s="1670">
        <f>'12-A. Print Sub-Annex'!S77</f>
        <v>0</v>
      </c>
    </row>
    <row r="27" spans="1:18" x14ac:dyDescent="0.2">
      <c r="A27" s="1665" t="s">
        <v>1480</v>
      </c>
      <c r="B27" s="1666">
        <v>12.12</v>
      </c>
      <c r="C27" s="1667" t="s">
        <v>1551</v>
      </c>
      <c r="D27" s="1672" t="s">
        <v>4366</v>
      </c>
      <c r="E27" s="1666" t="s">
        <v>146</v>
      </c>
      <c r="F27" s="460"/>
      <c r="G27" s="460"/>
      <c r="H27" s="1670">
        <f>'12-A. Print Sub-Annex'!I82</f>
        <v>0</v>
      </c>
      <c r="I27" s="1670">
        <f>'12-A. Print Sub-Annex'!J82</f>
        <v>0</v>
      </c>
      <c r="J27" s="1670">
        <f>'12-A. Print Sub-Annex'!K82</f>
        <v>0</v>
      </c>
      <c r="K27" s="1679"/>
      <c r="L27" s="460"/>
      <c r="M27" s="1680"/>
      <c r="N27" s="460"/>
      <c r="O27" s="1670">
        <f>'12-A. Print Sub-Annex'!P82</f>
        <v>0</v>
      </c>
      <c r="P27" s="1684"/>
      <c r="Q27" s="3629" t="s">
        <v>5920</v>
      </c>
      <c r="R27" s="1670">
        <f>'12-A. Print Sub-Annex'!S82</f>
        <v>0</v>
      </c>
    </row>
    <row r="28" spans="1:18" x14ac:dyDescent="0.2">
      <c r="A28" s="1665" t="s">
        <v>1482</v>
      </c>
      <c r="B28" s="1666">
        <v>12.13</v>
      </c>
      <c r="C28" s="1667" t="s">
        <v>4897</v>
      </c>
      <c r="D28" s="1672" t="s">
        <v>4366</v>
      </c>
      <c r="E28" s="1666" t="s">
        <v>4683</v>
      </c>
      <c r="F28" s="460"/>
      <c r="G28" s="460"/>
      <c r="H28" s="1670">
        <f>'12-A. Print Sub-Annex'!I84</f>
        <v>0</v>
      </c>
      <c r="I28" s="1670">
        <f>'12-A. Print Sub-Annex'!J84</f>
        <v>0</v>
      </c>
      <c r="J28" s="1670">
        <f>'12-A. Print Sub-Annex'!K84</f>
        <v>0</v>
      </c>
      <c r="K28" s="1679"/>
      <c r="L28" s="460"/>
      <c r="M28" s="1680"/>
      <c r="N28" s="460"/>
      <c r="O28" s="1670">
        <f>'12-A. Print Sub-Annex'!P84</f>
        <v>0</v>
      </c>
      <c r="P28" s="1684"/>
      <c r="Q28" s="3629" t="s">
        <v>5920</v>
      </c>
      <c r="R28" s="1670">
        <f>'12-A. Print Sub-Annex'!S84</f>
        <v>0</v>
      </c>
    </row>
    <row r="29" spans="1:18" ht="30" x14ac:dyDescent="0.2">
      <c r="A29" s="1665" t="s">
        <v>1485</v>
      </c>
      <c r="B29" s="1666" t="s">
        <v>4141</v>
      </c>
      <c r="C29" s="1667" t="s">
        <v>4414</v>
      </c>
      <c r="D29" s="1672" t="s">
        <v>4366</v>
      </c>
      <c r="E29" s="1666" t="s">
        <v>3323</v>
      </c>
      <c r="F29" s="460"/>
      <c r="G29" s="460"/>
      <c r="H29" s="1670">
        <f>'12-A. Print Sub-Annex'!I87</f>
        <v>0</v>
      </c>
      <c r="I29" s="1670">
        <f>'12-A. Print Sub-Annex'!J87</f>
        <v>0</v>
      </c>
      <c r="J29" s="1670">
        <f>'12-A. Print Sub-Annex'!K87</f>
        <v>0</v>
      </c>
      <c r="K29" s="1679"/>
      <c r="L29" s="460"/>
      <c r="M29" s="1680"/>
      <c r="N29" s="460"/>
      <c r="O29" s="1670">
        <f>'12-A. Print Sub-Annex'!P87</f>
        <v>0</v>
      </c>
      <c r="P29" s="1684"/>
      <c r="Q29" s="3629" t="s">
        <v>5920</v>
      </c>
      <c r="R29" s="1670">
        <f>'12-A. Print Sub-Annex'!S87</f>
        <v>0</v>
      </c>
    </row>
    <row r="30" spans="1:18" x14ac:dyDescent="0.2">
      <c r="A30" s="1665" t="s">
        <v>1488</v>
      </c>
      <c r="B30" s="1666"/>
      <c r="C30" s="1667" t="s">
        <v>5211</v>
      </c>
      <c r="D30" s="1672" t="s">
        <v>4366</v>
      </c>
      <c r="E30" s="1666" t="s">
        <v>293</v>
      </c>
      <c r="F30" s="460"/>
      <c r="G30" s="460"/>
      <c r="H30" s="1670">
        <f>'12-A. Print Sub-Annex'!I88</f>
        <v>0</v>
      </c>
      <c r="I30" s="1670">
        <f>'12-A. Print Sub-Annex'!J88</f>
        <v>0</v>
      </c>
      <c r="J30" s="1670">
        <f>'12-A. Print Sub-Annex'!K88</f>
        <v>0</v>
      </c>
      <c r="K30" s="1679"/>
      <c r="L30" s="460"/>
      <c r="M30" s="1680"/>
      <c r="N30" s="460"/>
      <c r="O30" s="1670">
        <f>'12-A. Print Sub-Annex'!P88</f>
        <v>0</v>
      </c>
      <c r="P30" s="1684"/>
      <c r="Q30" s="3629" t="s">
        <v>5920</v>
      </c>
      <c r="R30" s="1670">
        <f>'12-A. Print Sub-Annex'!S88</f>
        <v>0</v>
      </c>
    </row>
    <row r="31" spans="1:18" ht="30" x14ac:dyDescent="0.2">
      <c r="A31" s="1665" t="s">
        <v>5215</v>
      </c>
      <c r="B31" s="1666" t="s">
        <v>2537</v>
      </c>
      <c r="C31" s="1667" t="s">
        <v>5199</v>
      </c>
      <c r="D31" s="1672" t="s">
        <v>4366</v>
      </c>
      <c r="E31" s="1666" t="s">
        <v>3993</v>
      </c>
      <c r="F31" s="460"/>
      <c r="G31" s="460"/>
      <c r="H31" s="1670">
        <f>'12-A. Print Sub-Annex'!I89</f>
        <v>0</v>
      </c>
      <c r="I31" s="1670">
        <f>'12-A. Print Sub-Annex'!J89</f>
        <v>0</v>
      </c>
      <c r="J31" s="1670">
        <f>'12-A. Print Sub-Annex'!K89</f>
        <v>0</v>
      </c>
      <c r="K31" s="1679"/>
      <c r="L31" s="460"/>
      <c r="M31" s="1680"/>
      <c r="N31" s="460"/>
      <c r="O31" s="1670">
        <f>'12-A. Print Sub-Annex'!P89</f>
        <v>0</v>
      </c>
      <c r="P31" s="1684"/>
      <c r="Q31" s="3629" t="s">
        <v>5920</v>
      </c>
      <c r="R31" s="1670">
        <f>'12-A. Print Sub-Annex'!S89</f>
        <v>0</v>
      </c>
    </row>
    <row r="32" spans="1:18" x14ac:dyDescent="0.2">
      <c r="A32" s="1665" t="s">
        <v>5216</v>
      </c>
      <c r="B32" s="1666"/>
      <c r="C32" s="1667" t="s">
        <v>5200</v>
      </c>
      <c r="D32" s="1672" t="s">
        <v>4366</v>
      </c>
      <c r="E32" s="1666" t="s">
        <v>4553</v>
      </c>
      <c r="F32" s="460"/>
      <c r="G32" s="460"/>
      <c r="H32" s="1670">
        <f>'12-A. Print Sub-Annex'!I90</f>
        <v>0</v>
      </c>
      <c r="I32" s="1670">
        <f>'12-A. Print Sub-Annex'!J90</f>
        <v>0</v>
      </c>
      <c r="J32" s="1670">
        <f>'12-A. Print Sub-Annex'!K90</f>
        <v>0</v>
      </c>
      <c r="K32" s="1679"/>
      <c r="L32" s="460"/>
      <c r="M32" s="1680"/>
      <c r="N32" s="460"/>
      <c r="O32" s="1670">
        <f>'12-A. Print Sub-Annex'!P90</f>
        <v>0</v>
      </c>
      <c r="P32" s="1684"/>
      <c r="Q32" s="1671"/>
      <c r="R32" s="1670">
        <f>'12-A. Print Sub-Annex'!S90</f>
        <v>0</v>
      </c>
    </row>
    <row r="33" spans="1:18" x14ac:dyDescent="0.2">
      <c r="A33" s="1656">
        <v>12.4</v>
      </c>
      <c r="B33" s="1657"/>
      <c r="C33" s="1658" t="s">
        <v>5212</v>
      </c>
      <c r="D33" s="1657"/>
      <c r="E33" s="1657"/>
      <c r="F33" s="1681"/>
      <c r="G33" s="1681"/>
      <c r="H33" s="1662">
        <f>SUM(H34:H45)</f>
        <v>0</v>
      </c>
      <c r="I33" s="1662">
        <f>SUM(I34:I45)</f>
        <v>0</v>
      </c>
      <c r="J33" s="1662">
        <f>SUM(J34:J45)</f>
        <v>0</v>
      </c>
      <c r="K33" s="1682"/>
      <c r="L33" s="1681"/>
      <c r="M33" s="1683"/>
      <c r="N33" s="1681"/>
      <c r="O33" s="1662">
        <f>SUM(O34:O45)</f>
        <v>0</v>
      </c>
      <c r="P33" s="1685"/>
      <c r="Q33" s="1663"/>
      <c r="R33" s="1662">
        <f>SUM(R34:R45)</f>
        <v>0</v>
      </c>
    </row>
    <row r="34" spans="1:18" x14ac:dyDescent="0.2">
      <c r="A34" s="1665" t="s">
        <v>1490</v>
      </c>
      <c r="B34" s="1666"/>
      <c r="C34" s="1667" t="s">
        <v>5201</v>
      </c>
      <c r="D34" s="1673" t="s">
        <v>85</v>
      </c>
      <c r="E34" s="1666" t="s">
        <v>86</v>
      </c>
      <c r="F34" s="460"/>
      <c r="G34" s="460"/>
      <c r="H34" s="1670">
        <f>'12-A. Print Sub-Annex'!I92</f>
        <v>0</v>
      </c>
      <c r="I34" s="1670">
        <f>'12-A. Print Sub-Annex'!J92</f>
        <v>0</v>
      </c>
      <c r="J34" s="1670">
        <f>'12-A. Print Sub-Annex'!K92</f>
        <v>0</v>
      </c>
      <c r="K34" s="1679"/>
      <c r="L34" s="460"/>
      <c r="M34" s="1680"/>
      <c r="N34" s="460"/>
      <c r="O34" s="1670">
        <f>'12-A. Print Sub-Annex'!P92</f>
        <v>0</v>
      </c>
      <c r="P34" s="1684"/>
      <c r="Q34" s="1671"/>
      <c r="R34" s="1670">
        <f>'12-A. Print Sub-Annex'!S92</f>
        <v>0</v>
      </c>
    </row>
    <row r="35" spans="1:18" x14ac:dyDescent="0.2">
      <c r="A35" s="1665" t="s">
        <v>1493</v>
      </c>
      <c r="B35" s="1666"/>
      <c r="C35" s="1667" t="s">
        <v>5202</v>
      </c>
      <c r="D35" s="1673" t="s">
        <v>85</v>
      </c>
      <c r="E35" s="1666" t="s">
        <v>150</v>
      </c>
      <c r="F35" s="460"/>
      <c r="G35" s="460"/>
      <c r="H35" s="1670">
        <f>'12-A. Print Sub-Annex'!I93</f>
        <v>0</v>
      </c>
      <c r="I35" s="1670">
        <f>'12-A. Print Sub-Annex'!J93</f>
        <v>0</v>
      </c>
      <c r="J35" s="1670">
        <f>'12-A. Print Sub-Annex'!K93</f>
        <v>0</v>
      </c>
      <c r="K35" s="1679"/>
      <c r="L35" s="460"/>
      <c r="M35" s="1680"/>
      <c r="N35" s="460"/>
      <c r="O35" s="1670">
        <f>'12-A. Print Sub-Annex'!P93</f>
        <v>0</v>
      </c>
      <c r="P35" s="1684"/>
      <c r="Q35" s="1671"/>
      <c r="R35" s="1670">
        <f>'12-A. Print Sub-Annex'!S93</f>
        <v>0</v>
      </c>
    </row>
    <row r="36" spans="1:18" x14ac:dyDescent="0.2">
      <c r="A36" s="1665" t="s">
        <v>1495</v>
      </c>
      <c r="B36" s="1666"/>
      <c r="C36" s="1667" t="s">
        <v>5203</v>
      </c>
      <c r="D36" s="1673" t="s">
        <v>85</v>
      </c>
      <c r="E36" s="1666" t="s">
        <v>399</v>
      </c>
      <c r="F36" s="460"/>
      <c r="G36" s="460"/>
      <c r="H36" s="1670">
        <f>'12-A. Print Sub-Annex'!I94</f>
        <v>0</v>
      </c>
      <c r="I36" s="1670">
        <f>'12-A. Print Sub-Annex'!J94</f>
        <v>0</v>
      </c>
      <c r="J36" s="1670">
        <f>'12-A. Print Sub-Annex'!K94</f>
        <v>0</v>
      </c>
      <c r="K36" s="1679"/>
      <c r="L36" s="460"/>
      <c r="M36" s="1680"/>
      <c r="N36" s="460"/>
      <c r="O36" s="1670">
        <f>'12-A. Print Sub-Annex'!P94</f>
        <v>0</v>
      </c>
      <c r="P36" s="1684"/>
      <c r="Q36" s="1671"/>
      <c r="R36" s="1670">
        <f>'12-A. Print Sub-Annex'!S94</f>
        <v>0</v>
      </c>
    </row>
    <row r="37" spans="1:18" x14ac:dyDescent="0.2">
      <c r="A37" s="1666" t="s">
        <v>1497</v>
      </c>
      <c r="B37" s="1666">
        <v>12.14</v>
      </c>
      <c r="C37" s="1667" t="s">
        <v>1559</v>
      </c>
      <c r="D37" s="1673" t="s">
        <v>85</v>
      </c>
      <c r="E37" s="1666" t="s">
        <v>152</v>
      </c>
      <c r="F37" s="460"/>
      <c r="G37" s="460"/>
      <c r="H37" s="1670">
        <f>'12-A. Print Sub-Annex'!I95</f>
        <v>0</v>
      </c>
      <c r="I37" s="1670">
        <f>'12-A. Print Sub-Annex'!J95</f>
        <v>0</v>
      </c>
      <c r="J37" s="1670">
        <f>'12-A. Print Sub-Annex'!K95</f>
        <v>0</v>
      </c>
      <c r="K37" s="1679"/>
      <c r="L37" s="460"/>
      <c r="M37" s="1680"/>
      <c r="N37" s="460"/>
      <c r="O37" s="1670">
        <f>'12-A. Print Sub-Annex'!P95</f>
        <v>0</v>
      </c>
      <c r="P37" s="1684"/>
      <c r="Q37" s="1671"/>
      <c r="R37" s="1670">
        <f>'12-A. Print Sub-Annex'!S95</f>
        <v>0</v>
      </c>
    </row>
    <row r="38" spans="1:18" x14ac:dyDescent="0.2">
      <c r="A38" s="1665" t="s">
        <v>2500</v>
      </c>
      <c r="B38" s="1666">
        <v>12.15</v>
      </c>
      <c r="C38" s="1667" t="s">
        <v>1564</v>
      </c>
      <c r="D38" s="1673" t="s">
        <v>85</v>
      </c>
      <c r="E38" s="1666" t="s">
        <v>415</v>
      </c>
      <c r="F38" s="460"/>
      <c r="G38" s="460"/>
      <c r="H38" s="1670">
        <f>'12-A. Print Sub-Annex'!I98</f>
        <v>0</v>
      </c>
      <c r="I38" s="1670">
        <f>'12-A. Print Sub-Annex'!J98</f>
        <v>0</v>
      </c>
      <c r="J38" s="1670">
        <f>'12-A. Print Sub-Annex'!K98</f>
        <v>0</v>
      </c>
      <c r="K38" s="1679"/>
      <c r="L38" s="460"/>
      <c r="M38" s="1680"/>
      <c r="N38" s="460"/>
      <c r="O38" s="1670">
        <f>'12-A. Print Sub-Annex'!P98</f>
        <v>0</v>
      </c>
      <c r="P38" s="1684"/>
      <c r="Q38" s="3629" t="s">
        <v>5920</v>
      </c>
      <c r="R38" s="1670">
        <f>'12-A. Print Sub-Annex'!S98</f>
        <v>0</v>
      </c>
    </row>
    <row r="39" spans="1:18" x14ac:dyDescent="0.2">
      <c r="A39" s="1665" t="s">
        <v>4151</v>
      </c>
      <c r="B39" s="1666"/>
      <c r="C39" s="1667" t="s">
        <v>5204</v>
      </c>
      <c r="D39" s="1673" t="s">
        <v>85</v>
      </c>
      <c r="E39" s="1666" t="s">
        <v>4925</v>
      </c>
      <c r="F39" s="460"/>
      <c r="G39" s="460"/>
      <c r="H39" s="1670">
        <f>'12-A. Print Sub-Annex'!I103</f>
        <v>0</v>
      </c>
      <c r="I39" s="1670">
        <f>'12-A. Print Sub-Annex'!J103</f>
        <v>0</v>
      </c>
      <c r="J39" s="1670">
        <f>'12-A. Print Sub-Annex'!K103</f>
        <v>0</v>
      </c>
      <c r="K39" s="1679"/>
      <c r="L39" s="460"/>
      <c r="M39" s="1680"/>
      <c r="N39" s="460"/>
      <c r="O39" s="1670">
        <f>'12-A. Print Sub-Annex'!P103</f>
        <v>0</v>
      </c>
      <c r="P39" s="1684"/>
      <c r="Q39" s="1671"/>
      <c r="R39" s="1670">
        <f>'12-A. Print Sub-Annex'!S103</f>
        <v>0</v>
      </c>
    </row>
    <row r="40" spans="1:18" x14ac:dyDescent="0.2">
      <c r="A40" s="1665" t="s">
        <v>5217</v>
      </c>
      <c r="B40" s="1666" t="s">
        <v>4002</v>
      </c>
      <c r="C40" s="1667" t="s">
        <v>4142</v>
      </c>
      <c r="D40" s="1673" t="s">
        <v>85</v>
      </c>
      <c r="E40" s="1666" t="s">
        <v>4132</v>
      </c>
      <c r="F40" s="460"/>
      <c r="G40" s="460"/>
      <c r="H40" s="1670">
        <f>'12-A. Print Sub-Annex'!I104</f>
        <v>0</v>
      </c>
      <c r="I40" s="1670">
        <f>'12-A. Print Sub-Annex'!J104</f>
        <v>0</v>
      </c>
      <c r="J40" s="1670">
        <f>'12-A. Print Sub-Annex'!K104</f>
        <v>0</v>
      </c>
      <c r="K40" s="1679"/>
      <c r="L40" s="460"/>
      <c r="M40" s="1680"/>
      <c r="N40" s="460"/>
      <c r="O40" s="1670">
        <f>'12-A. Print Sub-Annex'!P104</f>
        <v>0</v>
      </c>
      <c r="P40" s="1684"/>
      <c r="Q40" s="3629" t="s">
        <v>5920</v>
      </c>
      <c r="R40" s="1670">
        <f>'12-A. Print Sub-Annex'!S104</f>
        <v>0</v>
      </c>
    </row>
    <row r="41" spans="1:18" x14ac:dyDescent="0.2">
      <c r="A41" s="1665" t="s">
        <v>5218</v>
      </c>
      <c r="B41" s="1666"/>
      <c r="C41" s="1667" t="s">
        <v>5207</v>
      </c>
      <c r="D41" s="1673" t="s">
        <v>85</v>
      </c>
      <c r="E41" s="1666" t="s">
        <v>1020</v>
      </c>
      <c r="F41" s="460"/>
      <c r="G41" s="460"/>
      <c r="H41" s="1670">
        <f>'12-A. Print Sub-Annex'!I105</f>
        <v>0</v>
      </c>
      <c r="I41" s="1670">
        <f>'12-A. Print Sub-Annex'!J105</f>
        <v>0</v>
      </c>
      <c r="J41" s="1670">
        <f>'12-A. Print Sub-Annex'!K105</f>
        <v>0</v>
      </c>
      <c r="K41" s="1679"/>
      <c r="L41" s="460"/>
      <c r="M41" s="1680"/>
      <c r="N41" s="460"/>
      <c r="O41" s="1670">
        <f>'12-A. Print Sub-Annex'!P105</f>
        <v>0</v>
      </c>
      <c r="P41" s="1684"/>
      <c r="Q41" s="1671"/>
      <c r="R41" s="1670">
        <f>'12-A. Print Sub-Annex'!S105</f>
        <v>0</v>
      </c>
    </row>
    <row r="42" spans="1:18" x14ac:dyDescent="0.2">
      <c r="A42" s="1665" t="s">
        <v>5219</v>
      </c>
      <c r="B42" s="1666"/>
      <c r="C42" s="1667" t="s">
        <v>5209</v>
      </c>
      <c r="D42" s="1673" t="s">
        <v>85</v>
      </c>
      <c r="E42" s="1666" t="s">
        <v>1034</v>
      </c>
      <c r="F42" s="460"/>
      <c r="G42" s="460"/>
      <c r="H42" s="1670">
        <f>'12-A. Print Sub-Annex'!I106</f>
        <v>0</v>
      </c>
      <c r="I42" s="1670">
        <f>'12-A. Print Sub-Annex'!J106</f>
        <v>0</v>
      </c>
      <c r="J42" s="1670">
        <f>'12-A. Print Sub-Annex'!K106</f>
        <v>0</v>
      </c>
      <c r="K42" s="1679"/>
      <c r="L42" s="460"/>
      <c r="M42" s="1680"/>
      <c r="N42" s="460"/>
      <c r="O42" s="1670">
        <f>'12-A. Print Sub-Annex'!P106</f>
        <v>0</v>
      </c>
      <c r="P42" s="1684"/>
      <c r="Q42" s="1671"/>
      <c r="R42" s="1670">
        <f>'12-A. Print Sub-Annex'!S106</f>
        <v>0</v>
      </c>
    </row>
    <row r="43" spans="1:18" x14ac:dyDescent="0.2">
      <c r="A43" s="1665" t="s">
        <v>5220</v>
      </c>
      <c r="B43" s="1666"/>
      <c r="C43" s="1667" t="s">
        <v>5208</v>
      </c>
      <c r="D43" s="1673" t="s">
        <v>85</v>
      </c>
      <c r="E43" s="1666" t="s">
        <v>312</v>
      </c>
      <c r="F43" s="460"/>
      <c r="G43" s="460"/>
      <c r="H43" s="1670">
        <f>'12-A. Print Sub-Annex'!I107</f>
        <v>0</v>
      </c>
      <c r="I43" s="1670">
        <f>'12-A. Print Sub-Annex'!J107</f>
        <v>0</v>
      </c>
      <c r="J43" s="1670">
        <f>'12-A. Print Sub-Annex'!K107</f>
        <v>0</v>
      </c>
      <c r="K43" s="1679"/>
      <c r="L43" s="460"/>
      <c r="M43" s="1680"/>
      <c r="N43" s="460"/>
      <c r="O43" s="1670">
        <f>'12-A. Print Sub-Annex'!P107</f>
        <v>0</v>
      </c>
      <c r="P43" s="1684"/>
      <c r="Q43" s="1671"/>
      <c r="R43" s="1670">
        <f>'12-A. Print Sub-Annex'!S107</f>
        <v>0</v>
      </c>
    </row>
    <row r="44" spans="1:18" x14ac:dyDescent="0.2">
      <c r="A44" s="1665" t="s">
        <v>5221</v>
      </c>
      <c r="B44" s="1666"/>
      <c r="C44" s="1667" t="s">
        <v>5206</v>
      </c>
      <c r="D44" s="1673" t="s">
        <v>85</v>
      </c>
      <c r="E44" s="1666" t="s">
        <v>314</v>
      </c>
      <c r="F44" s="460"/>
      <c r="G44" s="460"/>
      <c r="H44" s="1670">
        <f>'12-A. Print Sub-Annex'!I108</f>
        <v>0</v>
      </c>
      <c r="I44" s="1670">
        <f>'12-A. Print Sub-Annex'!J108</f>
        <v>0</v>
      </c>
      <c r="J44" s="1670">
        <f>'12-A. Print Sub-Annex'!K108</f>
        <v>0</v>
      </c>
      <c r="K44" s="1679"/>
      <c r="L44" s="460"/>
      <c r="M44" s="1680"/>
      <c r="N44" s="460"/>
      <c r="O44" s="1670">
        <f>'12-A. Print Sub-Annex'!P108</f>
        <v>0</v>
      </c>
      <c r="P44" s="1684"/>
      <c r="Q44" s="1671"/>
      <c r="R44" s="1670">
        <f>'12-A. Print Sub-Annex'!S108</f>
        <v>0</v>
      </c>
    </row>
    <row r="45" spans="1:18" ht="30" x14ac:dyDescent="0.2">
      <c r="A45" s="1665" t="s">
        <v>5222</v>
      </c>
      <c r="B45" s="1666"/>
      <c r="C45" s="1667" t="s">
        <v>5205</v>
      </c>
      <c r="D45" s="1673" t="s">
        <v>85</v>
      </c>
      <c r="E45" s="1666" t="s">
        <v>4718</v>
      </c>
      <c r="F45" s="460"/>
      <c r="G45" s="460"/>
      <c r="H45" s="1670">
        <f>'12-A. Print Sub-Annex'!I109</f>
        <v>0</v>
      </c>
      <c r="I45" s="1670">
        <f>'12-A. Print Sub-Annex'!J109</f>
        <v>0</v>
      </c>
      <c r="J45" s="1670">
        <f>'12-A. Print Sub-Annex'!K109</f>
        <v>0</v>
      </c>
      <c r="K45" s="1679"/>
      <c r="L45" s="460"/>
      <c r="M45" s="1680"/>
      <c r="N45" s="460"/>
      <c r="O45" s="1670">
        <f>'12-A. Print Sub-Annex'!P109</f>
        <v>0</v>
      </c>
      <c r="P45" s="1684"/>
      <c r="Q45" s="1671"/>
      <c r="R45" s="1670">
        <f>'12-A. Print Sub-Annex'!S109</f>
        <v>0</v>
      </c>
    </row>
    <row r="48" spans="1:18" x14ac:dyDescent="0.2">
      <c r="N48" s="178" t="s">
        <v>5740</v>
      </c>
    </row>
    <row r="49" spans="14:14" x14ac:dyDescent="0.2">
      <c r="N49" s="178" t="s">
        <v>5741</v>
      </c>
    </row>
  </sheetData>
  <autoFilter ref="A6:BA45"/>
  <mergeCells count="15">
    <mergeCell ref="K5:P5"/>
    <mergeCell ref="Q5:R5"/>
    <mergeCell ref="A5:A6"/>
    <mergeCell ref="B5:B6"/>
    <mergeCell ref="C5:C6"/>
    <mergeCell ref="D5:D6"/>
    <mergeCell ref="E5:E6"/>
    <mergeCell ref="F5:J5"/>
    <mergeCell ref="AP1:BA1"/>
    <mergeCell ref="A2:A4"/>
    <mergeCell ref="A1:C1"/>
    <mergeCell ref="E1:E2"/>
    <mergeCell ref="F1:N1"/>
    <mergeCell ref="O1:AH1"/>
    <mergeCell ref="AI1:AO1"/>
  </mergeCells>
  <phoneticPr fontId="57"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BD113"/>
  <sheetViews>
    <sheetView zoomScale="60" zoomScaleNormal="60" workbookViewId="0">
      <pane xSplit="6" ySplit="4" topLeftCell="G5" activePane="bottomRight" state="frozen"/>
      <selection activeCell="A2" sqref="A2:A4"/>
      <selection pane="topRight" activeCell="A2" sqref="A2:A4"/>
      <selection pane="bottomLeft" activeCell="A2" sqref="A2:A4"/>
      <selection pane="bottomRight" activeCell="B15" sqref="B15"/>
    </sheetView>
  </sheetViews>
  <sheetFormatPr defaultColWidth="48.85546875" defaultRowHeight="15" x14ac:dyDescent="0.2"/>
  <cols>
    <col min="1" max="1" width="9" style="1693" bestFit="1" customWidth="1"/>
    <col min="2" max="2" width="16.140625" style="1693" bestFit="1" customWidth="1"/>
    <col min="3" max="3" width="16.5703125" style="1693" bestFit="1" customWidth="1"/>
    <col min="4" max="4" width="38" style="1718" bestFit="1" customWidth="1"/>
    <col min="5" max="5" width="9.5703125" style="1719" customWidth="1"/>
    <col min="6" max="6" width="22.42578125" style="1719" bestFit="1" customWidth="1"/>
    <col min="7" max="7" width="15.140625" style="1693" customWidth="1"/>
    <col min="8" max="8" width="17.85546875" style="1693" customWidth="1"/>
    <col min="9" max="10" width="15.140625" style="1693" customWidth="1"/>
    <col min="11" max="11" width="12.28515625" style="1693" customWidth="1"/>
    <col min="12" max="12" width="9.140625" style="1720" customWidth="1"/>
    <col min="13" max="13" width="9.85546875" style="1693" bestFit="1" customWidth="1"/>
    <col min="14" max="14" width="12.140625" style="1489" bestFit="1" customWidth="1"/>
    <col min="15" max="15" width="10.5703125" style="1693" bestFit="1" customWidth="1"/>
    <col min="16" max="16" width="12.140625" style="1489" bestFit="1" customWidth="1"/>
    <col min="17" max="17" width="31" style="1721" customWidth="1"/>
    <col min="18" max="18" width="40.42578125" style="1678" customWidth="1"/>
    <col min="19" max="19" width="11.140625" style="1489" customWidth="1"/>
    <col min="20" max="20" width="20.140625" style="1693" customWidth="1"/>
    <col min="21" max="21" width="17.42578125" style="1693" customWidth="1"/>
    <col min="22" max="16384" width="48.85546875" style="1693"/>
  </cols>
  <sheetData>
    <row r="1" spans="1:56" s="1087" customFormat="1" x14ac:dyDescent="0.2">
      <c r="A1" s="3879" t="s">
        <v>5195</v>
      </c>
      <c r="B1" s="3879"/>
      <c r="C1" s="3879"/>
      <c r="D1" s="3879"/>
      <c r="E1" s="1606"/>
      <c r="F1" s="1092"/>
      <c r="G1" s="1606"/>
      <c r="H1" s="1093"/>
      <c r="I1" s="1094"/>
      <c r="J1" s="1094"/>
      <c r="K1" s="1094"/>
      <c r="L1" s="1094"/>
      <c r="M1" s="1094"/>
      <c r="N1" s="1499"/>
      <c r="O1" s="1094"/>
      <c r="P1" s="1499"/>
      <c r="Q1" s="1094"/>
      <c r="R1" s="3412"/>
      <c r="S1" s="1499"/>
      <c r="T1" s="1094"/>
      <c r="U1" s="1094"/>
      <c r="V1" s="1094"/>
      <c r="W1" s="1094"/>
      <c r="X1" s="1094"/>
      <c r="Y1" s="1094"/>
      <c r="Z1" s="1094"/>
      <c r="AA1" s="1094"/>
      <c r="AB1" s="1094"/>
      <c r="AC1" s="1094"/>
      <c r="AD1" s="1094"/>
      <c r="AE1" s="1094"/>
      <c r="AF1" s="1094"/>
      <c r="AG1" s="1094"/>
      <c r="AH1" s="1094"/>
      <c r="AI1" s="1094"/>
      <c r="AJ1" s="1094"/>
      <c r="AK1" s="1094"/>
      <c r="AL1" s="1094"/>
      <c r="AM1" s="1094"/>
      <c r="AN1" s="1094"/>
      <c r="AO1" s="1094"/>
      <c r="AP1" s="1094"/>
      <c r="AQ1" s="1095"/>
      <c r="AR1" s="1095"/>
      <c r="AS1" s="1095"/>
      <c r="AT1" s="1095"/>
      <c r="AU1" s="1095"/>
      <c r="AV1" s="1095"/>
      <c r="AW1" s="1095"/>
      <c r="AX1" s="1306"/>
      <c r="AY1" s="1306"/>
      <c r="AZ1" s="1306"/>
      <c r="BA1" s="1306"/>
      <c r="BB1" s="1306"/>
      <c r="BC1" s="1306"/>
      <c r="BD1" s="1306"/>
    </row>
    <row r="2" spans="1:56" s="828" customFormat="1" x14ac:dyDescent="0.25">
      <c r="A2" s="1307" t="str">
        <f>HYPERLINK("#Index!A4", "Index Pg")</f>
        <v>Index Pg</v>
      </c>
      <c r="B2" s="831" t="str">
        <f>HYPERLINK("#'Budget Summary I'!A1:AL1", "Budget Summary I")</f>
        <v>Budget Summary I</v>
      </c>
      <c r="C2" s="831" t="str">
        <f>HYPERLINK("#'Budget Summary II'!A3:B5", "Budget Summary II")</f>
        <v>Budget Summary II</v>
      </c>
      <c r="D2" s="1308" t="str">
        <f>HYPERLINK("#'Summary of Abstracts'!A2", "Summary of Abst.")</f>
        <v>Summary of Abst.</v>
      </c>
      <c r="E2" s="940"/>
      <c r="F2" s="1092"/>
      <c r="G2" s="940"/>
      <c r="H2" s="1093"/>
      <c r="I2" s="1101"/>
      <c r="J2" s="1101"/>
      <c r="K2" s="1101"/>
      <c r="L2" s="1101"/>
      <c r="M2" s="1101"/>
      <c r="N2" s="1102"/>
      <c r="O2" s="1102"/>
      <c r="P2" s="1102"/>
      <c r="Q2" s="1102"/>
      <c r="R2" s="1103"/>
      <c r="S2" s="1103"/>
      <c r="T2" s="1103"/>
      <c r="U2" s="1103"/>
      <c r="V2" s="1103"/>
      <c r="W2" s="1103"/>
      <c r="X2" s="1103"/>
      <c r="Y2" s="1103"/>
      <c r="Z2" s="1103"/>
      <c r="AA2" s="1103"/>
      <c r="AB2" s="1103"/>
      <c r="AC2" s="1103"/>
      <c r="AD2" s="1103"/>
      <c r="AE2" s="1103"/>
      <c r="AF2" s="1103"/>
      <c r="AG2" s="1103"/>
      <c r="AH2" s="1103"/>
      <c r="AI2" s="1103"/>
      <c r="AJ2" s="1103"/>
      <c r="AK2" s="1103"/>
      <c r="AL2" s="1103"/>
      <c r="AM2" s="1100"/>
      <c r="AN2" s="1100"/>
      <c r="AO2" s="1100"/>
      <c r="AP2" s="1100"/>
      <c r="AQ2" s="1100"/>
      <c r="AR2" s="1100"/>
      <c r="AS2" s="1100"/>
      <c r="AT2" s="1100"/>
      <c r="AU2" s="1100"/>
      <c r="AV2" s="1100"/>
      <c r="AW2" s="1100"/>
      <c r="AX2" s="1309"/>
      <c r="AY2" s="1309"/>
      <c r="AZ2" s="1309"/>
      <c r="BA2" s="1309"/>
      <c r="BB2" s="1309"/>
      <c r="BC2" s="1309"/>
      <c r="BD2" s="1309"/>
    </row>
    <row r="3" spans="1:56" s="1608" customFormat="1" x14ac:dyDescent="0.2">
      <c r="A3" s="3823" t="s">
        <v>5058</v>
      </c>
      <c r="B3" s="3823" t="s">
        <v>54</v>
      </c>
      <c r="C3" s="3823"/>
      <c r="D3" s="3823" t="s">
        <v>55</v>
      </c>
      <c r="E3" s="3823" t="s">
        <v>56</v>
      </c>
      <c r="F3" s="3823" t="s">
        <v>57</v>
      </c>
      <c r="G3" s="3876" t="s">
        <v>4629</v>
      </c>
      <c r="H3" s="3876"/>
      <c r="I3" s="3876"/>
      <c r="J3" s="3876"/>
      <c r="K3" s="3876"/>
      <c r="L3" s="3876" t="s">
        <v>4640</v>
      </c>
      <c r="M3" s="3876"/>
      <c r="N3" s="3876"/>
      <c r="O3" s="3876"/>
      <c r="P3" s="3876"/>
      <c r="Q3" s="3876"/>
      <c r="R3" s="3823" t="s">
        <v>4670</v>
      </c>
      <c r="S3" s="3823"/>
    </row>
    <row r="4" spans="1:56" s="1260" customFormat="1" ht="60" x14ac:dyDescent="0.2">
      <c r="A4" s="3823"/>
      <c r="B4" s="3823"/>
      <c r="C4" s="3823"/>
      <c r="D4" s="3823"/>
      <c r="E4" s="3823"/>
      <c r="F4" s="3823"/>
      <c r="G4" s="896" t="s">
        <v>4630</v>
      </c>
      <c r="H4" s="896" t="s">
        <v>4638</v>
      </c>
      <c r="I4" s="896" t="s">
        <v>4631</v>
      </c>
      <c r="J4" s="896" t="s">
        <v>4639</v>
      </c>
      <c r="K4" s="896" t="s">
        <v>2538</v>
      </c>
      <c r="L4" s="897" t="s">
        <v>58</v>
      </c>
      <c r="M4" s="897" t="s">
        <v>59</v>
      </c>
      <c r="N4" s="898" t="s">
        <v>60</v>
      </c>
      <c r="O4" s="897" t="s">
        <v>61</v>
      </c>
      <c r="P4" s="898" t="s">
        <v>62</v>
      </c>
      <c r="Q4" s="897" t="s">
        <v>5547</v>
      </c>
      <c r="R4" s="1609" t="s">
        <v>2540</v>
      </c>
      <c r="S4" s="1686" t="s">
        <v>4671</v>
      </c>
      <c r="T4" s="3448" t="s">
        <v>4724</v>
      </c>
    </row>
    <row r="5" spans="1:56" s="1265" customFormat="1" x14ac:dyDescent="0.2">
      <c r="A5" s="3959" t="s">
        <v>5196</v>
      </c>
      <c r="B5" s="3959"/>
      <c r="C5" s="3959"/>
      <c r="D5" s="3959"/>
      <c r="E5" s="1611"/>
      <c r="F5" s="1611"/>
      <c r="G5" s="1612"/>
      <c r="H5" s="1612"/>
      <c r="I5" s="1612"/>
      <c r="J5" s="1612"/>
      <c r="K5" s="1612"/>
      <c r="L5" s="1612"/>
      <c r="M5" s="1612"/>
      <c r="N5" s="1613"/>
      <c r="O5" s="1612"/>
      <c r="P5" s="1614"/>
      <c r="Q5" s="1615"/>
      <c r="R5" s="3415"/>
      <c r="S5" s="1518"/>
    </row>
    <row r="6" spans="1:56" s="1257" customFormat="1" x14ac:dyDescent="0.2">
      <c r="A6" s="1687" t="s">
        <v>4358</v>
      </c>
      <c r="B6" s="1266">
        <v>12.1</v>
      </c>
      <c r="C6" s="1106"/>
      <c r="D6" s="1106" t="s">
        <v>1451</v>
      </c>
      <c r="E6" s="1688"/>
      <c r="F6" s="1688"/>
      <c r="G6" s="1106"/>
      <c r="H6" s="1106"/>
      <c r="I6" s="1450"/>
      <c r="J6" s="1450"/>
      <c r="K6" s="1450"/>
      <c r="L6" s="1106"/>
      <c r="M6" s="1106"/>
      <c r="N6" s="1450"/>
      <c r="O6" s="1106"/>
      <c r="P6" s="1450">
        <f>SUM(P7:P11)</f>
        <v>0</v>
      </c>
      <c r="Q6" s="1689"/>
      <c r="R6" s="3414"/>
      <c r="S6" s="1503">
        <f>SUM(S7:S11)</f>
        <v>0</v>
      </c>
      <c r="T6" s="1257">
        <f>SUM(T7:T109)</f>
        <v>0</v>
      </c>
    </row>
    <row r="7" spans="1:56" x14ac:dyDescent="0.2">
      <c r="A7" s="1690">
        <v>1</v>
      </c>
      <c r="B7" s="1690" t="s">
        <v>1452</v>
      </c>
      <c r="C7" s="502" t="s">
        <v>769</v>
      </c>
      <c r="D7" s="502" t="s">
        <v>1453</v>
      </c>
      <c r="E7" s="1668" t="s">
        <v>90</v>
      </c>
      <c r="F7" s="1691" t="s">
        <v>118</v>
      </c>
      <c r="G7" s="458"/>
      <c r="H7" s="458"/>
      <c r="I7" s="458"/>
      <c r="J7" s="2878"/>
      <c r="K7" s="458"/>
      <c r="L7" s="458"/>
      <c r="M7" s="304"/>
      <c r="N7" s="327"/>
      <c r="O7" s="304"/>
      <c r="P7" s="1456">
        <f>N7*O7</f>
        <v>0</v>
      </c>
      <c r="Q7" s="719"/>
      <c r="R7" s="3416">
        <f>'Ab1. RMNCH+A'!Q97</f>
        <v>0</v>
      </c>
      <c r="S7" s="1692">
        <f>'Ab1. RMNCH+A'!R97</f>
        <v>0</v>
      </c>
    </row>
    <row r="8" spans="1:56" ht="30" x14ac:dyDescent="0.2">
      <c r="A8" s="1690">
        <v>2</v>
      </c>
      <c r="B8" s="1695" t="s">
        <v>1454</v>
      </c>
      <c r="C8" s="502" t="s">
        <v>1455</v>
      </c>
      <c r="D8" s="502" t="s">
        <v>1456</v>
      </c>
      <c r="E8" s="1668" t="s">
        <v>90</v>
      </c>
      <c r="F8" s="1669" t="s">
        <v>118</v>
      </c>
      <c r="G8" s="2683"/>
      <c r="H8" s="2684"/>
      <c r="I8" s="2685"/>
      <c r="J8" s="2684"/>
      <c r="K8" s="2684"/>
      <c r="L8" s="2686"/>
      <c r="M8" s="2683"/>
      <c r="N8" s="327"/>
      <c r="O8" s="2693"/>
      <c r="P8" s="1456">
        <f>N8*O8</f>
        <v>0</v>
      </c>
      <c r="Q8" s="2690"/>
      <c r="R8" s="3416">
        <f>'Ab1. RMNCH+A'!Q98</f>
        <v>0</v>
      </c>
      <c r="S8" s="1692">
        <f>'Ab1. RMNCH+A'!R98</f>
        <v>0</v>
      </c>
    </row>
    <row r="9" spans="1:56" ht="30" x14ac:dyDescent="0.2">
      <c r="A9" s="1690">
        <v>3</v>
      </c>
      <c r="B9" s="1695" t="s">
        <v>1457</v>
      </c>
      <c r="C9" s="510"/>
      <c r="D9" s="502" t="s">
        <v>4119</v>
      </c>
      <c r="E9" s="1668" t="s">
        <v>90</v>
      </c>
      <c r="F9" s="1669" t="s">
        <v>118</v>
      </c>
      <c r="G9" s="2598"/>
      <c r="H9" s="2684"/>
      <c r="I9" s="2685"/>
      <c r="J9" s="2684"/>
      <c r="K9" s="2684"/>
      <c r="L9" s="2686"/>
      <c r="M9" s="2598"/>
      <c r="N9" s="327"/>
      <c r="O9" s="2688"/>
      <c r="P9" s="1456">
        <f>N9*O9</f>
        <v>0</v>
      </c>
      <c r="Q9" s="2691"/>
      <c r="R9" s="3416">
        <f>'Ab1. RMNCH+A'!Q99</f>
        <v>0</v>
      </c>
      <c r="S9" s="1692">
        <f>'Ab1. RMNCH+A'!R99</f>
        <v>0</v>
      </c>
    </row>
    <row r="10" spans="1:56" x14ac:dyDescent="0.2">
      <c r="A10" s="1690">
        <v>4</v>
      </c>
      <c r="B10" s="1690" t="s">
        <v>2464</v>
      </c>
      <c r="C10" s="510"/>
      <c r="D10" s="502" t="s">
        <v>2482</v>
      </c>
      <c r="E10" s="1668" t="s">
        <v>90</v>
      </c>
      <c r="F10" s="1669" t="s">
        <v>131</v>
      </c>
      <c r="G10" s="2687"/>
      <c r="H10" s="2688"/>
      <c r="I10" s="2688"/>
      <c r="J10" s="2684"/>
      <c r="K10" s="2688"/>
      <c r="L10" s="2688"/>
      <c r="M10" s="2687"/>
      <c r="N10" s="327"/>
      <c r="O10" s="2688"/>
      <c r="P10" s="1456">
        <f>N10*O10</f>
        <v>0</v>
      </c>
      <c r="Q10" s="2692"/>
      <c r="R10" s="3416">
        <f>'Ab1. RMNCH+A'!Q181</f>
        <v>0</v>
      </c>
      <c r="S10" s="1692">
        <f>'Ab1. RMNCH+A'!R181</f>
        <v>0</v>
      </c>
    </row>
    <row r="11" spans="1:56" x14ac:dyDescent="0.2">
      <c r="A11" s="1690">
        <v>5</v>
      </c>
      <c r="B11" s="1690" t="s">
        <v>2481</v>
      </c>
      <c r="C11" s="510"/>
      <c r="D11" s="502" t="s">
        <v>1310</v>
      </c>
      <c r="E11" s="1668" t="s">
        <v>90</v>
      </c>
      <c r="F11" s="1669" t="s">
        <v>118</v>
      </c>
      <c r="G11" s="2543"/>
      <c r="H11" s="2688"/>
      <c r="I11" s="2688"/>
      <c r="J11" s="2684"/>
      <c r="K11" s="2688"/>
      <c r="L11" s="2689"/>
      <c r="M11" s="2543"/>
      <c r="N11" s="327"/>
      <c r="O11" s="2688"/>
      <c r="P11" s="1456">
        <f>N11*O11</f>
        <v>0</v>
      </c>
      <c r="Q11" s="2691"/>
      <c r="R11" s="3416">
        <f>'Ab1. RMNCH+A'!Q100</f>
        <v>0</v>
      </c>
      <c r="S11" s="1692">
        <f>'Ab1. RMNCH+A'!R100</f>
        <v>0</v>
      </c>
    </row>
    <row r="12" spans="1:56" x14ac:dyDescent="0.2">
      <c r="A12" s="1694" t="s">
        <v>4359</v>
      </c>
      <c r="B12" s="1266">
        <v>12.2</v>
      </c>
      <c r="C12" s="1106"/>
      <c r="D12" s="1106" t="s">
        <v>1458</v>
      </c>
      <c r="E12" s="1688"/>
      <c r="F12" s="1688"/>
      <c r="G12" s="295"/>
      <c r="H12" s="295"/>
      <c r="I12" s="1450"/>
      <c r="J12" s="1450"/>
      <c r="K12" s="1450"/>
      <c r="L12" s="295"/>
      <c r="M12" s="295"/>
      <c r="N12" s="1450"/>
      <c r="O12" s="295"/>
      <c r="P12" s="1450">
        <f>SUM(P13:P26)</f>
        <v>0</v>
      </c>
      <c r="Q12" s="718"/>
      <c r="R12" s="3414"/>
      <c r="S12" s="1503">
        <f>SUM(S13:S26)</f>
        <v>0</v>
      </c>
    </row>
    <row r="13" spans="1:56" ht="30" x14ac:dyDescent="0.2">
      <c r="A13" s="1690">
        <v>1</v>
      </c>
      <c r="B13" s="1690" t="s">
        <v>1459</v>
      </c>
      <c r="C13" s="502" t="s">
        <v>829</v>
      </c>
      <c r="D13" s="502" t="s">
        <v>3368</v>
      </c>
      <c r="E13" s="1668" t="s">
        <v>90</v>
      </c>
      <c r="F13" s="1691" t="s">
        <v>131</v>
      </c>
      <c r="G13" s="458"/>
      <c r="H13" s="458"/>
      <c r="I13" s="458"/>
      <c r="J13" s="2878"/>
      <c r="K13" s="458"/>
      <c r="L13" s="458"/>
      <c r="M13" s="304"/>
      <c r="N13" s="327"/>
      <c r="O13" s="304"/>
      <c r="P13" s="1456">
        <f>N13*O13</f>
        <v>0</v>
      </c>
      <c r="Q13" s="719"/>
      <c r="R13" s="3416">
        <f>'Ab1. RMNCH+A'!Q182</f>
        <v>0</v>
      </c>
      <c r="S13" s="1692">
        <f>'Ab1. RMNCH+A'!R182</f>
        <v>0</v>
      </c>
    </row>
    <row r="14" spans="1:56" ht="45" x14ac:dyDescent="0.2">
      <c r="A14" s="1690">
        <v>2</v>
      </c>
      <c r="B14" s="1690" t="s">
        <v>1460</v>
      </c>
      <c r="C14" s="502" t="s">
        <v>832</v>
      </c>
      <c r="D14" s="495" t="s">
        <v>4375</v>
      </c>
      <c r="E14" s="1668" t="s">
        <v>90</v>
      </c>
      <c r="F14" s="1691" t="s">
        <v>131</v>
      </c>
      <c r="G14" s="2687"/>
      <c r="H14" s="2688"/>
      <c r="I14" s="2688"/>
      <c r="J14" s="2688"/>
      <c r="K14" s="2688"/>
      <c r="L14" s="2688"/>
      <c r="M14" s="2687"/>
      <c r="N14" s="327"/>
      <c r="O14" s="2688"/>
      <c r="P14" s="1456">
        <f>N14*O14</f>
        <v>0</v>
      </c>
      <c r="Q14" s="2251"/>
      <c r="R14" s="3416">
        <f>'Ab1. RMNCH+A'!Q183</f>
        <v>0</v>
      </c>
      <c r="S14" s="1692">
        <f>'Ab1. RMNCH+A'!R183</f>
        <v>0</v>
      </c>
    </row>
    <row r="15" spans="1:56" ht="90" x14ac:dyDescent="0.2">
      <c r="A15" s="1690">
        <v>3</v>
      </c>
      <c r="B15" s="1690" t="s">
        <v>1461</v>
      </c>
      <c r="C15" s="502" t="s">
        <v>132</v>
      </c>
      <c r="D15" s="495" t="s">
        <v>3369</v>
      </c>
      <c r="E15" s="1668" t="s">
        <v>90</v>
      </c>
      <c r="F15" s="1691" t="s">
        <v>131</v>
      </c>
      <c r="G15" s="2687"/>
      <c r="H15" s="2688"/>
      <c r="I15" s="2688"/>
      <c r="J15" s="2688"/>
      <c r="K15" s="2688"/>
      <c r="L15" s="2688"/>
      <c r="M15" s="2687"/>
      <c r="N15" s="327"/>
      <c r="O15" s="2688"/>
      <c r="P15" s="1456">
        <f>N15*O15</f>
        <v>0</v>
      </c>
      <c r="Q15" s="2252"/>
      <c r="R15" s="3416">
        <f>'Ab1. RMNCH+A'!Q184</f>
        <v>0</v>
      </c>
      <c r="S15" s="1692">
        <f>'Ab1. RMNCH+A'!R184</f>
        <v>0</v>
      </c>
    </row>
    <row r="16" spans="1:56" x14ac:dyDescent="0.2">
      <c r="A16" s="1690">
        <v>4</v>
      </c>
      <c r="B16" s="1690" t="s">
        <v>1462</v>
      </c>
      <c r="C16" s="1345" t="s">
        <v>835</v>
      </c>
      <c r="D16" s="502" t="s">
        <v>1463</v>
      </c>
      <c r="E16" s="1668" t="s">
        <v>90</v>
      </c>
      <c r="F16" s="1691" t="s">
        <v>131</v>
      </c>
      <c r="G16" s="2687"/>
      <c r="H16" s="2688"/>
      <c r="I16" s="2688"/>
      <c r="J16" s="2688"/>
      <c r="K16" s="2688"/>
      <c r="L16" s="2688"/>
      <c r="M16" s="2687"/>
      <c r="N16" s="327"/>
      <c r="O16" s="2688"/>
      <c r="P16" s="1456">
        <f>N16*O16</f>
        <v>0</v>
      </c>
      <c r="Q16" s="2695"/>
      <c r="R16" s="3416">
        <f>'Ab1. RMNCH+A'!Q185</f>
        <v>0</v>
      </c>
      <c r="S16" s="1692">
        <f>'Ab1. RMNCH+A'!R185</f>
        <v>0</v>
      </c>
    </row>
    <row r="17" spans="1:19" ht="60" x14ac:dyDescent="0.2">
      <c r="A17" s="1690">
        <v>5</v>
      </c>
      <c r="B17" s="1690" t="s">
        <v>1464</v>
      </c>
      <c r="C17" s="502" t="s">
        <v>1465</v>
      </c>
      <c r="D17" s="502" t="s">
        <v>1466</v>
      </c>
      <c r="E17" s="1668" t="s">
        <v>90</v>
      </c>
      <c r="F17" s="1669" t="s">
        <v>131</v>
      </c>
      <c r="G17" s="2687"/>
      <c r="H17" s="2688"/>
      <c r="I17" s="2688"/>
      <c r="J17" s="2688"/>
      <c r="K17" s="2688"/>
      <c r="L17" s="2688"/>
      <c r="M17" s="2687"/>
      <c r="N17" s="327"/>
      <c r="O17" s="2688"/>
      <c r="P17" s="1456">
        <f>N17*O17</f>
        <v>0</v>
      </c>
      <c r="Q17" s="2252"/>
      <c r="R17" s="3416">
        <f>'Ab1. RMNCH+A'!Q186</f>
        <v>0</v>
      </c>
      <c r="S17" s="1692">
        <f>'Ab1. RMNCH+A'!R186</f>
        <v>0</v>
      </c>
    </row>
    <row r="18" spans="1:19" ht="45" x14ac:dyDescent="0.2">
      <c r="A18" s="1690">
        <v>6</v>
      </c>
      <c r="B18" s="1690" t="s">
        <v>1467</v>
      </c>
      <c r="C18" s="502" t="s">
        <v>1468</v>
      </c>
      <c r="D18" s="502" t="s">
        <v>1469</v>
      </c>
      <c r="E18" s="1668" t="s">
        <v>90</v>
      </c>
      <c r="F18" s="1669" t="s">
        <v>131</v>
      </c>
      <c r="G18" s="2598"/>
      <c r="H18" s="2684"/>
      <c r="I18" s="2685"/>
      <c r="J18" s="2684"/>
      <c r="K18" s="2684"/>
      <c r="L18" s="2686"/>
      <c r="M18" s="2598"/>
      <c r="N18" s="327"/>
      <c r="O18" s="2688"/>
      <c r="P18" s="1456">
        <f t="shared" ref="P18:P23" si="0">N18*O18</f>
        <v>0</v>
      </c>
      <c r="Q18" s="2691"/>
      <c r="R18" s="3416">
        <f>'Ab1. RMNCH+A'!Q187</f>
        <v>0</v>
      </c>
      <c r="S18" s="1692">
        <f>'Ab1. RMNCH+A'!R187</f>
        <v>0</v>
      </c>
    </row>
    <row r="19" spans="1:19" ht="30" x14ac:dyDescent="0.2">
      <c r="A19" s="1690">
        <v>7</v>
      </c>
      <c r="B19" s="1695" t="s">
        <v>1470</v>
      </c>
      <c r="C19" s="502" t="s">
        <v>1471</v>
      </c>
      <c r="D19" s="502" t="s">
        <v>1472</v>
      </c>
      <c r="E19" s="1668" t="s">
        <v>90</v>
      </c>
      <c r="F19" s="1669" t="s">
        <v>131</v>
      </c>
      <c r="G19" s="2598"/>
      <c r="H19" s="2684"/>
      <c r="I19" s="2685"/>
      <c r="J19" s="2684"/>
      <c r="K19" s="2684"/>
      <c r="L19" s="2686"/>
      <c r="M19" s="2598"/>
      <c r="N19" s="327"/>
      <c r="O19" s="2688"/>
      <c r="P19" s="1456">
        <f t="shared" si="0"/>
        <v>0</v>
      </c>
      <c r="Q19" s="2691"/>
      <c r="R19" s="3416">
        <f>'Ab1. RMNCH+A'!Q188</f>
        <v>0</v>
      </c>
      <c r="S19" s="1692">
        <f>'Ab1. RMNCH+A'!R188</f>
        <v>0</v>
      </c>
    </row>
    <row r="20" spans="1:19" ht="45" x14ac:dyDescent="0.2">
      <c r="A20" s="1690">
        <v>8</v>
      </c>
      <c r="B20" s="1690" t="s">
        <v>1473</v>
      </c>
      <c r="C20" s="502" t="s">
        <v>1474</v>
      </c>
      <c r="D20" s="502" t="s">
        <v>1475</v>
      </c>
      <c r="E20" s="1668" t="s">
        <v>90</v>
      </c>
      <c r="F20" s="1669" t="s">
        <v>131</v>
      </c>
      <c r="G20" s="2687"/>
      <c r="H20" s="2689"/>
      <c r="I20" s="2689"/>
      <c r="J20" s="2686"/>
      <c r="K20" s="2689"/>
      <c r="L20" s="2688"/>
      <c r="M20" s="2687"/>
      <c r="N20" s="327"/>
      <c r="O20" s="2688"/>
      <c r="P20" s="1456">
        <f t="shared" si="0"/>
        <v>0</v>
      </c>
      <c r="Q20" s="2695"/>
      <c r="R20" s="3416">
        <f>'Ab1. RMNCH+A'!Q189</f>
        <v>0</v>
      </c>
      <c r="S20" s="1692">
        <f>'Ab1. RMNCH+A'!R189</f>
        <v>0</v>
      </c>
    </row>
    <row r="21" spans="1:19" ht="30" x14ac:dyDescent="0.2">
      <c r="A21" s="1690">
        <v>9</v>
      </c>
      <c r="B21" s="1690" t="s">
        <v>1476</v>
      </c>
      <c r="C21" s="510"/>
      <c r="D21" s="502" t="s">
        <v>2469</v>
      </c>
      <c r="E21" s="1668" t="s">
        <v>90</v>
      </c>
      <c r="F21" s="1669" t="s">
        <v>131</v>
      </c>
      <c r="G21" s="2687"/>
      <c r="H21" s="2688"/>
      <c r="I21" s="2688"/>
      <c r="J21" s="2684"/>
      <c r="K21" s="2688"/>
      <c r="L21" s="2688"/>
      <c r="M21" s="2687"/>
      <c r="N21" s="327"/>
      <c r="O21" s="2688"/>
      <c r="P21" s="1456">
        <f t="shared" si="0"/>
        <v>0</v>
      </c>
      <c r="Q21" s="2695"/>
      <c r="R21" s="3416">
        <f>'Ab1. RMNCH+A'!Q190</f>
        <v>0</v>
      </c>
      <c r="S21" s="1692">
        <f>'Ab1. RMNCH+A'!R190</f>
        <v>0</v>
      </c>
    </row>
    <row r="22" spans="1:19" x14ac:dyDescent="0.2">
      <c r="A22" s="1690">
        <v>10</v>
      </c>
      <c r="B22" s="1690" t="s">
        <v>2465</v>
      </c>
      <c r="C22" s="510"/>
      <c r="D22" s="502" t="s">
        <v>2466</v>
      </c>
      <c r="E22" s="1668" t="s">
        <v>90</v>
      </c>
      <c r="F22" s="1669" t="s">
        <v>131</v>
      </c>
      <c r="G22" s="2598"/>
      <c r="H22" s="2684"/>
      <c r="I22" s="2685"/>
      <c r="J22" s="2684"/>
      <c r="K22" s="2684"/>
      <c r="L22" s="2686"/>
      <c r="M22" s="2598"/>
      <c r="N22" s="327"/>
      <c r="O22" s="2688"/>
      <c r="P22" s="1456">
        <f t="shared" si="0"/>
        <v>0</v>
      </c>
      <c r="Q22" s="3012"/>
      <c r="R22" s="3416">
        <f>'Ab1. RMNCH+A'!Q191</f>
        <v>0</v>
      </c>
      <c r="S22" s="1692">
        <f>'Ab1. RMNCH+A'!R191</f>
        <v>0</v>
      </c>
    </row>
    <row r="23" spans="1:19" ht="30" x14ac:dyDescent="0.2">
      <c r="A23" s="1690">
        <v>11</v>
      </c>
      <c r="B23" s="1690" t="s">
        <v>2468</v>
      </c>
      <c r="C23" s="510"/>
      <c r="D23" s="502" t="s">
        <v>2479</v>
      </c>
      <c r="E23" s="1668" t="s">
        <v>90</v>
      </c>
      <c r="F23" s="1669" t="s">
        <v>131</v>
      </c>
      <c r="G23" s="2687"/>
      <c r="H23" s="2688"/>
      <c r="I23" s="2694"/>
      <c r="J23" s="2694"/>
      <c r="K23" s="2688"/>
      <c r="L23" s="2688"/>
      <c r="M23" s="2687"/>
      <c r="N23" s="327"/>
      <c r="O23" s="2688"/>
      <c r="P23" s="1456">
        <f t="shared" si="0"/>
        <v>0</v>
      </c>
      <c r="Q23" s="2692"/>
      <c r="R23" s="3416">
        <f>'Ab1. RMNCH+A'!Q192</f>
        <v>0</v>
      </c>
      <c r="S23" s="1692">
        <f>'Ab1. RMNCH+A'!R192</f>
        <v>0</v>
      </c>
    </row>
    <row r="24" spans="1:19" x14ac:dyDescent="0.2">
      <c r="A24" s="1690">
        <v>12</v>
      </c>
      <c r="B24" s="1690" t="s">
        <v>2478</v>
      </c>
      <c r="C24" s="510"/>
      <c r="D24" s="555" t="s">
        <v>3370</v>
      </c>
      <c r="E24" s="1668" t="s">
        <v>90</v>
      </c>
      <c r="F24" s="847" t="s">
        <v>131</v>
      </c>
      <c r="G24" s="2543"/>
      <c r="H24" s="2688"/>
      <c r="I24" s="2688"/>
      <c r="J24" s="2688"/>
      <c r="K24" s="2688"/>
      <c r="L24" s="2689"/>
      <c r="M24" s="2543"/>
      <c r="N24" s="327"/>
      <c r="O24" s="2688"/>
      <c r="P24" s="1456">
        <f>N24*O24</f>
        <v>0</v>
      </c>
      <c r="Q24" s="2690"/>
      <c r="R24" s="3416">
        <f>'Ab1. RMNCH+A'!Q193</f>
        <v>0</v>
      </c>
      <c r="S24" s="1692">
        <f>'Ab1. RMNCH+A'!R193</f>
        <v>0</v>
      </c>
    </row>
    <row r="25" spans="1:19" ht="30" x14ac:dyDescent="0.25">
      <c r="A25" s="1690">
        <v>13</v>
      </c>
      <c r="B25" s="1695" t="s">
        <v>3373</v>
      </c>
      <c r="C25" s="510"/>
      <c r="D25" s="1696" t="s">
        <v>4791</v>
      </c>
      <c r="E25" s="1668" t="s">
        <v>90</v>
      </c>
      <c r="F25" s="1691" t="s">
        <v>131</v>
      </c>
      <c r="G25" s="2687"/>
      <c r="H25" s="2688"/>
      <c r="I25" s="2688"/>
      <c r="J25" s="2688"/>
      <c r="K25" s="2688"/>
      <c r="L25" s="2688"/>
      <c r="M25" s="2687"/>
      <c r="N25" s="327"/>
      <c r="O25" s="2688"/>
      <c r="P25" s="1456">
        <f>N25*O25</f>
        <v>0</v>
      </c>
      <c r="Q25" s="2696"/>
      <c r="R25" s="3416">
        <f>'Ab1. RMNCH+A'!Q194</f>
        <v>0</v>
      </c>
      <c r="S25" s="1692">
        <f>'Ab1. RMNCH+A'!R194</f>
        <v>0</v>
      </c>
    </row>
    <row r="26" spans="1:19" x14ac:dyDescent="0.2">
      <c r="A26" s="1690">
        <v>14</v>
      </c>
      <c r="B26" s="1690" t="s">
        <v>4790</v>
      </c>
      <c r="C26" s="1690" t="s">
        <v>2478</v>
      </c>
      <c r="D26" s="502" t="s">
        <v>1310</v>
      </c>
      <c r="E26" s="1668" t="s">
        <v>90</v>
      </c>
      <c r="F26" s="1669" t="s">
        <v>131</v>
      </c>
      <c r="G26" s="458"/>
      <c r="H26" s="458"/>
      <c r="I26" s="458"/>
      <c r="J26" s="2878"/>
      <c r="K26" s="458"/>
      <c r="L26" s="458"/>
      <c r="M26" s="304"/>
      <c r="N26" s="327"/>
      <c r="O26" s="304"/>
      <c r="P26" s="1456">
        <f>N26*O26</f>
        <v>0</v>
      </c>
      <c r="Q26" s="719"/>
      <c r="R26" s="3416">
        <f>'Ab1. RMNCH+A'!Q195</f>
        <v>0</v>
      </c>
      <c r="S26" s="1692">
        <f>'Ab1. RMNCH+A'!R195</f>
        <v>0</v>
      </c>
    </row>
    <row r="27" spans="1:19" x14ac:dyDescent="0.2">
      <c r="A27" s="1694" t="s">
        <v>4362</v>
      </c>
      <c r="B27" s="1266">
        <v>12.3</v>
      </c>
      <c r="C27" s="1106"/>
      <c r="D27" s="1106" t="s">
        <v>1477</v>
      </c>
      <c r="E27" s="1688"/>
      <c r="F27" s="1688"/>
      <c r="G27" s="295"/>
      <c r="H27" s="295"/>
      <c r="I27" s="1450"/>
      <c r="J27" s="1450"/>
      <c r="K27" s="1450"/>
      <c r="L27" s="295"/>
      <c r="M27" s="295"/>
      <c r="N27" s="1450"/>
      <c r="O27" s="295"/>
      <c r="P27" s="1450">
        <f>SUM(P28:P32)</f>
        <v>0</v>
      </c>
      <c r="Q27" s="718"/>
      <c r="R27" s="3414"/>
      <c r="S27" s="1503">
        <f>SUM(S28:S32)</f>
        <v>0</v>
      </c>
    </row>
    <row r="28" spans="1:19" ht="29.1" customHeight="1" x14ac:dyDescent="0.2">
      <c r="A28" s="1690">
        <v>1</v>
      </c>
      <c r="B28" s="1690" t="s">
        <v>1478</v>
      </c>
      <c r="C28" s="502" t="s">
        <v>885</v>
      </c>
      <c r="D28" s="502" t="s">
        <v>1479</v>
      </c>
      <c r="E28" s="1668" t="s">
        <v>90</v>
      </c>
      <c r="F28" s="1691" t="s">
        <v>91</v>
      </c>
      <c r="G28" s="380"/>
      <c r="H28" s="380"/>
      <c r="I28" s="380"/>
      <c r="J28" s="380"/>
      <c r="K28" s="380"/>
      <c r="L28" s="458"/>
      <c r="M28" s="304"/>
      <c r="N28" s="327"/>
      <c r="O28" s="304"/>
      <c r="P28" s="1456">
        <f>N28*O28</f>
        <v>0</v>
      </c>
      <c r="Q28" s="719"/>
      <c r="R28" s="3416">
        <f>'Ab1. RMNCH+A'!Q278</f>
        <v>0</v>
      </c>
      <c r="S28" s="1692">
        <f>'Ab1. RMNCH+A'!R278</f>
        <v>0</v>
      </c>
    </row>
    <row r="29" spans="1:19" ht="30" x14ac:dyDescent="0.2">
      <c r="A29" s="1690">
        <v>2</v>
      </c>
      <c r="B29" s="1690" t="s">
        <v>1480</v>
      </c>
      <c r="C29" s="1345" t="s">
        <v>1360</v>
      </c>
      <c r="D29" s="502" t="s">
        <v>1481</v>
      </c>
      <c r="E29" s="1668" t="s">
        <v>90</v>
      </c>
      <c r="F29" s="1691" t="s">
        <v>91</v>
      </c>
      <c r="G29" s="458"/>
      <c r="H29" s="458"/>
      <c r="I29" s="458"/>
      <c r="J29" s="2878"/>
      <c r="K29" s="458"/>
      <c r="L29" s="458"/>
      <c r="M29" s="304"/>
      <c r="N29" s="327"/>
      <c r="O29" s="304"/>
      <c r="P29" s="1456">
        <f>N29*O29</f>
        <v>0</v>
      </c>
      <c r="Q29" s="719"/>
      <c r="R29" s="3416">
        <f>'Ab1. RMNCH+A'!Q279</f>
        <v>0</v>
      </c>
      <c r="S29" s="1692">
        <f>'Ab1. RMNCH+A'!R279</f>
        <v>0</v>
      </c>
    </row>
    <row r="30" spans="1:19" x14ac:dyDescent="0.2">
      <c r="A30" s="1690">
        <v>3</v>
      </c>
      <c r="B30" s="1690" t="s">
        <v>1482</v>
      </c>
      <c r="C30" s="502" t="s">
        <v>1483</v>
      </c>
      <c r="D30" s="502" t="s">
        <v>1484</v>
      </c>
      <c r="E30" s="1668" t="s">
        <v>90</v>
      </c>
      <c r="F30" s="1691" t="s">
        <v>91</v>
      </c>
      <c r="G30" s="2598"/>
      <c r="H30" s="2684"/>
      <c r="I30" s="2685"/>
      <c r="J30" s="2684"/>
      <c r="K30" s="2684"/>
      <c r="L30" s="2686"/>
      <c r="M30" s="2598"/>
      <c r="N30" s="327"/>
      <c r="O30" s="304"/>
      <c r="P30" s="1456">
        <f>N30*O30</f>
        <v>0</v>
      </c>
      <c r="Q30" s="720"/>
      <c r="R30" s="3416">
        <f>'Ab1. RMNCH+A'!Q280</f>
        <v>0</v>
      </c>
      <c r="S30" s="1692">
        <f>'Ab1. RMNCH+A'!R280</f>
        <v>0</v>
      </c>
    </row>
    <row r="31" spans="1:19" ht="30" x14ac:dyDescent="0.2">
      <c r="A31" s="1690">
        <v>4</v>
      </c>
      <c r="B31" s="1695" t="s">
        <v>1485</v>
      </c>
      <c r="C31" s="502" t="s">
        <v>1486</v>
      </c>
      <c r="D31" s="502" t="s">
        <v>1487</v>
      </c>
      <c r="E31" s="1668" t="s">
        <v>90</v>
      </c>
      <c r="F31" s="1669" t="s">
        <v>91</v>
      </c>
      <c r="G31" s="2598"/>
      <c r="H31" s="2684"/>
      <c r="I31" s="2685"/>
      <c r="J31" s="2684"/>
      <c r="K31" s="2684"/>
      <c r="L31" s="2686"/>
      <c r="M31" s="2598"/>
      <c r="N31" s="327"/>
      <c r="O31" s="2684"/>
      <c r="P31" s="1456">
        <f>N31*O31</f>
        <v>0</v>
      </c>
      <c r="Q31" s="2246"/>
      <c r="R31" s="3416">
        <f>'Ab1. RMNCH+A'!Q281</f>
        <v>0</v>
      </c>
      <c r="S31" s="1692">
        <f>'Ab1. RMNCH+A'!R281</f>
        <v>0</v>
      </c>
    </row>
    <row r="32" spans="1:19" x14ac:dyDescent="0.2">
      <c r="A32" s="1690">
        <v>5</v>
      </c>
      <c r="B32" s="1695" t="s">
        <v>1488</v>
      </c>
      <c r="C32" s="510"/>
      <c r="D32" s="502" t="s">
        <v>1310</v>
      </c>
      <c r="E32" s="1668" t="s">
        <v>90</v>
      </c>
      <c r="F32" s="1669" t="s">
        <v>91</v>
      </c>
      <c r="G32" s="2687"/>
      <c r="H32" s="2688"/>
      <c r="I32" s="2688"/>
      <c r="J32" s="2688"/>
      <c r="K32" s="2688"/>
      <c r="L32" s="2689"/>
      <c r="M32" s="2543"/>
      <c r="N32" s="327"/>
      <c r="O32" s="2688"/>
      <c r="P32" s="1456">
        <f>N32*O32</f>
        <v>0</v>
      </c>
      <c r="Q32" s="2690"/>
      <c r="R32" s="3416">
        <f>'Ab1. RMNCH+A'!Q282</f>
        <v>0</v>
      </c>
      <c r="S32" s="1692">
        <f>'Ab1. RMNCH+A'!R282</f>
        <v>0</v>
      </c>
    </row>
    <row r="33" spans="1:19" x14ac:dyDescent="0.2">
      <c r="A33" s="1694" t="s">
        <v>4363</v>
      </c>
      <c r="B33" s="1266">
        <v>12.4</v>
      </c>
      <c r="C33" s="1106"/>
      <c r="D33" s="1106" t="s">
        <v>1489</v>
      </c>
      <c r="E33" s="1688"/>
      <c r="F33" s="1688"/>
      <c r="G33" s="295"/>
      <c r="H33" s="295"/>
      <c r="I33" s="1450"/>
      <c r="J33" s="1450"/>
      <c r="K33" s="1450"/>
      <c r="L33" s="295"/>
      <c r="M33" s="295"/>
      <c r="N33" s="1450"/>
      <c r="O33" s="295"/>
      <c r="P33" s="1450">
        <f>SUM(P34:P39)</f>
        <v>0</v>
      </c>
      <c r="Q33" s="718"/>
      <c r="R33" s="3414"/>
      <c r="S33" s="1503">
        <f>SUM(S34:S39)</f>
        <v>0</v>
      </c>
    </row>
    <row r="34" spans="1:19" x14ac:dyDescent="0.2">
      <c r="A34" s="1690">
        <v>1</v>
      </c>
      <c r="B34" s="1690" t="s">
        <v>1490</v>
      </c>
      <c r="C34" s="1667" t="s">
        <v>1491</v>
      </c>
      <c r="D34" s="1667" t="s">
        <v>1492</v>
      </c>
      <c r="E34" s="1668" t="s">
        <v>90</v>
      </c>
      <c r="F34" s="1691" t="s">
        <v>193</v>
      </c>
      <c r="G34" s="380"/>
      <c r="H34" s="380"/>
      <c r="I34" s="380"/>
      <c r="J34" s="380"/>
      <c r="K34" s="380"/>
      <c r="L34" s="458"/>
      <c r="M34" s="304"/>
      <c r="N34" s="327"/>
      <c r="O34" s="304"/>
      <c r="P34" s="1456">
        <f t="shared" ref="P34:P39" si="1">N34*O34</f>
        <v>0</v>
      </c>
      <c r="Q34" s="719"/>
      <c r="R34" s="3416">
        <f>'Ab1. RMNCH+A'!Q335</f>
        <v>0</v>
      </c>
      <c r="S34" s="1692">
        <f>'Ab1. RMNCH+A'!R335</f>
        <v>0</v>
      </c>
    </row>
    <row r="35" spans="1:19" ht="30" x14ac:dyDescent="0.2">
      <c r="A35" s="1690">
        <v>2</v>
      </c>
      <c r="B35" s="1690" t="s">
        <v>1493</v>
      </c>
      <c r="C35" s="502" t="s">
        <v>1494</v>
      </c>
      <c r="D35" s="502" t="s">
        <v>2499</v>
      </c>
      <c r="E35" s="1668" t="s">
        <v>90</v>
      </c>
      <c r="F35" s="1669" t="s">
        <v>193</v>
      </c>
      <c r="G35" s="2687"/>
      <c r="H35" s="2688"/>
      <c r="I35" s="2688"/>
      <c r="J35" s="2688"/>
      <c r="K35" s="2688"/>
      <c r="L35" s="2688"/>
      <c r="M35" s="2543"/>
      <c r="N35" s="327"/>
      <c r="O35" s="2688"/>
      <c r="P35" s="1456">
        <f t="shared" si="1"/>
        <v>0</v>
      </c>
      <c r="Q35" s="2246"/>
      <c r="R35" s="3416">
        <f>'Ab1. RMNCH+A'!Q336</f>
        <v>0</v>
      </c>
      <c r="S35" s="1692">
        <f>'Ab1. RMNCH+A'!R336</f>
        <v>0</v>
      </c>
    </row>
    <row r="36" spans="1:19" ht="30" x14ac:dyDescent="0.2">
      <c r="A36" s="1690">
        <v>3</v>
      </c>
      <c r="B36" s="1690" t="s">
        <v>1495</v>
      </c>
      <c r="C36" s="502" t="s">
        <v>1496</v>
      </c>
      <c r="D36" s="502" t="s">
        <v>2501</v>
      </c>
      <c r="E36" s="1668" t="s">
        <v>90</v>
      </c>
      <c r="F36" s="1669" t="s">
        <v>193</v>
      </c>
      <c r="G36" s="461"/>
      <c r="H36" s="461"/>
      <c r="I36" s="461"/>
      <c r="J36" s="461"/>
      <c r="K36" s="461"/>
      <c r="L36" s="458"/>
      <c r="M36" s="304"/>
      <c r="N36" s="327"/>
      <c r="O36" s="304"/>
      <c r="P36" s="1456">
        <f t="shared" si="1"/>
        <v>0</v>
      </c>
      <c r="Q36" s="719"/>
      <c r="R36" s="3416">
        <f>'Ab1. RMNCH+A'!Q337</f>
        <v>0</v>
      </c>
      <c r="S36" s="1692">
        <f>'Ab1. RMNCH+A'!R337</f>
        <v>0</v>
      </c>
    </row>
    <row r="37" spans="1:19" ht="45" x14ac:dyDescent="0.2">
      <c r="A37" s="1690">
        <v>4</v>
      </c>
      <c r="B37" s="1690" t="s">
        <v>1497</v>
      </c>
      <c r="C37" s="510"/>
      <c r="D37" s="502" t="s">
        <v>4120</v>
      </c>
      <c r="E37" s="1668" t="s">
        <v>90</v>
      </c>
      <c r="F37" s="1669" t="s">
        <v>193</v>
      </c>
      <c r="G37" s="458"/>
      <c r="H37" s="458"/>
      <c r="I37" s="458"/>
      <c r="J37" s="2878"/>
      <c r="K37" s="458"/>
      <c r="L37" s="458"/>
      <c r="M37" s="304"/>
      <c r="N37" s="327"/>
      <c r="O37" s="304"/>
      <c r="P37" s="1456">
        <f t="shared" si="1"/>
        <v>0</v>
      </c>
      <c r="Q37" s="719"/>
      <c r="R37" s="3416">
        <f>'Ab1. RMNCH+A'!Q338</f>
        <v>0</v>
      </c>
      <c r="S37" s="1692">
        <f>'Ab1. RMNCH+A'!R338</f>
        <v>0</v>
      </c>
    </row>
    <row r="38" spans="1:19" ht="30" x14ac:dyDescent="0.2">
      <c r="A38" s="1690">
        <v>5</v>
      </c>
      <c r="B38" s="1690" t="s">
        <v>2500</v>
      </c>
      <c r="C38" s="510"/>
      <c r="D38" s="502" t="s">
        <v>4152</v>
      </c>
      <c r="E38" s="1668" t="s">
        <v>90</v>
      </c>
      <c r="F38" s="1669" t="s">
        <v>193</v>
      </c>
      <c r="G38" s="458"/>
      <c r="H38" s="458"/>
      <c r="I38" s="458"/>
      <c r="J38" s="2878"/>
      <c r="K38" s="458"/>
      <c r="L38" s="458"/>
      <c r="M38" s="304"/>
      <c r="N38" s="327"/>
      <c r="O38" s="304"/>
      <c r="P38" s="1456">
        <f t="shared" si="1"/>
        <v>0</v>
      </c>
      <c r="Q38" s="719"/>
      <c r="R38" s="3416">
        <f>'Ab1. RMNCH+A'!Q339</f>
        <v>0</v>
      </c>
      <c r="S38" s="1692">
        <f>'Ab1. RMNCH+A'!R339</f>
        <v>0</v>
      </c>
    </row>
    <row r="39" spans="1:19" x14ac:dyDescent="0.2">
      <c r="A39" s="1690">
        <v>6</v>
      </c>
      <c r="B39" s="1690" t="s">
        <v>4151</v>
      </c>
      <c r="C39" s="510"/>
      <c r="D39" s="502" t="s">
        <v>1310</v>
      </c>
      <c r="E39" s="1668" t="s">
        <v>90</v>
      </c>
      <c r="F39" s="1669" t="s">
        <v>193</v>
      </c>
      <c r="G39" s="461"/>
      <c r="H39" s="461"/>
      <c r="I39" s="461"/>
      <c r="J39" s="461"/>
      <c r="K39" s="461"/>
      <c r="L39" s="458"/>
      <c r="M39" s="304"/>
      <c r="N39" s="327"/>
      <c r="O39" s="304"/>
      <c r="P39" s="1456">
        <f t="shared" si="1"/>
        <v>0</v>
      </c>
      <c r="Q39" s="719"/>
      <c r="R39" s="3416">
        <f>'Ab1. RMNCH+A'!Q340</f>
        <v>0</v>
      </c>
      <c r="S39" s="1692">
        <f>'Ab1. RMNCH+A'!R340</f>
        <v>0</v>
      </c>
    </row>
    <row r="40" spans="1:19" x14ac:dyDescent="0.2">
      <c r="A40" s="1694" t="s">
        <v>4364</v>
      </c>
      <c r="B40" s="1266">
        <v>12.5</v>
      </c>
      <c r="C40" s="1106"/>
      <c r="D40" s="1106" t="s">
        <v>1498</v>
      </c>
      <c r="E40" s="1688"/>
      <c r="F40" s="1688"/>
      <c r="G40" s="295"/>
      <c r="H40" s="295"/>
      <c r="I40" s="1450"/>
      <c r="J40" s="1450"/>
      <c r="K40" s="1450"/>
      <c r="L40" s="295"/>
      <c r="M40" s="295"/>
      <c r="N40" s="1450"/>
      <c r="O40" s="295"/>
      <c r="P40" s="1450">
        <f>SUM(P41:P46)</f>
        <v>0</v>
      </c>
      <c r="Q40" s="718"/>
      <c r="R40" s="3414"/>
      <c r="S40" s="1503">
        <f>SUM(S41:S46)</f>
        <v>0</v>
      </c>
    </row>
    <row r="41" spans="1:19" ht="30" x14ac:dyDescent="0.2">
      <c r="A41" s="1690">
        <v>1</v>
      </c>
      <c r="B41" s="1690" t="s">
        <v>1499</v>
      </c>
      <c r="C41" s="502" t="s">
        <v>1500</v>
      </c>
      <c r="D41" s="502" t="s">
        <v>1501</v>
      </c>
      <c r="E41" s="1668" t="s">
        <v>90</v>
      </c>
      <c r="F41" s="1691" t="s">
        <v>96</v>
      </c>
      <c r="G41" s="380"/>
      <c r="H41" s="380"/>
      <c r="I41" s="459"/>
      <c r="J41" s="2892"/>
      <c r="K41" s="380"/>
      <c r="L41" s="460"/>
      <c r="M41" s="304"/>
      <c r="N41" s="327"/>
      <c r="O41" s="304"/>
      <c r="P41" s="1456">
        <f t="shared" ref="P41:P46" si="2">N41*O41</f>
        <v>0</v>
      </c>
      <c r="Q41" s="707"/>
      <c r="R41" s="3416">
        <f>'Ab1. RMNCH+A'!Q371</f>
        <v>0</v>
      </c>
      <c r="S41" s="1692">
        <f>'Ab1. RMNCH+A'!R371</f>
        <v>0</v>
      </c>
    </row>
    <row r="42" spans="1:19" x14ac:dyDescent="0.2">
      <c r="A42" s="1690">
        <v>2</v>
      </c>
      <c r="B42" s="1690" t="s">
        <v>1502</v>
      </c>
      <c r="C42" s="502" t="s">
        <v>1503</v>
      </c>
      <c r="D42" s="1698" t="s">
        <v>1504</v>
      </c>
      <c r="E42" s="1668" t="s">
        <v>90</v>
      </c>
      <c r="F42" s="1691" t="s">
        <v>96</v>
      </c>
      <c r="G42" s="2687"/>
      <c r="H42" s="2687"/>
      <c r="I42" s="2694"/>
      <c r="J42" s="2694"/>
      <c r="K42" s="2687"/>
      <c r="L42" s="2688"/>
      <c r="M42" s="2687"/>
      <c r="N42" s="327"/>
      <c r="O42" s="304"/>
      <c r="P42" s="1456">
        <f t="shared" si="2"/>
        <v>0</v>
      </c>
      <c r="Q42" s="707"/>
      <c r="R42" s="3416">
        <f>'Ab1. RMNCH+A'!Q372</f>
        <v>0</v>
      </c>
      <c r="S42" s="1692">
        <f>'Ab1. RMNCH+A'!R372</f>
        <v>0</v>
      </c>
    </row>
    <row r="43" spans="1:19" x14ac:dyDescent="0.2">
      <c r="A43" s="1690">
        <v>3</v>
      </c>
      <c r="B43" s="1690" t="s">
        <v>1505</v>
      </c>
      <c r="C43" s="502" t="s">
        <v>1506</v>
      </c>
      <c r="D43" s="1698" t="s">
        <v>1507</v>
      </c>
      <c r="E43" s="1668" t="s">
        <v>90</v>
      </c>
      <c r="F43" s="1691" t="s">
        <v>96</v>
      </c>
      <c r="G43" s="2687"/>
      <c r="H43" s="2687"/>
      <c r="I43" s="2694"/>
      <c r="J43" s="2694"/>
      <c r="K43" s="2687"/>
      <c r="L43" s="2688"/>
      <c r="M43" s="2687"/>
      <c r="N43" s="327"/>
      <c r="O43" s="304"/>
      <c r="P43" s="1456">
        <f t="shared" si="2"/>
        <v>0</v>
      </c>
      <c r="Q43" s="707"/>
      <c r="R43" s="3416">
        <f>'Ab1. RMNCH+A'!Q373</f>
        <v>0</v>
      </c>
      <c r="S43" s="1692">
        <f>'Ab1. RMNCH+A'!R373</f>
        <v>0</v>
      </c>
    </row>
    <row r="44" spans="1:19" x14ac:dyDescent="0.2">
      <c r="A44" s="1690">
        <v>4</v>
      </c>
      <c r="B44" s="1690" t="s">
        <v>1508</v>
      </c>
      <c r="C44" s="502" t="s">
        <v>1509</v>
      </c>
      <c r="D44" s="502" t="s">
        <v>1510</v>
      </c>
      <c r="E44" s="1668" t="s">
        <v>90</v>
      </c>
      <c r="F44" s="1669" t="s">
        <v>96</v>
      </c>
      <c r="G44" s="2697"/>
      <c r="H44" s="2698"/>
      <c r="I44" s="2685"/>
      <c r="J44" s="2699"/>
      <c r="K44" s="2700"/>
      <c r="L44" s="2689"/>
      <c r="M44" s="2697"/>
      <c r="N44" s="327"/>
      <c r="O44" s="2698"/>
      <c r="P44" s="1456">
        <f t="shared" si="2"/>
        <v>0</v>
      </c>
      <c r="Q44" s="2691"/>
      <c r="R44" s="3416">
        <f>'Ab1. RMNCH+A'!Q374</f>
        <v>0</v>
      </c>
      <c r="S44" s="1692">
        <f>'Ab1. RMNCH+A'!R374</f>
        <v>0</v>
      </c>
    </row>
    <row r="45" spans="1:19" x14ac:dyDescent="0.2">
      <c r="A45" s="1690">
        <v>5</v>
      </c>
      <c r="B45" s="1690" t="s">
        <v>1511</v>
      </c>
      <c r="C45" s="502" t="s">
        <v>1512</v>
      </c>
      <c r="D45" s="502" t="s">
        <v>1513</v>
      </c>
      <c r="E45" s="1668" t="s">
        <v>90</v>
      </c>
      <c r="F45" s="1669" t="s">
        <v>96</v>
      </c>
      <c r="G45" s="2697"/>
      <c r="H45" s="2698"/>
      <c r="I45" s="2685"/>
      <c r="J45" s="2699"/>
      <c r="K45" s="2700"/>
      <c r="L45" s="2689"/>
      <c r="M45" s="2697"/>
      <c r="N45" s="327"/>
      <c r="O45" s="2688"/>
      <c r="P45" s="1456">
        <f t="shared" si="2"/>
        <v>0</v>
      </c>
      <c r="Q45" s="2691"/>
      <c r="R45" s="3416">
        <f>'Ab1. RMNCH+A'!Q375</f>
        <v>0</v>
      </c>
      <c r="S45" s="1692">
        <f>'Ab1. RMNCH+A'!R375</f>
        <v>0</v>
      </c>
    </row>
    <row r="46" spans="1:19" x14ac:dyDescent="0.2">
      <c r="A46" s="1690">
        <v>6</v>
      </c>
      <c r="B46" s="1690" t="s">
        <v>1514</v>
      </c>
      <c r="C46" s="510"/>
      <c r="D46" s="502" t="s">
        <v>1310</v>
      </c>
      <c r="E46" s="1668" t="s">
        <v>90</v>
      </c>
      <c r="F46" s="1669" t="s">
        <v>96</v>
      </c>
      <c r="G46" s="2697"/>
      <c r="H46" s="2700"/>
      <c r="I46" s="2685"/>
      <c r="J46" s="2700"/>
      <c r="K46" s="2700"/>
      <c r="L46" s="2689"/>
      <c r="M46" s="2697"/>
      <c r="N46" s="327"/>
      <c r="O46" s="2688"/>
      <c r="P46" s="1456">
        <f t="shared" si="2"/>
        <v>0</v>
      </c>
      <c r="Q46" s="2691"/>
      <c r="R46" s="3416">
        <f>'Ab1. RMNCH+A'!Q376</f>
        <v>0</v>
      </c>
      <c r="S46" s="1692">
        <f>'Ab1. RMNCH+A'!R376</f>
        <v>0</v>
      </c>
    </row>
    <row r="47" spans="1:19" x14ac:dyDescent="0.2">
      <c r="A47" s="1694" t="s">
        <v>4673</v>
      </c>
      <c r="B47" s="1699">
        <v>12.1</v>
      </c>
      <c r="C47" s="1106"/>
      <c r="D47" s="1106" t="s">
        <v>1537</v>
      </c>
      <c r="E47" s="1688"/>
      <c r="F47" s="1688"/>
      <c r="G47" s="295"/>
      <c r="H47" s="295"/>
      <c r="I47" s="1450"/>
      <c r="J47" s="1450"/>
      <c r="K47" s="1450"/>
      <c r="L47" s="295"/>
      <c r="M47" s="295"/>
      <c r="N47" s="1450"/>
      <c r="O47" s="295"/>
      <c r="P47" s="1450">
        <f>SUM(P48:P49)</f>
        <v>0</v>
      </c>
      <c r="Q47" s="718"/>
      <c r="R47" s="3414"/>
      <c r="S47" s="1503">
        <f>SUM(S48:S49)</f>
        <v>0</v>
      </c>
    </row>
    <row r="48" spans="1:19" ht="45" x14ac:dyDescent="0.2">
      <c r="A48" s="1690">
        <v>1</v>
      </c>
      <c r="B48" s="1695" t="s">
        <v>1538</v>
      </c>
      <c r="C48" s="502" t="s">
        <v>1539</v>
      </c>
      <c r="D48" s="502" t="s">
        <v>1540</v>
      </c>
      <c r="E48" s="1668" t="s">
        <v>90</v>
      </c>
      <c r="F48" s="1669" t="s">
        <v>205</v>
      </c>
      <c r="G48" s="2697"/>
      <c r="H48" s="2702"/>
      <c r="I48" s="2704"/>
      <c r="J48" s="2702"/>
      <c r="K48" s="2701"/>
      <c r="L48" s="2689"/>
      <c r="M48" s="304"/>
      <c r="N48" s="327"/>
      <c r="O48" s="2693"/>
      <c r="P48" s="1456">
        <f>N48*O48</f>
        <v>0</v>
      </c>
      <c r="Q48" s="3040"/>
      <c r="R48" s="3416">
        <f>'Ab1. RMNCH+A'!Q421</f>
        <v>0</v>
      </c>
      <c r="S48" s="1692">
        <f>'Ab1. RMNCH+A'!R421</f>
        <v>0</v>
      </c>
    </row>
    <row r="49" spans="1:19" x14ac:dyDescent="0.2">
      <c r="A49" s="1690">
        <v>2</v>
      </c>
      <c r="B49" s="1690" t="s">
        <v>1541</v>
      </c>
      <c r="C49" s="510"/>
      <c r="D49" s="502" t="s">
        <v>1310</v>
      </c>
      <c r="E49" s="1668" t="s">
        <v>90</v>
      </c>
      <c r="F49" s="1669" t="s">
        <v>205</v>
      </c>
      <c r="G49" s="461"/>
      <c r="H49" s="461"/>
      <c r="I49" s="461"/>
      <c r="J49" s="461"/>
      <c r="K49" s="461"/>
      <c r="L49" s="458"/>
      <c r="M49" s="304"/>
      <c r="N49" s="327"/>
      <c r="O49" s="304"/>
      <c r="P49" s="1456">
        <f>N49*O49</f>
        <v>0</v>
      </c>
      <c r="Q49" s="719"/>
      <c r="R49" s="3416">
        <f>'Ab1. RMNCH+A'!Q422</f>
        <v>0</v>
      </c>
      <c r="S49" s="1692">
        <f>'Ab1. RMNCH+A'!R422</f>
        <v>0</v>
      </c>
    </row>
    <row r="50" spans="1:19" x14ac:dyDescent="0.2">
      <c r="A50" s="1694" t="s">
        <v>4674</v>
      </c>
      <c r="B50" s="1266">
        <v>12.18</v>
      </c>
      <c r="C50" s="1106"/>
      <c r="D50" s="1106" t="s">
        <v>5210</v>
      </c>
      <c r="E50" s="1688"/>
      <c r="F50" s="1688"/>
      <c r="G50" s="295"/>
      <c r="H50" s="295"/>
      <c r="I50" s="1450"/>
      <c r="J50" s="1450"/>
      <c r="K50" s="1450"/>
      <c r="L50" s="295"/>
      <c r="M50" s="295"/>
      <c r="N50" s="1450"/>
      <c r="O50" s="295"/>
      <c r="P50" s="1450">
        <f>SUM(P51:P53)</f>
        <v>0</v>
      </c>
      <c r="Q50" s="718"/>
      <c r="R50" s="3414"/>
      <c r="S50" s="1503">
        <f>SUM(S51:S53)</f>
        <v>0</v>
      </c>
    </row>
    <row r="51" spans="1:19" x14ac:dyDescent="0.2">
      <c r="A51" s="1690">
        <v>1</v>
      </c>
      <c r="B51" s="1690" t="s">
        <v>3808</v>
      </c>
      <c r="C51" s="502" t="s">
        <v>1573</v>
      </c>
      <c r="D51" s="555" t="s">
        <v>3371</v>
      </c>
      <c r="E51" s="1668" t="s">
        <v>90</v>
      </c>
      <c r="F51" s="1639" t="s">
        <v>1134</v>
      </c>
      <c r="G51" s="461"/>
      <c r="H51" s="461"/>
      <c r="I51" s="461"/>
      <c r="J51" s="461"/>
      <c r="K51" s="461"/>
      <c r="L51" s="458"/>
      <c r="M51" s="304"/>
      <c r="N51" s="327"/>
      <c r="O51" s="304"/>
      <c r="P51" s="1456">
        <f>N51*O51</f>
        <v>0</v>
      </c>
      <c r="Q51" s="719"/>
      <c r="R51" s="3416">
        <f>'Ab1. RMNCH+A'!Q387</f>
        <v>0</v>
      </c>
      <c r="S51" s="1692">
        <f>'Ab1. RMNCH+A'!R387</f>
        <v>0</v>
      </c>
    </row>
    <row r="52" spans="1:19" x14ac:dyDescent="0.25">
      <c r="A52" s="1690">
        <v>2</v>
      </c>
      <c r="B52" s="1690" t="s">
        <v>3809</v>
      </c>
      <c r="C52" s="1695"/>
      <c r="D52" s="1700" t="s">
        <v>3372</v>
      </c>
      <c r="E52" s="1668" t="s">
        <v>90</v>
      </c>
      <c r="F52" s="1639" t="s">
        <v>1134</v>
      </c>
      <c r="G52" s="458"/>
      <c r="H52" s="458"/>
      <c r="I52" s="458"/>
      <c r="J52" s="2878"/>
      <c r="K52" s="458"/>
      <c r="L52" s="458"/>
      <c r="M52" s="304"/>
      <c r="N52" s="327"/>
      <c r="O52" s="304"/>
      <c r="P52" s="1456">
        <f>N52*O52</f>
        <v>0</v>
      </c>
      <c r="Q52" s="719"/>
      <c r="R52" s="3416">
        <f>'Ab1. RMNCH+A'!Q388</f>
        <v>0</v>
      </c>
      <c r="S52" s="1692">
        <f>'Ab1. RMNCH+A'!R388</f>
        <v>0</v>
      </c>
    </row>
    <row r="53" spans="1:19" x14ac:dyDescent="0.2">
      <c r="A53" s="1690">
        <v>3</v>
      </c>
      <c r="B53" s="1690"/>
      <c r="C53" s="1695"/>
      <c r="D53" s="502" t="s">
        <v>1310</v>
      </c>
      <c r="E53" s="1668" t="s">
        <v>90</v>
      </c>
      <c r="F53" s="1639" t="s">
        <v>1134</v>
      </c>
      <c r="G53" s="458"/>
      <c r="H53" s="458"/>
      <c r="I53" s="458"/>
      <c r="J53" s="2878"/>
      <c r="K53" s="458"/>
      <c r="L53" s="458"/>
      <c r="M53" s="304"/>
      <c r="N53" s="327"/>
      <c r="O53" s="304"/>
      <c r="P53" s="1456">
        <f>N53*O53</f>
        <v>0</v>
      </c>
      <c r="Q53" s="719"/>
      <c r="R53" s="3416">
        <f>'Ab1. RMNCH+A'!Q389</f>
        <v>0</v>
      </c>
      <c r="S53" s="1692">
        <f>'Ab1. RMNCH+A'!R389</f>
        <v>0</v>
      </c>
    </row>
    <row r="54" spans="1:19" s="1265" customFormat="1" x14ac:dyDescent="0.2">
      <c r="A54" s="3959" t="s">
        <v>5197</v>
      </c>
      <c r="B54" s="3959"/>
      <c r="C54" s="3959"/>
      <c r="D54" s="3959"/>
      <c r="E54" s="1611"/>
      <c r="F54" s="1611"/>
      <c r="G54" s="644"/>
      <c r="H54" s="644"/>
      <c r="I54" s="644"/>
      <c r="J54" s="644"/>
      <c r="K54" s="644"/>
      <c r="L54" s="644"/>
      <c r="M54" s="644"/>
      <c r="N54" s="1613"/>
      <c r="O54" s="644"/>
      <c r="P54" s="1614"/>
      <c r="Q54" s="708"/>
      <c r="R54" s="3415"/>
      <c r="S54" s="1518"/>
    </row>
    <row r="55" spans="1:19" x14ac:dyDescent="0.2">
      <c r="A55" s="1694" t="s">
        <v>4358</v>
      </c>
      <c r="B55" s="1266">
        <v>12.6</v>
      </c>
      <c r="C55" s="1106"/>
      <c r="D55" s="1106" t="s">
        <v>1515</v>
      </c>
      <c r="E55" s="1688"/>
      <c r="F55" s="1688"/>
      <c r="G55" s="295"/>
      <c r="H55" s="295"/>
      <c r="I55" s="1450"/>
      <c r="J55" s="1450"/>
      <c r="K55" s="1450"/>
      <c r="L55" s="295"/>
      <c r="M55" s="295"/>
      <c r="N55" s="1450"/>
      <c r="O55" s="295"/>
      <c r="P55" s="1450">
        <f>SUM(P56:P57)</f>
        <v>0</v>
      </c>
      <c r="Q55" s="718"/>
      <c r="R55" s="3414"/>
      <c r="S55" s="1503">
        <f>SUM(S56:S57)</f>
        <v>0</v>
      </c>
    </row>
    <row r="56" spans="1:19" x14ac:dyDescent="0.2">
      <c r="A56" s="1690">
        <v>1</v>
      </c>
      <c r="B56" s="1690" t="s">
        <v>1516</v>
      </c>
      <c r="C56" s="502" t="s">
        <v>759</v>
      </c>
      <c r="D56" s="502" t="s">
        <v>1517</v>
      </c>
      <c r="E56" s="886" t="s">
        <v>70</v>
      </c>
      <c r="F56" s="1669" t="s">
        <v>742</v>
      </c>
      <c r="G56" s="461"/>
      <c r="H56" s="461"/>
      <c r="I56" s="461"/>
      <c r="J56" s="461"/>
      <c r="K56" s="461"/>
      <c r="L56" s="458"/>
      <c r="M56" s="304"/>
      <c r="N56" s="327"/>
      <c r="O56" s="304"/>
      <c r="P56" s="1456">
        <f>N56*O56</f>
        <v>0</v>
      </c>
      <c r="Q56" s="719"/>
      <c r="R56" s="3413"/>
      <c r="S56" s="1722"/>
    </row>
    <row r="57" spans="1:19" x14ac:dyDescent="0.2">
      <c r="A57" s="1690">
        <v>2</v>
      </c>
      <c r="B57" s="1690" t="s">
        <v>1518</v>
      </c>
      <c r="C57" s="510"/>
      <c r="D57" s="502" t="s">
        <v>1310</v>
      </c>
      <c r="E57" s="886" t="s">
        <v>70</v>
      </c>
      <c r="F57" s="1669" t="s">
        <v>742</v>
      </c>
      <c r="G57" s="461"/>
      <c r="H57" s="461"/>
      <c r="I57" s="461"/>
      <c r="J57" s="461"/>
      <c r="K57" s="461"/>
      <c r="L57" s="458"/>
      <c r="M57" s="304"/>
      <c r="N57" s="327"/>
      <c r="O57" s="304"/>
      <c r="P57" s="1456">
        <f>N57*O57</f>
        <v>0</v>
      </c>
      <c r="Q57" s="719"/>
      <c r="R57" s="3413"/>
      <c r="S57" s="1722"/>
    </row>
    <row r="58" spans="1:19" x14ac:dyDescent="0.2">
      <c r="A58" s="1694" t="s">
        <v>4359</v>
      </c>
      <c r="B58" s="1266">
        <v>12.7</v>
      </c>
      <c r="C58" s="1106"/>
      <c r="D58" s="1106" t="s">
        <v>1519</v>
      </c>
      <c r="E58" s="1688"/>
      <c r="F58" s="1688"/>
      <c r="G58" s="295"/>
      <c r="H58" s="295"/>
      <c r="I58" s="1450"/>
      <c r="J58" s="1450"/>
      <c r="K58" s="1450"/>
      <c r="L58" s="295"/>
      <c r="M58" s="295"/>
      <c r="N58" s="1450"/>
      <c r="O58" s="295"/>
      <c r="P58" s="1450">
        <f>SUM(P59:P63)</f>
        <v>0</v>
      </c>
      <c r="Q58" s="718"/>
      <c r="R58" s="3414"/>
      <c r="S58" s="1503">
        <f>SUM(S59:S63)</f>
        <v>0</v>
      </c>
    </row>
    <row r="59" spans="1:19" x14ac:dyDescent="0.2">
      <c r="A59" s="1690">
        <v>1</v>
      </c>
      <c r="B59" s="1690" t="s">
        <v>1520</v>
      </c>
      <c r="C59" s="502" t="s">
        <v>243</v>
      </c>
      <c r="D59" s="502" t="s">
        <v>1521</v>
      </c>
      <c r="E59" s="886" t="s">
        <v>70</v>
      </c>
      <c r="F59" s="1701" t="s">
        <v>4995</v>
      </c>
      <c r="G59" s="2543"/>
      <c r="H59" s="2698"/>
      <c r="I59" s="2694"/>
      <c r="J59" s="2694"/>
      <c r="K59" s="2700"/>
      <c r="L59" s="2689"/>
      <c r="M59" s="2543"/>
      <c r="N59" s="327"/>
      <c r="O59" s="304"/>
      <c r="P59" s="1456">
        <f>N59*O59</f>
        <v>0</v>
      </c>
      <c r="Q59" s="2707"/>
      <c r="R59" s="3416">
        <f>'Ab3. ASHA'!Q98</f>
        <v>0</v>
      </c>
      <c r="S59" s="1692">
        <f>'Ab3. ASHA'!R98</f>
        <v>0</v>
      </c>
    </row>
    <row r="60" spans="1:19" x14ac:dyDescent="0.2">
      <c r="A60" s="1690">
        <v>2</v>
      </c>
      <c r="B60" s="1690" t="s">
        <v>1522</v>
      </c>
      <c r="C60" s="510"/>
      <c r="D60" s="502" t="s">
        <v>2534</v>
      </c>
      <c r="E60" s="886" t="s">
        <v>70</v>
      </c>
      <c r="F60" s="1701" t="s">
        <v>4995</v>
      </c>
      <c r="G60" s="461"/>
      <c r="H60" s="461"/>
      <c r="I60" s="461"/>
      <c r="J60" s="461"/>
      <c r="K60" s="461"/>
      <c r="L60" s="458"/>
      <c r="M60" s="304"/>
      <c r="N60" s="327"/>
      <c r="O60" s="304"/>
      <c r="P60" s="1456">
        <f>N60*O60</f>
        <v>0</v>
      </c>
      <c r="Q60" s="719"/>
      <c r="R60" s="3416">
        <f>'Ab3. ASHA'!Q99</f>
        <v>0</v>
      </c>
      <c r="S60" s="1692">
        <f>'Ab3. ASHA'!R99</f>
        <v>0</v>
      </c>
    </row>
    <row r="61" spans="1:19" x14ac:dyDescent="0.2">
      <c r="A61" s="1690">
        <v>3</v>
      </c>
      <c r="B61" s="1690" t="s">
        <v>2532</v>
      </c>
      <c r="C61" s="510"/>
      <c r="D61" s="502" t="s">
        <v>2535</v>
      </c>
      <c r="E61" s="886" t="s">
        <v>70</v>
      </c>
      <c r="F61" s="1701" t="s">
        <v>4995</v>
      </c>
      <c r="G61" s="461"/>
      <c r="H61" s="461"/>
      <c r="I61" s="461"/>
      <c r="J61" s="461"/>
      <c r="K61" s="461"/>
      <c r="L61" s="458"/>
      <c r="M61" s="304"/>
      <c r="N61" s="327"/>
      <c r="O61" s="304"/>
      <c r="P61" s="1456">
        <f>N61*O61</f>
        <v>0</v>
      </c>
      <c r="Q61" s="719"/>
      <c r="R61" s="3416">
        <f>'Ab3. ASHA'!Q100</f>
        <v>0</v>
      </c>
      <c r="S61" s="1692">
        <f>'Ab3. ASHA'!R100</f>
        <v>0</v>
      </c>
    </row>
    <row r="62" spans="1:19" x14ac:dyDescent="0.2">
      <c r="A62" s="1690">
        <v>4</v>
      </c>
      <c r="B62" s="1690" t="s">
        <v>2533</v>
      </c>
      <c r="C62" s="510"/>
      <c r="D62" s="502" t="s">
        <v>2869</v>
      </c>
      <c r="E62" s="886" t="s">
        <v>70</v>
      </c>
      <c r="F62" s="1701" t="s">
        <v>4995</v>
      </c>
      <c r="G62" s="461"/>
      <c r="H62" s="461"/>
      <c r="I62" s="461"/>
      <c r="J62" s="461"/>
      <c r="K62" s="461"/>
      <c r="L62" s="458"/>
      <c r="M62" s="304"/>
      <c r="N62" s="327"/>
      <c r="O62" s="304"/>
      <c r="P62" s="1456">
        <f>N62*O62</f>
        <v>0</v>
      </c>
      <c r="Q62" s="719"/>
      <c r="R62" s="3416">
        <f>'Ab3. ASHA'!Q101</f>
        <v>0</v>
      </c>
      <c r="S62" s="1692">
        <f>'Ab3. ASHA'!R101</f>
        <v>0</v>
      </c>
    </row>
    <row r="63" spans="1:19" x14ac:dyDescent="0.2">
      <c r="A63" s="1690">
        <v>5</v>
      </c>
      <c r="B63" s="1690" t="s">
        <v>2868</v>
      </c>
      <c r="C63" s="510"/>
      <c r="D63" s="502" t="s">
        <v>1310</v>
      </c>
      <c r="E63" s="886" t="s">
        <v>70</v>
      </c>
      <c r="F63" s="1701" t="s">
        <v>4995</v>
      </c>
      <c r="G63" s="461"/>
      <c r="H63" s="461"/>
      <c r="I63" s="461"/>
      <c r="J63" s="461"/>
      <c r="K63" s="461"/>
      <c r="L63" s="2688"/>
      <c r="M63" s="2543"/>
      <c r="N63" s="327"/>
      <c r="O63" s="304"/>
      <c r="P63" s="1456">
        <f>N63*O63</f>
        <v>0</v>
      </c>
      <c r="Q63" s="2707"/>
      <c r="R63" s="3416">
        <f>'Ab3. ASHA'!Q102</f>
        <v>0</v>
      </c>
      <c r="S63" s="1692">
        <f>'Ab3. ASHA'!R102</f>
        <v>0</v>
      </c>
    </row>
    <row r="64" spans="1:19" ht="30" x14ac:dyDescent="0.2">
      <c r="A64" s="1694" t="s">
        <v>4362</v>
      </c>
      <c r="B64" s="1266">
        <v>12.8</v>
      </c>
      <c r="C64" s="1106"/>
      <c r="D64" s="1106" t="s">
        <v>2661</v>
      </c>
      <c r="E64" s="1688"/>
      <c r="F64" s="1688"/>
      <c r="G64" s="295"/>
      <c r="H64" s="295"/>
      <c r="I64" s="1450"/>
      <c r="J64" s="1450"/>
      <c r="K64" s="1450"/>
      <c r="L64" s="295"/>
      <c r="M64" s="295"/>
      <c r="N64" s="1450"/>
      <c r="O64" s="295"/>
      <c r="P64" s="1450">
        <f>SUM(P65:P66)</f>
        <v>0</v>
      </c>
      <c r="Q64" s="718"/>
      <c r="R64" s="3414"/>
      <c r="S64" s="1503">
        <f>SUM(S65:S66)</f>
        <v>0</v>
      </c>
    </row>
    <row r="65" spans="1:19" ht="30" x14ac:dyDescent="0.2">
      <c r="A65" s="1690">
        <v>1</v>
      </c>
      <c r="B65" s="1690" t="s">
        <v>1523</v>
      </c>
      <c r="C65" s="502" t="s">
        <v>1373</v>
      </c>
      <c r="D65" s="502" t="s">
        <v>1524</v>
      </c>
      <c r="E65" s="886" t="s">
        <v>70</v>
      </c>
      <c r="F65" s="1669" t="s">
        <v>3313</v>
      </c>
      <c r="G65" s="461"/>
      <c r="H65" s="461"/>
      <c r="I65" s="461"/>
      <c r="J65" s="461"/>
      <c r="K65" s="461"/>
      <c r="L65" s="2880"/>
      <c r="M65" s="304"/>
      <c r="N65" s="327"/>
      <c r="O65" s="304"/>
      <c r="P65" s="1456">
        <f>N65*O65</f>
        <v>0</v>
      </c>
      <c r="Q65" s="2879"/>
      <c r="R65" s="3416">
        <f>'Abs5. Blood services &amp; Disorder'!Q27</f>
        <v>0</v>
      </c>
      <c r="S65" s="1692">
        <f>'Abs5. Blood services &amp; Disorder'!R27</f>
        <v>0</v>
      </c>
    </row>
    <row r="66" spans="1:19" ht="79.5" customHeight="1" x14ac:dyDescent="0.2">
      <c r="A66" s="1690">
        <v>2</v>
      </c>
      <c r="B66" s="1695" t="s">
        <v>1525</v>
      </c>
      <c r="C66" s="510"/>
      <c r="D66" s="502" t="s">
        <v>1310</v>
      </c>
      <c r="E66" s="886" t="s">
        <v>70</v>
      </c>
      <c r="F66" s="1669" t="s">
        <v>3313</v>
      </c>
      <c r="G66" s="2577"/>
      <c r="H66" s="2701"/>
      <c r="I66" s="2702"/>
      <c r="J66" s="2698"/>
      <c r="K66" s="2702"/>
      <c r="L66" s="2703"/>
      <c r="M66" s="2577"/>
      <c r="N66" s="327"/>
      <c r="O66" s="304"/>
      <c r="P66" s="1456">
        <f>N66*O66</f>
        <v>0</v>
      </c>
      <c r="Q66" s="2691"/>
      <c r="R66" s="3416">
        <f>'Abs5. Blood services &amp; Disorder'!Q28</f>
        <v>0</v>
      </c>
      <c r="S66" s="1692">
        <f>'Abs5. Blood services &amp; Disorder'!R28</f>
        <v>0</v>
      </c>
    </row>
    <row r="67" spans="1:19" x14ac:dyDescent="0.2">
      <c r="A67" s="1694" t="s">
        <v>4363</v>
      </c>
      <c r="B67" s="1266">
        <v>12.9</v>
      </c>
      <c r="C67" s="1106"/>
      <c r="D67" s="1106" t="s">
        <v>1526</v>
      </c>
      <c r="E67" s="1688"/>
      <c r="F67" s="1688"/>
      <c r="G67" s="295"/>
      <c r="H67" s="295"/>
      <c r="I67" s="1450"/>
      <c r="J67" s="1450"/>
      <c r="K67" s="1450"/>
      <c r="L67" s="295"/>
      <c r="M67" s="295"/>
      <c r="N67" s="1450"/>
      <c r="O67" s="295"/>
      <c r="P67" s="1450">
        <f>SUM(P68:P71)</f>
        <v>0</v>
      </c>
      <c r="Q67" s="718"/>
      <c r="R67" s="3414"/>
      <c r="S67" s="1503">
        <f>SUM(S68:S71)</f>
        <v>0</v>
      </c>
    </row>
    <row r="68" spans="1:19" x14ac:dyDescent="0.2">
      <c r="A68" s="1690">
        <v>1</v>
      </c>
      <c r="B68" s="1690" t="s">
        <v>1527</v>
      </c>
      <c r="C68" s="502" t="s">
        <v>1528</v>
      </c>
      <c r="D68" s="502" t="s">
        <v>1529</v>
      </c>
      <c r="E68" s="886" t="s">
        <v>70</v>
      </c>
      <c r="F68" s="1669" t="s">
        <v>2942</v>
      </c>
      <c r="G68" s="2598"/>
      <c r="H68" s="2698"/>
      <c r="I68" s="2704"/>
      <c r="J68" s="2698"/>
      <c r="K68" s="2700"/>
      <c r="L68" s="2689"/>
      <c r="M68" s="2598"/>
      <c r="N68" s="327"/>
      <c r="O68" s="2698"/>
      <c r="P68" s="1456">
        <f t="shared" ref="P68:P75" si="3">N68*O68</f>
        <v>0</v>
      </c>
      <c r="Q68" s="2691"/>
      <c r="R68" s="3416">
        <f>'Ab4. HMIS-MCTS'!Q14</f>
        <v>0</v>
      </c>
      <c r="S68" s="1692">
        <f>'Ab4. HMIS-MCTS'!R14</f>
        <v>0</v>
      </c>
    </row>
    <row r="69" spans="1:19" x14ac:dyDescent="0.2">
      <c r="A69" s="1690">
        <v>2</v>
      </c>
      <c r="B69" s="1695" t="s">
        <v>1530</v>
      </c>
      <c r="C69" s="502" t="s">
        <v>1531</v>
      </c>
      <c r="D69" s="502" t="s">
        <v>1532</v>
      </c>
      <c r="E69" s="886" t="s">
        <v>70</v>
      </c>
      <c r="F69" s="1669" t="s">
        <v>2942</v>
      </c>
      <c r="G69" s="2697"/>
      <c r="H69" s="2698"/>
      <c r="I69" s="2704"/>
      <c r="J69" s="2698"/>
      <c r="K69" s="2700"/>
      <c r="L69" s="2689"/>
      <c r="M69" s="2697"/>
      <c r="N69" s="327"/>
      <c r="O69" s="2688"/>
      <c r="P69" s="1456">
        <f t="shared" si="3"/>
        <v>0</v>
      </c>
      <c r="Q69" s="3040"/>
      <c r="R69" s="3416">
        <f>'Ab4. HMIS-MCTS'!Q15</f>
        <v>0</v>
      </c>
      <c r="S69" s="1692">
        <f>'Ab4. HMIS-MCTS'!R15</f>
        <v>0</v>
      </c>
    </row>
    <row r="70" spans="1:19" ht="30" x14ac:dyDescent="0.2">
      <c r="A70" s="1690">
        <v>3</v>
      </c>
      <c r="B70" s="1690" t="s">
        <v>1533</v>
      </c>
      <c r="C70" s="502" t="s">
        <v>1534</v>
      </c>
      <c r="D70" s="502" t="s">
        <v>1535</v>
      </c>
      <c r="E70" s="886" t="s">
        <v>70</v>
      </c>
      <c r="F70" s="1669" t="s">
        <v>2942</v>
      </c>
      <c r="G70" s="2697"/>
      <c r="H70" s="2700"/>
      <c r="I70" s="2704"/>
      <c r="J70" s="2700"/>
      <c r="K70" s="2700"/>
      <c r="L70" s="2689"/>
      <c r="M70" s="2697"/>
      <c r="N70" s="327"/>
      <c r="O70" s="2688"/>
      <c r="P70" s="1456">
        <f t="shared" si="3"/>
        <v>0</v>
      </c>
      <c r="Q70" s="2705"/>
      <c r="R70" s="3416">
        <f>'Ab4. HMIS-MCTS'!Q16</f>
        <v>0</v>
      </c>
      <c r="S70" s="1692">
        <f>'Ab4. HMIS-MCTS'!R16</f>
        <v>0</v>
      </c>
    </row>
    <row r="71" spans="1:19" x14ac:dyDescent="0.2">
      <c r="A71" s="1690">
        <v>4</v>
      </c>
      <c r="B71" s="1695" t="s">
        <v>1536</v>
      </c>
      <c r="C71" s="510"/>
      <c r="D71" s="502" t="s">
        <v>1310</v>
      </c>
      <c r="E71" s="886" t="s">
        <v>70</v>
      </c>
      <c r="F71" s="1669" t="s">
        <v>2942</v>
      </c>
      <c r="G71" s="2697"/>
      <c r="H71" s="2700"/>
      <c r="I71" s="2704"/>
      <c r="J71" s="2698"/>
      <c r="K71" s="2700"/>
      <c r="L71" s="2689"/>
      <c r="M71" s="2697"/>
      <c r="N71" s="327"/>
      <c r="O71" s="2688"/>
      <c r="P71" s="1456">
        <f t="shared" si="3"/>
        <v>0</v>
      </c>
      <c r="Q71" s="2691"/>
      <c r="R71" s="3416">
        <f>'Ab4. HMIS-MCTS'!Q17</f>
        <v>0</v>
      </c>
      <c r="S71" s="1692">
        <f>'Ab4. HMIS-MCTS'!R17</f>
        <v>0</v>
      </c>
    </row>
    <row r="72" spans="1:19" ht="84.75" customHeight="1" x14ac:dyDescent="0.2">
      <c r="A72" s="1694" t="s">
        <v>4364</v>
      </c>
      <c r="B72" s="501" t="s">
        <v>1572</v>
      </c>
      <c r="C72" s="519"/>
      <c r="D72" s="1697" t="s">
        <v>3892</v>
      </c>
      <c r="E72" s="886" t="s">
        <v>70</v>
      </c>
      <c r="F72" s="1691" t="s">
        <v>4365</v>
      </c>
      <c r="G72" s="380"/>
      <c r="H72" s="380"/>
      <c r="I72" s="380"/>
      <c r="J72" s="380"/>
      <c r="K72" s="380"/>
      <c r="L72" s="380"/>
      <c r="M72" s="304"/>
      <c r="N72" s="327"/>
      <c r="O72" s="304"/>
      <c r="P72" s="1456">
        <f t="shared" si="3"/>
        <v>0</v>
      </c>
      <c r="Q72" s="3019"/>
      <c r="R72" s="3416">
        <f>'Abs6. CPHC'!Q31</f>
        <v>0</v>
      </c>
      <c r="S72" s="1508">
        <f>'Abs6. CPHC'!R31</f>
        <v>0</v>
      </c>
    </row>
    <row r="73" spans="1:19" ht="30" x14ac:dyDescent="0.2">
      <c r="A73" s="1694" t="s">
        <v>4673</v>
      </c>
      <c r="B73" s="1690" t="s">
        <v>2536</v>
      </c>
      <c r="C73" s="502" t="s">
        <v>1573</v>
      </c>
      <c r="D73" s="502" t="s">
        <v>3905</v>
      </c>
      <c r="E73" s="886" t="s">
        <v>70</v>
      </c>
      <c r="F73" s="1669" t="s">
        <v>70</v>
      </c>
      <c r="G73" s="461"/>
      <c r="H73" s="461"/>
      <c r="I73" s="461"/>
      <c r="J73" s="461"/>
      <c r="K73" s="461"/>
      <c r="L73" s="458"/>
      <c r="M73" s="304"/>
      <c r="N73" s="327"/>
      <c r="O73" s="304"/>
      <c r="P73" s="1456">
        <f t="shared" si="3"/>
        <v>0</v>
      </c>
      <c r="Q73" s="719"/>
      <c r="R73" s="3413"/>
      <c r="S73" s="1722"/>
    </row>
    <row r="74" spans="1:19" ht="30" x14ac:dyDescent="0.25">
      <c r="A74" s="1694" t="s">
        <v>4674</v>
      </c>
      <c r="B74" s="1695" t="s">
        <v>4026</v>
      </c>
      <c r="C74" s="1695"/>
      <c r="D74" s="1703" t="s">
        <v>4027</v>
      </c>
      <c r="E74" s="886" t="s">
        <v>70</v>
      </c>
      <c r="F74" s="1078" t="s">
        <v>3907</v>
      </c>
      <c r="G74" s="2688"/>
      <c r="H74" s="2688"/>
      <c r="I74" s="2688"/>
      <c r="J74" s="2688"/>
      <c r="K74" s="2688"/>
      <c r="L74" s="2703"/>
      <c r="M74" s="2688"/>
      <c r="N74" s="327"/>
      <c r="O74" s="304"/>
      <c r="P74" s="1456">
        <f t="shared" si="3"/>
        <v>0</v>
      </c>
      <c r="Q74" s="2707"/>
      <c r="R74" s="3435"/>
      <c r="S74" s="1722"/>
    </row>
    <row r="75" spans="1:19" x14ac:dyDescent="0.2">
      <c r="A75" s="1694" t="s">
        <v>4675</v>
      </c>
      <c r="B75" s="1695" t="s">
        <v>4413</v>
      </c>
      <c r="C75" s="1695"/>
      <c r="D75" s="1690" t="s">
        <v>1310</v>
      </c>
      <c r="E75" s="886" t="s">
        <v>70</v>
      </c>
      <c r="F75" s="1669"/>
      <c r="G75" s="2684"/>
      <c r="H75" s="2688"/>
      <c r="I75" s="2685"/>
      <c r="J75" s="2688"/>
      <c r="K75" s="2688"/>
      <c r="L75" s="2689"/>
      <c r="M75" s="2684"/>
      <c r="N75" s="327"/>
      <c r="O75" s="304"/>
      <c r="P75" s="1453">
        <f t="shared" si="3"/>
        <v>0</v>
      </c>
      <c r="Q75" s="3255"/>
      <c r="R75" s="3413"/>
      <c r="S75" s="1722"/>
    </row>
    <row r="76" spans="1:19" s="1265" customFormat="1" x14ac:dyDescent="0.2">
      <c r="A76" s="3959" t="s">
        <v>5198</v>
      </c>
      <c r="B76" s="3959"/>
      <c r="C76" s="3959"/>
      <c r="D76" s="3959"/>
      <c r="E76" s="1611"/>
      <c r="F76" s="1611"/>
      <c r="G76" s="644"/>
      <c r="H76" s="644"/>
      <c r="I76" s="644"/>
      <c r="J76" s="644"/>
      <c r="K76" s="644"/>
      <c r="L76" s="644"/>
      <c r="M76" s="644"/>
      <c r="N76" s="1613"/>
      <c r="O76" s="644"/>
      <c r="P76" s="1614"/>
      <c r="Q76" s="708"/>
      <c r="R76" s="3415"/>
      <c r="S76" s="1518"/>
    </row>
    <row r="77" spans="1:19" x14ac:dyDescent="0.2">
      <c r="A77" s="1694" t="s">
        <v>4358</v>
      </c>
      <c r="B77" s="1266">
        <v>12.11</v>
      </c>
      <c r="C77" s="1106"/>
      <c r="D77" s="1106" t="s">
        <v>1542</v>
      </c>
      <c r="E77" s="1688"/>
      <c r="F77" s="1688"/>
      <c r="G77" s="295"/>
      <c r="H77" s="295"/>
      <c r="I77" s="1450"/>
      <c r="J77" s="1450"/>
      <c r="K77" s="1450"/>
      <c r="L77" s="295"/>
      <c r="M77" s="295"/>
      <c r="N77" s="1450"/>
      <c r="O77" s="295"/>
      <c r="P77" s="1450">
        <f>SUM(P78:P81)</f>
        <v>0</v>
      </c>
      <c r="Q77" s="718"/>
      <c r="R77" s="3414"/>
      <c r="S77" s="1503">
        <f>SUM(S78:S81)</f>
        <v>0</v>
      </c>
    </row>
    <row r="78" spans="1:19" ht="30" x14ac:dyDescent="0.2">
      <c r="A78" s="1690">
        <v>1</v>
      </c>
      <c r="B78" s="1690" t="s">
        <v>1543</v>
      </c>
      <c r="C78" s="1671" t="s">
        <v>1544</v>
      </c>
      <c r="D78" s="1671" t="s">
        <v>1545</v>
      </c>
      <c r="E78" s="980" t="s">
        <v>4366</v>
      </c>
      <c r="F78" s="1666" t="s">
        <v>4983</v>
      </c>
      <c r="G78" s="461"/>
      <c r="H78" s="461"/>
      <c r="I78" s="461"/>
      <c r="J78" s="461"/>
      <c r="K78" s="461"/>
      <c r="L78" s="458"/>
      <c r="M78" s="304"/>
      <c r="N78" s="327"/>
      <c r="O78" s="304"/>
      <c r="P78" s="1456">
        <f>N78*O78</f>
        <v>0</v>
      </c>
      <c r="Q78" s="719"/>
      <c r="R78" s="3416">
        <f>'Abs9. NVBDCP'!Q99</f>
        <v>0</v>
      </c>
      <c r="S78" s="1692">
        <f>'Abs9. NVBDCP'!Q99</f>
        <v>0</v>
      </c>
    </row>
    <row r="79" spans="1:19" ht="30" x14ac:dyDescent="0.2">
      <c r="A79" s="1690">
        <v>2</v>
      </c>
      <c r="B79" s="1690" t="s">
        <v>1546</v>
      </c>
      <c r="C79" s="1671" t="s">
        <v>1547</v>
      </c>
      <c r="D79" s="1671" t="s">
        <v>1548</v>
      </c>
      <c r="E79" s="980" t="s">
        <v>4366</v>
      </c>
      <c r="F79" s="1666" t="s">
        <v>1549</v>
      </c>
      <c r="G79" s="461"/>
      <c r="H79" s="461"/>
      <c r="I79" s="461"/>
      <c r="J79" s="461"/>
      <c r="K79" s="461"/>
      <c r="L79" s="458"/>
      <c r="M79" s="304"/>
      <c r="N79" s="327"/>
      <c r="O79" s="304"/>
      <c r="P79" s="1456">
        <f>N79*O79</f>
        <v>0</v>
      </c>
      <c r="Q79" s="719"/>
      <c r="R79" s="3416">
        <f>'Abs9. NVBDCP'!Q100</f>
        <v>0</v>
      </c>
      <c r="S79" s="1692">
        <f>'Abs9. NVBDCP'!Q100</f>
        <v>0</v>
      </c>
    </row>
    <row r="80" spans="1:19" s="1705" customFormat="1" ht="30" x14ac:dyDescent="0.2">
      <c r="A80" s="1690">
        <v>3</v>
      </c>
      <c r="B80" s="1695" t="s">
        <v>1550</v>
      </c>
      <c r="C80" s="1704"/>
      <c r="D80" s="1704" t="s">
        <v>4453</v>
      </c>
      <c r="E80" s="980" t="s">
        <v>4366</v>
      </c>
      <c r="F80" s="1665" t="s">
        <v>4986</v>
      </c>
      <c r="G80" s="2686"/>
      <c r="H80" s="2706"/>
      <c r="I80" s="2706"/>
      <c r="J80" s="2706"/>
      <c r="K80" s="2706"/>
      <c r="L80" s="2686"/>
      <c r="M80" s="2686"/>
      <c r="N80" s="327"/>
      <c r="O80" s="304"/>
      <c r="P80" s="1453">
        <f>N80*O80</f>
        <v>0</v>
      </c>
      <c r="Q80" s="2690"/>
      <c r="R80" s="3416">
        <f>'Abs9. NVBDCP'!Q101</f>
        <v>0</v>
      </c>
      <c r="S80" s="1692">
        <f>'Abs9. NVBDCP'!Q101</f>
        <v>0</v>
      </c>
    </row>
    <row r="81" spans="1:19" x14ac:dyDescent="0.2">
      <c r="A81" s="1690">
        <v>4</v>
      </c>
      <c r="B81" s="1695" t="s">
        <v>4452</v>
      </c>
      <c r="C81" s="1704"/>
      <c r="D81" s="1671" t="s">
        <v>1310</v>
      </c>
      <c r="E81" s="980" t="s">
        <v>4366</v>
      </c>
      <c r="F81" s="1666" t="s">
        <v>1549</v>
      </c>
      <c r="G81" s="461"/>
      <c r="H81" s="461"/>
      <c r="I81" s="461"/>
      <c r="J81" s="461"/>
      <c r="K81" s="461"/>
      <c r="L81" s="2689"/>
      <c r="M81" s="2689"/>
      <c r="N81" s="327"/>
      <c r="O81" s="2688"/>
      <c r="P81" s="1456">
        <f>N81*O81</f>
        <v>0</v>
      </c>
      <c r="Q81" s="2690"/>
      <c r="R81" s="3416">
        <f>'Abs9. NVBDCP'!Q102</f>
        <v>0</v>
      </c>
      <c r="S81" s="1692">
        <f>'Abs9. NVBDCP'!Q102</f>
        <v>0</v>
      </c>
    </row>
    <row r="82" spans="1:19" x14ac:dyDescent="0.2">
      <c r="A82" s="1694" t="s">
        <v>4359</v>
      </c>
      <c r="B82" s="1266">
        <v>12.12</v>
      </c>
      <c r="C82" s="1106"/>
      <c r="D82" s="1106" t="s">
        <v>1551</v>
      </c>
      <c r="E82" s="1688"/>
      <c r="F82" s="1688"/>
      <c r="G82" s="295"/>
      <c r="H82" s="295"/>
      <c r="I82" s="1450"/>
      <c r="J82" s="1450"/>
      <c r="K82" s="1450"/>
      <c r="L82" s="295"/>
      <c r="M82" s="295"/>
      <c r="N82" s="1450"/>
      <c r="O82" s="295"/>
      <c r="P82" s="1450">
        <f>P83</f>
        <v>0</v>
      </c>
      <c r="Q82" s="718"/>
      <c r="R82" s="3414"/>
      <c r="S82" s="1503">
        <f>S83</f>
        <v>0</v>
      </c>
    </row>
    <row r="83" spans="1:19" x14ac:dyDescent="0.2">
      <c r="A83" s="1690">
        <v>1</v>
      </c>
      <c r="B83" s="1695" t="s">
        <v>1552</v>
      </c>
      <c r="C83" s="1706" t="s">
        <v>1553</v>
      </c>
      <c r="D83" s="1667" t="s">
        <v>1554</v>
      </c>
      <c r="E83" s="980" t="s">
        <v>4366</v>
      </c>
      <c r="F83" s="1669" t="s">
        <v>146</v>
      </c>
      <c r="G83" s="2705"/>
      <c r="H83" s="2701"/>
      <c r="I83" s="2708"/>
      <c r="J83" s="2702"/>
      <c r="K83" s="2701"/>
      <c r="L83" s="2703"/>
      <c r="M83" s="2705"/>
      <c r="N83" s="327"/>
      <c r="O83" s="304"/>
      <c r="P83" s="327">
        <f>N83*O83</f>
        <v>0</v>
      </c>
      <c r="Q83" s="2691"/>
      <c r="R83" s="3416">
        <f>'Abs10. NLEP'!Q33</f>
        <v>0</v>
      </c>
      <c r="S83" s="1692">
        <f>'Abs10. NLEP'!R33</f>
        <v>0</v>
      </c>
    </row>
    <row r="84" spans="1:19" x14ac:dyDescent="0.2">
      <c r="A84" s="1694" t="s">
        <v>4362</v>
      </c>
      <c r="B84" s="1266">
        <v>12.13</v>
      </c>
      <c r="C84" s="1106"/>
      <c r="D84" s="1106" t="s">
        <v>4897</v>
      </c>
      <c r="E84" s="1688"/>
      <c r="F84" s="1688"/>
      <c r="G84" s="295"/>
      <c r="H84" s="295"/>
      <c r="I84" s="1450"/>
      <c r="J84" s="1450"/>
      <c r="K84" s="1450"/>
      <c r="L84" s="295"/>
      <c r="M84" s="295"/>
      <c r="N84" s="1450"/>
      <c r="O84" s="295"/>
      <c r="P84" s="1450">
        <f>SUM(P85:P86)</f>
        <v>0</v>
      </c>
      <c r="Q84" s="718"/>
      <c r="R84" s="3414"/>
      <c r="S84" s="1503">
        <f>SUM(S85:S86)</f>
        <v>0</v>
      </c>
    </row>
    <row r="85" spans="1:19" x14ac:dyDescent="0.2">
      <c r="A85" s="1690">
        <v>1</v>
      </c>
      <c r="B85" s="1690" t="s">
        <v>1555</v>
      </c>
      <c r="C85" s="1671" t="s">
        <v>1410</v>
      </c>
      <c r="D85" s="1671" t="s">
        <v>1556</v>
      </c>
      <c r="E85" s="980" t="s">
        <v>4366</v>
      </c>
      <c r="F85" s="1669" t="s">
        <v>4683</v>
      </c>
      <c r="G85" s="2705"/>
      <c r="H85" s="2700"/>
      <c r="I85" s="2704"/>
      <c r="J85" s="2698"/>
      <c r="K85" s="2700"/>
      <c r="L85" s="2689"/>
      <c r="M85" s="2705"/>
      <c r="N85" s="327"/>
      <c r="O85" s="304"/>
      <c r="P85" s="1456">
        <f t="shared" ref="P85:P90" si="4">N85*O85</f>
        <v>0</v>
      </c>
      <c r="Q85" s="2691"/>
      <c r="R85" s="3416">
        <f>'Abs11. NTEP'!Q45</f>
        <v>0</v>
      </c>
      <c r="S85" s="1692">
        <f>'Abs11. NTEP'!R45</f>
        <v>0</v>
      </c>
    </row>
    <row r="86" spans="1:19" x14ac:dyDescent="0.2">
      <c r="A86" s="1690">
        <v>2</v>
      </c>
      <c r="B86" s="1695" t="s">
        <v>1557</v>
      </c>
      <c r="C86" s="1671" t="s">
        <v>1558</v>
      </c>
      <c r="D86" s="1671" t="s">
        <v>29</v>
      </c>
      <c r="E86" s="980" t="s">
        <v>4366</v>
      </c>
      <c r="F86" s="1669" t="s">
        <v>4683</v>
      </c>
      <c r="G86" s="2697"/>
      <c r="H86" s="2700"/>
      <c r="I86" s="2704"/>
      <c r="J86" s="2698"/>
      <c r="K86" s="2700"/>
      <c r="L86" s="2689"/>
      <c r="M86" s="2697"/>
      <c r="N86" s="327"/>
      <c r="O86" s="304"/>
      <c r="P86" s="1456">
        <f t="shared" si="4"/>
        <v>0</v>
      </c>
      <c r="Q86" s="2691"/>
      <c r="R86" s="3416">
        <f>'Abs11. NTEP'!Q46</f>
        <v>0</v>
      </c>
      <c r="S86" s="1692">
        <f>'Abs11. NTEP'!R46</f>
        <v>0</v>
      </c>
    </row>
    <row r="87" spans="1:19" s="1705" customFormat="1" ht="30" x14ac:dyDescent="0.2">
      <c r="A87" s="1694" t="s">
        <v>4363</v>
      </c>
      <c r="B87" s="1695" t="s">
        <v>4141</v>
      </c>
      <c r="C87" s="1695"/>
      <c r="D87" s="1707" t="s">
        <v>4414</v>
      </c>
      <c r="E87" s="980" t="s">
        <v>4366</v>
      </c>
      <c r="F87" s="1708" t="s">
        <v>3323</v>
      </c>
      <c r="G87" s="2684"/>
      <c r="H87" s="2684"/>
      <c r="I87" s="2684"/>
      <c r="J87" s="2684"/>
      <c r="K87" s="2684"/>
      <c r="L87" s="2684"/>
      <c r="M87" s="2684"/>
      <c r="N87" s="327"/>
      <c r="O87" s="304"/>
      <c r="P87" s="1453">
        <f t="shared" si="4"/>
        <v>0</v>
      </c>
      <c r="Q87" s="2710"/>
      <c r="R87" s="3416">
        <f>'Abs12. NVHCP'!Q35</f>
        <v>0</v>
      </c>
      <c r="S87" s="1692">
        <f>'Abs12. NVHCP'!R35</f>
        <v>0</v>
      </c>
    </row>
    <row r="88" spans="1:19" x14ac:dyDescent="0.2">
      <c r="A88" s="1694" t="s">
        <v>4364</v>
      </c>
      <c r="B88" s="1690"/>
      <c r="C88" s="1695"/>
      <c r="D88" s="1667" t="s">
        <v>5211</v>
      </c>
      <c r="E88" s="980" t="s">
        <v>4366</v>
      </c>
      <c r="F88" s="1669" t="s">
        <v>293</v>
      </c>
      <c r="G88" s="458"/>
      <c r="H88" s="458"/>
      <c r="I88" s="458"/>
      <c r="J88" s="2878"/>
      <c r="K88" s="458"/>
      <c r="L88" s="2689"/>
      <c r="M88" s="2684"/>
      <c r="N88" s="327"/>
      <c r="O88" s="304"/>
      <c r="P88" s="1456">
        <f t="shared" si="4"/>
        <v>0</v>
      </c>
      <c r="Q88" s="2691"/>
      <c r="R88" s="3416">
        <f>'Abs8. IDSP'!Q28</f>
        <v>0</v>
      </c>
      <c r="S88" s="1709">
        <f>'Abs8. IDSP'!R28</f>
        <v>0</v>
      </c>
    </row>
    <row r="89" spans="1:19" ht="30" x14ac:dyDescent="0.2">
      <c r="A89" s="1694" t="s">
        <v>4673</v>
      </c>
      <c r="B89" s="1695" t="s">
        <v>2537</v>
      </c>
      <c r="C89" s="1695"/>
      <c r="D89" s="1667" t="s">
        <v>5199</v>
      </c>
      <c r="E89" s="980" t="s">
        <v>4366</v>
      </c>
      <c r="F89" s="1669" t="s">
        <v>3993</v>
      </c>
      <c r="G89" s="2697"/>
      <c r="H89" s="2697"/>
      <c r="I89" s="2697"/>
      <c r="J89" s="2697"/>
      <c r="K89" s="2697"/>
      <c r="L89" s="2703"/>
      <c r="M89" s="2697"/>
      <c r="N89" s="327"/>
      <c r="O89" s="304"/>
      <c r="P89" s="1456">
        <f t="shared" si="4"/>
        <v>0</v>
      </c>
      <c r="Q89" s="2690"/>
      <c r="R89" s="3416">
        <f>'Abs13. NRCP'!Q14</f>
        <v>0</v>
      </c>
      <c r="S89" s="1252">
        <f>'Abs13. NRCP'!R14</f>
        <v>0</v>
      </c>
    </row>
    <row r="90" spans="1:19" x14ac:dyDescent="0.2">
      <c r="A90" s="1694" t="s">
        <v>4674</v>
      </c>
      <c r="B90" s="1690"/>
      <c r="C90" s="1695"/>
      <c r="D90" s="1667" t="s">
        <v>5200</v>
      </c>
      <c r="E90" s="980" t="s">
        <v>4366</v>
      </c>
      <c r="F90" s="1669" t="s">
        <v>4553</v>
      </c>
      <c r="G90" s="458"/>
      <c r="H90" s="458"/>
      <c r="I90" s="458"/>
      <c r="J90" s="2878"/>
      <c r="K90" s="458"/>
      <c r="L90" s="458"/>
      <c r="M90" s="304"/>
      <c r="N90" s="327"/>
      <c r="O90" s="304"/>
      <c r="P90" s="1456">
        <f t="shared" si="4"/>
        <v>0</v>
      </c>
      <c r="Q90" s="719"/>
      <c r="R90" s="3416">
        <f>'Abs14. PPCL'!Q14</f>
        <v>0</v>
      </c>
      <c r="S90" s="1709">
        <f>'Abs14. PPCL'!R14</f>
        <v>0</v>
      </c>
    </row>
    <row r="91" spans="1:19" s="1265" customFormat="1" x14ac:dyDescent="0.2">
      <c r="A91" s="3959" t="s">
        <v>5198</v>
      </c>
      <c r="B91" s="3959"/>
      <c r="C91" s="3959"/>
      <c r="D91" s="3959"/>
      <c r="E91" s="1611"/>
      <c r="F91" s="1611"/>
      <c r="G91" s="644"/>
      <c r="H91" s="644"/>
      <c r="I91" s="644"/>
      <c r="J91" s="644"/>
      <c r="K91" s="644"/>
      <c r="L91" s="644"/>
      <c r="M91" s="644"/>
      <c r="N91" s="1613"/>
      <c r="O91" s="644"/>
      <c r="P91" s="1614"/>
      <c r="Q91" s="708"/>
      <c r="R91" s="3415"/>
      <c r="S91" s="1518"/>
    </row>
    <row r="92" spans="1:19" s="1713" customFormat="1" x14ac:dyDescent="0.2">
      <c r="A92" s="1694" t="s">
        <v>4358</v>
      </c>
      <c r="B92" s="1710"/>
      <c r="C92" s="1710"/>
      <c r="D92" s="1667" t="s">
        <v>5201</v>
      </c>
      <c r="E92" s="1559" t="s">
        <v>85</v>
      </c>
      <c r="F92" s="1711" t="s">
        <v>86</v>
      </c>
      <c r="G92" s="645"/>
      <c r="H92" s="645"/>
      <c r="I92" s="645"/>
      <c r="J92" s="645"/>
      <c r="K92" s="645"/>
      <c r="L92" s="645"/>
      <c r="M92" s="304"/>
      <c r="N92" s="327"/>
      <c r="O92" s="304"/>
      <c r="P92" s="1456">
        <f>N92*O92</f>
        <v>0</v>
      </c>
      <c r="Q92" s="721"/>
      <c r="R92" s="3416">
        <f>'Abs15. NPCB'!Q31</f>
        <v>0</v>
      </c>
      <c r="S92" s="1712">
        <f>'Abs15. NPCB'!R31</f>
        <v>0</v>
      </c>
    </row>
    <row r="93" spans="1:19" s="1713" customFormat="1" x14ac:dyDescent="0.2">
      <c r="A93" s="1694" t="s">
        <v>4359</v>
      </c>
      <c r="B93" s="1710"/>
      <c r="C93" s="1710"/>
      <c r="D93" s="1667" t="s">
        <v>5202</v>
      </c>
      <c r="E93" s="1559" t="s">
        <v>85</v>
      </c>
      <c r="F93" s="1714" t="s">
        <v>150</v>
      </c>
      <c r="G93" s="645"/>
      <c r="H93" s="645"/>
      <c r="I93" s="645"/>
      <c r="J93" s="645"/>
      <c r="K93" s="645"/>
      <c r="L93" s="645"/>
      <c r="M93" s="304"/>
      <c r="N93" s="327"/>
      <c r="O93" s="304"/>
      <c r="P93" s="1456">
        <f>N93*O93</f>
        <v>0</v>
      </c>
      <c r="Q93" s="721"/>
      <c r="R93" s="3416">
        <f>'Abs16. NMHP'!Q26</f>
        <v>0</v>
      </c>
      <c r="S93" s="1712">
        <f>'Abs16. NMHP'!R26</f>
        <v>0</v>
      </c>
    </row>
    <row r="94" spans="1:19" s="1713" customFormat="1" x14ac:dyDescent="0.2">
      <c r="A94" s="1694" t="s">
        <v>4362</v>
      </c>
      <c r="B94" s="1710"/>
      <c r="C94" s="1710"/>
      <c r="D94" s="1667" t="s">
        <v>5203</v>
      </c>
      <c r="E94" s="1559" t="s">
        <v>85</v>
      </c>
      <c r="F94" s="1711" t="s">
        <v>399</v>
      </c>
      <c r="G94" s="645"/>
      <c r="H94" s="645"/>
      <c r="I94" s="645"/>
      <c r="J94" s="645"/>
      <c r="K94" s="645"/>
      <c r="L94" s="645"/>
      <c r="M94" s="304"/>
      <c r="N94" s="327"/>
      <c r="O94" s="304"/>
      <c r="P94" s="1456">
        <f>N94*O94</f>
        <v>0</v>
      </c>
      <c r="Q94" s="721"/>
      <c r="R94" s="3416">
        <f>'Abs17. NPHCE'!Q31</f>
        <v>0</v>
      </c>
      <c r="S94" s="1514">
        <f>'Abs17. NPHCE'!R31</f>
        <v>0</v>
      </c>
    </row>
    <row r="95" spans="1:19" x14ac:dyDescent="0.2">
      <c r="A95" s="1694" t="s">
        <v>4363</v>
      </c>
      <c r="B95" s="1266">
        <v>12.14</v>
      </c>
      <c r="C95" s="1106"/>
      <c r="D95" s="1106" t="s">
        <v>1559</v>
      </c>
      <c r="E95" s="1688"/>
      <c r="F95" s="1688"/>
      <c r="G95" s="295"/>
      <c r="H95" s="295"/>
      <c r="I95" s="1450"/>
      <c r="J95" s="1450"/>
      <c r="K95" s="1450"/>
      <c r="L95" s="295"/>
      <c r="M95" s="295"/>
      <c r="N95" s="1450"/>
      <c r="O95" s="295"/>
      <c r="P95" s="1450">
        <f>SUM(P96:P97)</f>
        <v>0</v>
      </c>
      <c r="Q95" s="718"/>
      <c r="R95" s="3414"/>
      <c r="S95" s="1503">
        <f>SUM(S96:S97)</f>
        <v>0</v>
      </c>
    </row>
    <row r="96" spans="1:19" x14ac:dyDescent="0.2">
      <c r="A96" s="1690">
        <v>1</v>
      </c>
      <c r="B96" s="1690" t="s">
        <v>1560</v>
      </c>
      <c r="C96" s="502" t="s">
        <v>1561</v>
      </c>
      <c r="D96" s="502" t="s">
        <v>1562</v>
      </c>
      <c r="E96" s="1559" t="s">
        <v>85</v>
      </c>
      <c r="F96" s="1669" t="s">
        <v>152</v>
      </c>
      <c r="G96" s="461"/>
      <c r="H96" s="461"/>
      <c r="I96" s="459"/>
      <c r="J96" s="2892"/>
      <c r="K96" s="461"/>
      <c r="L96" s="370"/>
      <c r="M96" s="304"/>
      <c r="N96" s="327"/>
      <c r="O96" s="304"/>
      <c r="P96" s="1456">
        <f>N96*O96</f>
        <v>0</v>
      </c>
      <c r="Q96" s="722"/>
      <c r="R96" s="3416">
        <f>'Abs18. NTCP'!Q26</f>
        <v>0</v>
      </c>
      <c r="S96" s="1692">
        <f>'Abs18. NTCP'!R26</f>
        <v>0</v>
      </c>
    </row>
    <row r="97" spans="1:19" x14ac:dyDescent="0.2">
      <c r="A97" s="1690">
        <v>2</v>
      </c>
      <c r="B97" s="1690" t="s">
        <v>1563</v>
      </c>
      <c r="C97" s="510"/>
      <c r="D97" s="502" t="s">
        <v>1310</v>
      </c>
      <c r="E97" s="1559" t="s">
        <v>85</v>
      </c>
      <c r="F97" s="1669" t="s">
        <v>152</v>
      </c>
      <c r="G97" s="461"/>
      <c r="H97" s="461"/>
      <c r="I97" s="461"/>
      <c r="J97" s="461"/>
      <c r="K97" s="461"/>
      <c r="L97" s="458"/>
      <c r="M97" s="304"/>
      <c r="N97" s="327"/>
      <c r="O97" s="304"/>
      <c r="P97" s="1456">
        <f>N97*O97</f>
        <v>0</v>
      </c>
      <c r="Q97" s="719"/>
      <c r="R97" s="3416">
        <f>'Abs18. NTCP'!Q27</f>
        <v>0</v>
      </c>
      <c r="S97" s="1692">
        <f>'Abs18. NTCP'!R27</f>
        <v>0</v>
      </c>
    </row>
    <row r="98" spans="1:19" x14ac:dyDescent="0.2">
      <c r="A98" s="1694" t="s">
        <v>4364</v>
      </c>
      <c r="B98" s="1266">
        <v>12.15</v>
      </c>
      <c r="C98" s="1106"/>
      <c r="D98" s="1106" t="s">
        <v>1564</v>
      </c>
      <c r="E98" s="1688"/>
      <c r="F98" s="1688"/>
      <c r="G98" s="295"/>
      <c r="H98" s="295"/>
      <c r="I98" s="1450"/>
      <c r="J98" s="1450"/>
      <c r="K98" s="1450"/>
      <c r="L98" s="295"/>
      <c r="M98" s="295"/>
      <c r="N98" s="1450"/>
      <c r="O98" s="295"/>
      <c r="P98" s="1450">
        <f>SUM(P99:P102)</f>
        <v>0</v>
      </c>
      <c r="Q98" s="718"/>
      <c r="R98" s="3414"/>
      <c r="S98" s="1503">
        <f>SUM(S99:S102)</f>
        <v>0</v>
      </c>
    </row>
    <row r="99" spans="1:19" x14ac:dyDescent="0.2">
      <c r="A99" s="1690">
        <v>1</v>
      </c>
      <c r="B99" s="1690" t="s">
        <v>1565</v>
      </c>
      <c r="C99" s="1706" t="s">
        <v>1566</v>
      </c>
      <c r="D99" s="1671" t="s">
        <v>1567</v>
      </c>
      <c r="E99" s="1559" t="s">
        <v>85</v>
      </c>
      <c r="F99" s="1669" t="s">
        <v>415</v>
      </c>
      <c r="G99" s="2697"/>
      <c r="H99" s="2701"/>
      <c r="I99" s="2708"/>
      <c r="J99" s="2702"/>
      <c r="K99" s="2701"/>
      <c r="L99" s="2703"/>
      <c r="M99" s="2697"/>
      <c r="N99" s="327"/>
      <c r="O99" s="2697"/>
      <c r="P99" s="1456">
        <f t="shared" ref="P99:P109" si="5">N99*O99</f>
        <v>0</v>
      </c>
      <c r="Q99" s="2573"/>
      <c r="R99" s="3416">
        <f>'Abs19. NPCDCS'!Q52</f>
        <v>0</v>
      </c>
      <c r="S99" s="1692">
        <f>'Abs19. NPCDCS'!R52</f>
        <v>0</v>
      </c>
    </row>
    <row r="100" spans="1:19" x14ac:dyDescent="0.2">
      <c r="A100" s="1690">
        <v>2</v>
      </c>
      <c r="B100" s="1690" t="s">
        <v>1568</v>
      </c>
      <c r="C100" s="1706" t="s">
        <v>1569</v>
      </c>
      <c r="D100" s="1671" t="s">
        <v>1570</v>
      </c>
      <c r="E100" s="1559" t="s">
        <v>85</v>
      </c>
      <c r="F100" s="1669" t="s">
        <v>415</v>
      </c>
      <c r="G100" s="2697"/>
      <c r="H100" s="2701"/>
      <c r="I100" s="2708"/>
      <c r="J100" s="2702"/>
      <c r="K100" s="2701"/>
      <c r="L100" s="2703"/>
      <c r="M100" s="2697"/>
      <c r="N100" s="327"/>
      <c r="O100" s="2697"/>
      <c r="P100" s="1456">
        <f t="shared" si="5"/>
        <v>0</v>
      </c>
      <c r="Q100" s="2573"/>
      <c r="R100" s="3416">
        <f>'Abs19. NPCDCS'!Q53</f>
        <v>0</v>
      </c>
      <c r="S100" s="1692">
        <f>'Abs19. NPCDCS'!R53</f>
        <v>0</v>
      </c>
    </row>
    <row r="101" spans="1:19" ht="45" x14ac:dyDescent="0.2">
      <c r="A101" s="1690">
        <v>3</v>
      </c>
      <c r="B101" s="1690" t="s">
        <v>1571</v>
      </c>
      <c r="C101" s="1715"/>
      <c r="D101" s="1716" t="s">
        <v>2548</v>
      </c>
      <c r="E101" s="1559" t="s">
        <v>85</v>
      </c>
      <c r="F101" s="1669" t="s">
        <v>415</v>
      </c>
      <c r="G101" s="2697"/>
      <c r="H101" s="2701"/>
      <c r="I101" s="2704"/>
      <c r="J101" s="2702"/>
      <c r="K101" s="2701"/>
      <c r="L101" s="2689"/>
      <c r="M101" s="2697"/>
      <c r="N101" s="327"/>
      <c r="O101" s="2688"/>
      <c r="P101" s="1456">
        <f t="shared" si="5"/>
        <v>0</v>
      </c>
      <c r="Q101" s="2709"/>
      <c r="R101" s="3416">
        <f>'Abs19. NPCDCS'!Q54</f>
        <v>0</v>
      </c>
      <c r="S101" s="1692">
        <f>'Abs19. NPCDCS'!R54</f>
        <v>0</v>
      </c>
    </row>
    <row r="102" spans="1:19" x14ac:dyDescent="0.2">
      <c r="A102" s="1690">
        <v>4</v>
      </c>
      <c r="B102" s="1690" t="s">
        <v>2871</v>
      </c>
      <c r="C102" s="1715"/>
      <c r="D102" s="1671" t="s">
        <v>1310</v>
      </c>
      <c r="E102" s="1559" t="s">
        <v>85</v>
      </c>
      <c r="F102" s="1669" t="s">
        <v>415</v>
      </c>
      <c r="G102" s="2688"/>
      <c r="H102" s="2700"/>
      <c r="I102" s="2700"/>
      <c r="J102" s="2700"/>
      <c r="K102" s="2700"/>
      <c r="L102" s="2689"/>
      <c r="M102" s="2688"/>
      <c r="N102" s="327"/>
      <c r="O102" s="2688"/>
      <c r="P102" s="1456">
        <f t="shared" si="5"/>
        <v>0</v>
      </c>
      <c r="Q102" s="2696"/>
      <c r="R102" s="3416">
        <f>'Abs19. NPCDCS'!Q55</f>
        <v>0</v>
      </c>
      <c r="S102" s="1692">
        <f>'Abs19. NPCDCS'!R55</f>
        <v>0</v>
      </c>
    </row>
    <row r="103" spans="1:19" s="1713" customFormat="1" x14ac:dyDescent="0.2">
      <c r="A103" s="1694" t="s">
        <v>4673</v>
      </c>
      <c r="B103" s="1710"/>
      <c r="C103" s="1710"/>
      <c r="D103" s="1667" t="s">
        <v>5204</v>
      </c>
      <c r="E103" s="1559" t="s">
        <v>85</v>
      </c>
      <c r="F103" s="1711" t="s">
        <v>4925</v>
      </c>
      <c r="G103" s="645"/>
      <c r="H103" s="645"/>
      <c r="I103" s="645"/>
      <c r="J103" s="645"/>
      <c r="K103" s="645"/>
      <c r="L103" s="2689"/>
      <c r="M103" s="2688"/>
      <c r="N103" s="327"/>
      <c r="O103" s="2688"/>
      <c r="P103" s="1456">
        <f t="shared" si="5"/>
        <v>0</v>
      </c>
      <c r="Q103" s="3272"/>
      <c r="R103" s="3416">
        <f>'Abs20. PMNDP'!Q21</f>
        <v>0</v>
      </c>
      <c r="S103" s="1514">
        <f>'Abs20. PMNDP'!R21</f>
        <v>0</v>
      </c>
    </row>
    <row r="104" spans="1:19" x14ac:dyDescent="0.2">
      <c r="A104" s="1694" t="s">
        <v>4674</v>
      </c>
      <c r="B104" s="1690" t="s">
        <v>4002</v>
      </c>
      <c r="C104" s="1695"/>
      <c r="D104" s="1667" t="s">
        <v>4142</v>
      </c>
      <c r="E104" s="1559" t="s">
        <v>85</v>
      </c>
      <c r="F104" s="1669" t="s">
        <v>4132</v>
      </c>
      <c r="G104" s="458"/>
      <c r="H104" s="458"/>
      <c r="I104" s="458"/>
      <c r="J104" s="2878"/>
      <c r="K104" s="458"/>
      <c r="L104" s="3026"/>
      <c r="M104" s="304"/>
      <c r="N104" s="327"/>
      <c r="O104" s="304"/>
      <c r="P104" s="1456">
        <f t="shared" si="5"/>
        <v>0</v>
      </c>
      <c r="Q104" s="3027"/>
      <c r="R104" s="3416">
        <f>'Abs21. NPCCHH'!Q18</f>
        <v>0</v>
      </c>
      <c r="S104" s="1252">
        <f>'Abs21. NPCCHH'!R18</f>
        <v>0</v>
      </c>
    </row>
    <row r="105" spans="1:19" s="1713" customFormat="1" x14ac:dyDescent="0.2">
      <c r="A105" s="1694" t="s">
        <v>4675</v>
      </c>
      <c r="B105" s="1710"/>
      <c r="C105" s="1710"/>
      <c r="D105" s="1667" t="s">
        <v>5207</v>
      </c>
      <c r="E105" s="1559" t="s">
        <v>85</v>
      </c>
      <c r="F105" s="1711" t="s">
        <v>1020</v>
      </c>
      <c r="G105" s="645"/>
      <c r="H105" s="645"/>
      <c r="I105" s="645"/>
      <c r="J105" s="645"/>
      <c r="K105" s="645"/>
      <c r="L105" s="645"/>
      <c r="M105" s="304"/>
      <c r="N105" s="327"/>
      <c r="O105" s="304"/>
      <c r="P105" s="1456">
        <f t="shared" si="5"/>
        <v>0</v>
      </c>
      <c r="Q105" s="721"/>
      <c r="R105" s="3416">
        <f>'Abs22. NPPCD'!Q18</f>
        <v>0</v>
      </c>
      <c r="S105" s="1508">
        <f>'Abs22. NPPCD'!R18</f>
        <v>0</v>
      </c>
    </row>
    <row r="106" spans="1:19" s="1713" customFormat="1" x14ac:dyDescent="0.2">
      <c r="A106" s="1694" t="s">
        <v>4784</v>
      </c>
      <c r="B106" s="1710"/>
      <c r="C106" s="1710"/>
      <c r="D106" s="1667" t="s">
        <v>5209</v>
      </c>
      <c r="E106" s="1559" t="s">
        <v>85</v>
      </c>
      <c r="F106" s="1711" t="s">
        <v>1034</v>
      </c>
      <c r="G106" s="645"/>
      <c r="H106" s="645"/>
      <c r="I106" s="645"/>
      <c r="J106" s="645"/>
      <c r="K106" s="645"/>
      <c r="L106" s="645"/>
      <c r="M106" s="304"/>
      <c r="N106" s="327"/>
      <c r="O106" s="304"/>
      <c r="P106" s="1456">
        <f t="shared" si="5"/>
        <v>0</v>
      </c>
      <c r="Q106" s="721"/>
      <c r="R106" s="3416">
        <f>'Abs23. NPPCF'!Q18</f>
        <v>0</v>
      </c>
      <c r="S106" s="1547">
        <f>'Abs23. NPPCF'!R18</f>
        <v>0</v>
      </c>
    </row>
    <row r="107" spans="1:19" s="1713" customFormat="1" x14ac:dyDescent="0.2">
      <c r="A107" s="1694" t="s">
        <v>4927</v>
      </c>
      <c r="B107" s="1710"/>
      <c r="C107" s="1710"/>
      <c r="D107" s="1667" t="s">
        <v>5208</v>
      </c>
      <c r="E107" s="1559" t="s">
        <v>85</v>
      </c>
      <c r="F107" s="1711" t="s">
        <v>312</v>
      </c>
      <c r="G107" s="645"/>
      <c r="H107" s="645"/>
      <c r="I107" s="645"/>
      <c r="J107" s="645"/>
      <c r="K107" s="645"/>
      <c r="L107" s="645"/>
      <c r="M107" s="304"/>
      <c r="N107" s="327"/>
      <c r="O107" s="304"/>
      <c r="P107" s="1456">
        <f t="shared" si="5"/>
        <v>0</v>
      </c>
      <c r="Q107" s="721"/>
      <c r="R107" s="3416">
        <f>'Abs24. NOHP'!Q15</f>
        <v>0</v>
      </c>
      <c r="S107" s="1514">
        <f>'Abs24. NOHP'!R15</f>
        <v>0</v>
      </c>
    </row>
    <row r="108" spans="1:19" s="1713" customFormat="1" x14ac:dyDescent="0.2">
      <c r="A108" s="1694" t="s">
        <v>4928</v>
      </c>
      <c r="B108" s="1710"/>
      <c r="C108" s="1710"/>
      <c r="D108" s="1667" t="s">
        <v>5206</v>
      </c>
      <c r="E108" s="1559" t="s">
        <v>85</v>
      </c>
      <c r="F108" s="1711" t="s">
        <v>314</v>
      </c>
      <c r="G108" s="645"/>
      <c r="H108" s="645"/>
      <c r="I108" s="645"/>
      <c r="J108" s="645"/>
      <c r="K108" s="645"/>
      <c r="L108" s="645"/>
      <c r="M108" s="304"/>
      <c r="N108" s="327"/>
      <c r="O108" s="304"/>
      <c r="P108" s="1456">
        <f t="shared" si="5"/>
        <v>0</v>
      </c>
      <c r="Q108" s="721"/>
      <c r="R108" s="3416">
        <f>'Abs25. NPPC'!Q21</f>
        <v>0</v>
      </c>
      <c r="S108" s="1717">
        <f>'Abs25. NPPC'!R21</f>
        <v>0</v>
      </c>
    </row>
    <row r="109" spans="1:19" s="1713" customFormat="1" ht="30" x14ac:dyDescent="0.2">
      <c r="A109" s="1694" t="s">
        <v>4929</v>
      </c>
      <c r="B109" s="1710"/>
      <c r="C109" s="1710"/>
      <c r="D109" s="1667" t="s">
        <v>5205</v>
      </c>
      <c r="E109" s="1559" t="s">
        <v>85</v>
      </c>
      <c r="F109" s="1711" t="s">
        <v>4718</v>
      </c>
      <c r="G109" s="645"/>
      <c r="H109" s="645"/>
      <c r="I109" s="645"/>
      <c r="J109" s="645"/>
      <c r="K109" s="645"/>
      <c r="L109" s="645"/>
      <c r="M109" s="304"/>
      <c r="N109" s="327"/>
      <c r="O109" s="304"/>
      <c r="P109" s="1456">
        <f t="shared" si="5"/>
        <v>0</v>
      </c>
      <c r="Q109" s="721"/>
      <c r="R109" s="3416">
        <f>'Abs26. Burns &amp; Injury'!Q12</f>
        <v>0</v>
      </c>
      <c r="S109" s="1508">
        <f>'Abs26. Burns &amp; Injury'!R12</f>
        <v>0</v>
      </c>
    </row>
    <row r="112" spans="1:19" x14ac:dyDescent="0.2">
      <c r="O112" s="178"/>
    </row>
    <row r="113" spans="15:15" x14ac:dyDescent="0.2">
      <c r="O113" s="178"/>
    </row>
  </sheetData>
  <sheetProtection formatCells="0" formatColumns="0" formatRows="0" autoFilter="0"/>
  <autoFilter ref="A4:BD109">
    <filterColumn colId="1" showButton="0"/>
  </autoFilter>
  <mergeCells count="13">
    <mergeCell ref="A5:D5"/>
    <mergeCell ref="A54:D54"/>
    <mergeCell ref="A76:D76"/>
    <mergeCell ref="A91:D91"/>
    <mergeCell ref="A1:D1"/>
    <mergeCell ref="A3:A4"/>
    <mergeCell ref="B3:C4"/>
    <mergeCell ref="L3:Q3"/>
    <mergeCell ref="R3:S3"/>
    <mergeCell ref="G3:K3"/>
    <mergeCell ref="D3:D4"/>
    <mergeCell ref="E3:E4"/>
    <mergeCell ref="F3:F4"/>
  </mergeCells>
  <phoneticPr fontId="57" type="noConversion"/>
  <pageMargins left="0.7" right="0.7" top="0.75" bottom="0.75" header="0.3" footer="0.3"/>
  <pageSetup orientation="portrait" horizontalDpi="4294967295" verticalDpi="4294967295"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A39"/>
  <sheetViews>
    <sheetView zoomScale="80" zoomScaleNormal="80" workbookViewId="0">
      <pane xSplit="5" ySplit="7" topLeftCell="G20" activePane="bottomRight" state="frozen"/>
      <selection activeCell="A2" sqref="A2:A4"/>
      <selection pane="topRight" activeCell="A2" sqref="A2:A4"/>
      <selection pane="bottomLeft" activeCell="A2" sqref="A2:A4"/>
      <selection pane="bottomRight" activeCell="O17" sqref="O17"/>
    </sheetView>
  </sheetViews>
  <sheetFormatPr defaultColWidth="9.140625" defaultRowHeight="15" x14ac:dyDescent="0.2"/>
  <cols>
    <col min="1" max="1" width="9" style="1400" bestFit="1" customWidth="1"/>
    <col min="2" max="2" width="16.85546875" style="1368" bestFit="1" customWidth="1"/>
    <col min="3" max="3" width="47.140625" style="1160" bestFit="1" customWidth="1"/>
    <col min="4" max="4" width="4.7109375" style="1088" bestFit="1" customWidth="1"/>
    <col min="5" max="5" width="18.140625" style="1088" customWidth="1"/>
    <col min="6" max="6" width="13.140625" style="1366" bestFit="1" customWidth="1"/>
    <col min="7" max="7" width="12.85546875" style="1366" customWidth="1"/>
    <col min="8" max="8" width="12.5703125" style="1366" bestFit="1" customWidth="1"/>
    <col min="9" max="9" width="15.28515625" style="1366" customWidth="1"/>
    <col min="10" max="10" width="15.85546875" style="1366" customWidth="1"/>
    <col min="11" max="11" width="13.42578125" style="1366" customWidth="1"/>
    <col min="12" max="12" width="14.42578125" style="1366" customWidth="1"/>
    <col min="13" max="13" width="11.140625" style="1298" customWidth="1"/>
    <col min="14" max="14" width="10" style="1366" customWidth="1"/>
    <col min="15" max="15" width="14.85546875" style="1298" bestFit="1" customWidth="1"/>
    <col min="16" max="16" width="35.140625" style="1400" customWidth="1"/>
    <col min="17" max="17" width="17.85546875" style="1400" customWidth="1"/>
    <col min="18" max="18" width="15.85546875" style="1298" bestFit="1" customWidth="1"/>
    <col min="19" max="19" width="6.140625" style="1366" bestFit="1" customWidth="1"/>
    <col min="20" max="20" width="3.7109375" style="1366" bestFit="1" customWidth="1"/>
    <col min="21" max="21" width="6.28515625" style="1366" bestFit="1" customWidth="1"/>
    <col min="22" max="22" width="4" style="1366" bestFit="1" customWidth="1"/>
    <col min="23" max="23" width="6.42578125" style="1366" bestFit="1" customWidth="1"/>
    <col min="24" max="24" width="4.7109375" style="1366" bestFit="1" customWidth="1"/>
    <col min="25" max="25" width="5.85546875" style="1366" bestFit="1" customWidth="1"/>
    <col min="26" max="26" width="7.140625" style="1366" bestFit="1" customWidth="1"/>
    <col min="27" max="27" width="3.85546875" style="1366" bestFit="1" customWidth="1"/>
    <col min="28" max="28" width="8.28515625" style="1366" bestFit="1" customWidth="1"/>
    <col min="29" max="29" width="4.28515625" style="1366" bestFit="1" customWidth="1"/>
    <col min="30" max="30" width="3.85546875" style="1366" bestFit="1" customWidth="1"/>
    <col min="31" max="31" width="7.28515625" style="1366" bestFit="1" customWidth="1"/>
    <col min="32" max="32" width="3.42578125" style="1366" bestFit="1" customWidth="1"/>
    <col min="33" max="34" width="7.140625" style="1366" bestFit="1" customWidth="1"/>
    <col min="35" max="35" width="4.7109375" style="1366" bestFit="1" customWidth="1"/>
    <col min="36" max="36" width="8.140625" style="1366" bestFit="1" customWidth="1"/>
    <col min="37" max="37" width="5.140625" style="1366" bestFit="1" customWidth="1"/>
    <col min="38" max="38" width="5.42578125" style="1366" bestFit="1" customWidth="1"/>
    <col min="39" max="39" width="7" style="1366" bestFit="1" customWidth="1"/>
    <col min="40" max="40" width="5.5703125" style="1366" bestFit="1" customWidth="1"/>
    <col min="41" max="41" width="5" style="1366" bestFit="1" customWidth="1"/>
    <col min="42" max="42" width="5.5703125" style="1366" bestFit="1" customWidth="1"/>
    <col min="43" max="43" width="6.42578125" style="1366" bestFit="1" customWidth="1"/>
    <col min="44" max="44" width="6.7109375" style="1366" bestFit="1" customWidth="1"/>
    <col min="45" max="45" width="5.42578125" style="1366" bestFit="1" customWidth="1"/>
    <col min="46" max="46" width="7.7109375" style="1366" bestFit="1" customWidth="1"/>
    <col min="47" max="47" width="7.42578125" style="1366" bestFit="1" customWidth="1"/>
    <col min="48" max="48" width="8.140625" style="1366" bestFit="1" customWidth="1"/>
    <col min="49" max="49" width="6.140625" style="1366" bestFit="1" customWidth="1"/>
    <col min="50" max="50" width="5.5703125" style="1366" bestFit="1" customWidth="1"/>
    <col min="51" max="51" width="6.42578125" style="1366" bestFit="1" customWidth="1"/>
    <col min="52" max="52" width="6.85546875" style="1366" bestFit="1" customWidth="1"/>
    <col min="53" max="53" width="7.7109375" style="1366" bestFit="1" customWidth="1"/>
    <col min="54" max="16384" width="9.140625" style="1366"/>
  </cols>
  <sheetData>
    <row r="1" spans="1:53" x14ac:dyDescent="0.2">
      <c r="A1" s="3899" t="s">
        <v>1240</v>
      </c>
      <c r="B1" s="3899"/>
      <c r="C1" s="3899"/>
      <c r="D1" s="1723"/>
      <c r="E1" s="3825" t="s">
        <v>4719</v>
      </c>
      <c r="F1" s="3894" t="s">
        <v>4717</v>
      </c>
      <c r="G1" s="3895"/>
      <c r="H1" s="3895"/>
      <c r="I1" s="3895"/>
      <c r="J1" s="3895"/>
      <c r="K1" s="3895"/>
      <c r="L1" s="3895"/>
      <c r="M1" s="3971"/>
      <c r="N1" s="3896"/>
      <c r="O1" s="3972" t="s">
        <v>70</v>
      </c>
      <c r="P1" s="3831"/>
      <c r="Q1" s="3831"/>
      <c r="R1" s="3973"/>
      <c r="S1" s="3831"/>
      <c r="T1" s="3831"/>
      <c r="U1" s="3831"/>
      <c r="V1" s="3831"/>
      <c r="W1" s="3831"/>
      <c r="X1" s="3831"/>
      <c r="Y1" s="3831"/>
      <c r="Z1" s="3831"/>
      <c r="AA1" s="3831"/>
      <c r="AB1" s="3831"/>
      <c r="AC1" s="3831"/>
      <c r="AD1" s="3831"/>
      <c r="AE1" s="3831"/>
      <c r="AF1" s="3831"/>
      <c r="AG1" s="3831"/>
      <c r="AH1" s="3831"/>
      <c r="AI1" s="3885" t="s">
        <v>4366</v>
      </c>
      <c r="AJ1" s="3886"/>
      <c r="AK1" s="3886"/>
      <c r="AL1" s="3886"/>
      <c r="AM1" s="3886"/>
      <c r="AN1" s="3886"/>
      <c r="AO1" s="3887"/>
      <c r="AP1" s="3872" t="s">
        <v>85</v>
      </c>
      <c r="AQ1" s="3873"/>
      <c r="AR1" s="3873"/>
      <c r="AS1" s="3873"/>
      <c r="AT1" s="3873"/>
      <c r="AU1" s="3873"/>
      <c r="AV1" s="3873"/>
      <c r="AW1" s="3873"/>
      <c r="AX1" s="3873"/>
      <c r="AY1" s="3873"/>
      <c r="AZ1" s="3873"/>
      <c r="BA1" s="3874"/>
    </row>
    <row r="2" spans="1:53" s="1368" customFormat="1" ht="45" x14ac:dyDescent="0.2">
      <c r="A2" s="3811" t="str">
        <f>HYPERLINK("#Index!A4", "Index Pg")</f>
        <v>Index Pg</v>
      </c>
      <c r="B2" s="1367" t="str">
        <f>HYPERLINK("#'Summary of Abstracts'!A2", "Summary of Abst.")</f>
        <v>Summary of Abst.</v>
      </c>
      <c r="C2" s="836"/>
      <c r="E2" s="3825"/>
      <c r="F2" s="884" t="s">
        <v>118</v>
      </c>
      <c r="G2" s="884" t="s">
        <v>131</v>
      </c>
      <c r="H2" s="884" t="s">
        <v>91</v>
      </c>
      <c r="I2" s="884" t="s">
        <v>4715</v>
      </c>
      <c r="J2" s="884" t="s">
        <v>96</v>
      </c>
      <c r="K2" s="1194" t="s">
        <v>4071</v>
      </c>
      <c r="L2" s="885" t="s">
        <v>4716</v>
      </c>
      <c r="M2" s="885" t="s">
        <v>4720</v>
      </c>
      <c r="N2" s="885" t="s">
        <v>208</v>
      </c>
      <c r="O2" s="887" t="s">
        <v>4365</v>
      </c>
      <c r="P2" s="887" t="s">
        <v>3855</v>
      </c>
      <c r="Q2" s="887" t="s">
        <v>4729</v>
      </c>
      <c r="R2" s="887" t="s">
        <v>4726</v>
      </c>
      <c r="S2" s="887"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307</v>
      </c>
      <c r="AI2" s="888" t="s">
        <v>293</v>
      </c>
      <c r="AJ2" s="888" t="s">
        <v>114</v>
      </c>
      <c r="AK2" s="888" t="s">
        <v>146</v>
      </c>
      <c r="AL2" s="888" t="s">
        <v>4683</v>
      </c>
      <c r="AM2" s="888" t="s">
        <v>3323</v>
      </c>
      <c r="AN2" s="888" t="s">
        <v>3993</v>
      </c>
      <c r="AO2" s="888" t="s">
        <v>4553</v>
      </c>
      <c r="AP2" s="889" t="s">
        <v>86</v>
      </c>
      <c r="AQ2" s="889" t="s">
        <v>150</v>
      </c>
      <c r="AR2" s="889" t="s">
        <v>399</v>
      </c>
      <c r="AS2" s="889" t="s">
        <v>152</v>
      </c>
      <c r="AT2" s="889" t="s">
        <v>415</v>
      </c>
      <c r="AU2" s="889" t="s">
        <v>4607</v>
      </c>
      <c r="AV2" s="889" t="s">
        <v>4132</v>
      </c>
      <c r="AW2" s="889" t="s">
        <v>312</v>
      </c>
      <c r="AX2" s="889" t="s">
        <v>314</v>
      </c>
      <c r="AY2" s="889" t="s">
        <v>1034</v>
      </c>
      <c r="AZ2" s="889" t="s">
        <v>1020</v>
      </c>
      <c r="BA2" s="889" t="s">
        <v>4718</v>
      </c>
    </row>
    <row r="3" spans="1:53" s="1725" customFormat="1" x14ac:dyDescent="0.25">
      <c r="A3" s="3812"/>
      <c r="B3" s="1724" t="str">
        <f>HYPERLINK("#'Budget Summary I'!A1:AL1", "Budget Summary I")</f>
        <v>Budget Summary I</v>
      </c>
      <c r="C3" s="832" t="s">
        <v>4608</v>
      </c>
      <c r="E3" s="1726">
        <f>R7</f>
        <v>0</v>
      </c>
      <c r="F3" s="177"/>
      <c r="G3" s="177"/>
      <c r="H3" s="177"/>
      <c r="I3" s="177"/>
      <c r="J3" s="177"/>
      <c r="K3" s="961"/>
      <c r="L3" s="177">
        <f>R34</f>
        <v>0</v>
      </c>
      <c r="M3" s="177"/>
      <c r="N3" s="961"/>
      <c r="O3" s="961"/>
      <c r="P3" s="961"/>
      <c r="Q3" s="961"/>
      <c r="R3" s="961"/>
      <c r="S3" s="961"/>
      <c r="T3" s="961"/>
      <c r="U3" s="961">
        <f>R10+R11+R12+R13+R14+R15+R16+R17+R18+R19+R20+R22+R23+R25+R26+R27+R28+R29+R30+R31</f>
        <v>0</v>
      </c>
      <c r="V3" s="961"/>
      <c r="W3" s="961"/>
      <c r="X3" s="961"/>
      <c r="Y3" s="961"/>
      <c r="Z3" s="961"/>
      <c r="AA3" s="961"/>
      <c r="AB3" s="961"/>
      <c r="AC3" s="961"/>
      <c r="AD3" s="961"/>
      <c r="AE3" s="961"/>
      <c r="AF3" s="961"/>
      <c r="AG3" s="961"/>
      <c r="AH3" s="961">
        <f>R33+R35</f>
        <v>0</v>
      </c>
      <c r="AI3" s="961"/>
      <c r="AJ3" s="961"/>
      <c r="AK3" s="961"/>
      <c r="AL3" s="961"/>
      <c r="AM3" s="961"/>
      <c r="AN3" s="961"/>
      <c r="AO3" s="961"/>
      <c r="AP3" s="961"/>
      <c r="AQ3" s="961"/>
      <c r="AR3" s="961"/>
      <c r="AS3" s="961"/>
      <c r="AT3" s="961"/>
      <c r="AU3" s="961"/>
      <c r="AV3" s="961"/>
      <c r="AW3" s="961"/>
      <c r="AX3" s="961"/>
      <c r="AY3" s="961"/>
      <c r="AZ3" s="961"/>
      <c r="BA3" s="961"/>
    </row>
    <row r="4" spans="1:53" s="1725" customFormat="1" x14ac:dyDescent="0.25">
      <c r="A4" s="3813"/>
      <c r="B4" s="1724" t="str">
        <f>HYPERLINK("#'Budget Summary II'!A3:B5", "Budget Summary II")</f>
        <v>Budget Summary II</v>
      </c>
      <c r="C4" s="832" t="s">
        <v>4609</v>
      </c>
      <c r="E4" s="1726">
        <f>O7</f>
        <v>1719.7234000000001</v>
      </c>
      <c r="F4" s="177"/>
      <c r="G4" s="177"/>
      <c r="H4" s="177"/>
      <c r="I4" s="177"/>
      <c r="J4" s="177"/>
      <c r="K4" s="961"/>
      <c r="L4" s="177">
        <f>O34</f>
        <v>0</v>
      </c>
      <c r="M4" s="177"/>
      <c r="N4" s="961"/>
      <c r="O4" s="961"/>
      <c r="P4" s="961"/>
      <c r="Q4" s="961"/>
      <c r="R4" s="961"/>
      <c r="S4" s="961"/>
      <c r="T4" s="961"/>
      <c r="U4" s="961">
        <f>O10+O11+O12+O13+O14+O15+O16+O17+O18+O19+O20+O22+O23+O25+O26+O27+O28+O29+O30+O31</f>
        <v>1719.7234000000001</v>
      </c>
      <c r="V4" s="961"/>
      <c r="W4" s="961"/>
      <c r="X4" s="961"/>
      <c r="Y4" s="961"/>
      <c r="Z4" s="961"/>
      <c r="AA4" s="961"/>
      <c r="AB4" s="961"/>
      <c r="AC4" s="961"/>
      <c r="AD4" s="961"/>
      <c r="AE4" s="961"/>
      <c r="AF4" s="961"/>
      <c r="AG4" s="961"/>
      <c r="AH4" s="961">
        <f>O33+O35</f>
        <v>0</v>
      </c>
      <c r="AI4" s="961"/>
      <c r="AJ4" s="961"/>
      <c r="AK4" s="961"/>
      <c r="AL4" s="961"/>
      <c r="AM4" s="961"/>
      <c r="AN4" s="961"/>
      <c r="AO4" s="961"/>
      <c r="AP4" s="961"/>
      <c r="AQ4" s="961"/>
      <c r="AR4" s="961"/>
      <c r="AS4" s="961"/>
      <c r="AT4" s="961"/>
      <c r="AU4" s="961"/>
      <c r="AV4" s="961"/>
      <c r="AW4" s="961"/>
      <c r="AX4" s="961"/>
      <c r="AY4" s="961"/>
      <c r="AZ4" s="961"/>
      <c r="BA4" s="961"/>
    </row>
    <row r="5" spans="1:53" s="1727" customFormat="1" x14ac:dyDescent="0.2">
      <c r="A5" s="3823" t="s">
        <v>53</v>
      </c>
      <c r="B5" s="3823" t="s">
        <v>54</v>
      </c>
      <c r="C5" s="3823" t="s">
        <v>55</v>
      </c>
      <c r="D5" s="3823" t="s">
        <v>56</v>
      </c>
      <c r="E5" s="3823" t="s">
        <v>57</v>
      </c>
      <c r="F5" s="3876" t="s">
        <v>4629</v>
      </c>
      <c r="G5" s="3876"/>
      <c r="H5" s="3876"/>
      <c r="I5" s="3876"/>
      <c r="J5" s="3876"/>
      <c r="K5" s="3877" t="s">
        <v>4640</v>
      </c>
      <c r="L5" s="3888"/>
      <c r="M5" s="3969"/>
      <c r="N5" s="3888"/>
      <c r="O5" s="3969"/>
      <c r="P5" s="3889"/>
      <c r="Q5" s="3890" t="s">
        <v>4670</v>
      </c>
      <c r="R5" s="3970"/>
    </row>
    <row r="6" spans="1:53" s="1088" customFormat="1" ht="60" x14ac:dyDescent="0.2">
      <c r="A6" s="3823"/>
      <c r="B6" s="3823"/>
      <c r="C6" s="3823"/>
      <c r="D6" s="3823"/>
      <c r="E6" s="3823"/>
      <c r="F6" s="896" t="s">
        <v>4630</v>
      </c>
      <c r="G6" s="896" t="s">
        <v>4638</v>
      </c>
      <c r="H6" s="896" t="s">
        <v>4631</v>
      </c>
      <c r="I6" s="896" t="s">
        <v>4639</v>
      </c>
      <c r="J6" s="896" t="s">
        <v>2538</v>
      </c>
      <c r="K6" s="897" t="s">
        <v>58</v>
      </c>
      <c r="L6" s="897" t="s">
        <v>59</v>
      </c>
      <c r="M6" s="898" t="s">
        <v>60</v>
      </c>
      <c r="N6" s="897" t="s">
        <v>61</v>
      </c>
      <c r="O6" s="898" t="s">
        <v>62</v>
      </c>
      <c r="P6" s="897" t="s">
        <v>5547</v>
      </c>
      <c r="Q6" s="899" t="s">
        <v>2540</v>
      </c>
      <c r="R6" s="900" t="s">
        <v>4671</v>
      </c>
      <c r="S6" s="3449" t="s">
        <v>4724</v>
      </c>
    </row>
    <row r="7" spans="1:53" x14ac:dyDescent="0.2">
      <c r="A7" s="234">
        <v>13</v>
      </c>
      <c r="B7" s="234"/>
      <c r="C7" s="234" t="s">
        <v>30</v>
      </c>
      <c r="D7" s="966"/>
      <c r="E7" s="966"/>
      <c r="F7" s="234"/>
      <c r="G7" s="234"/>
      <c r="H7" s="439"/>
      <c r="I7" s="439"/>
      <c r="J7" s="439"/>
      <c r="K7" s="234"/>
      <c r="L7" s="234"/>
      <c r="M7" s="439"/>
      <c r="N7" s="234"/>
      <c r="O7" s="439">
        <f>O8+O21+O32</f>
        <v>1719.7234000000001</v>
      </c>
      <c r="P7" s="234"/>
      <c r="Q7" s="234"/>
      <c r="R7" s="439">
        <f>R8+R21+R32</f>
        <v>0</v>
      </c>
      <c r="S7" s="1366">
        <f>SUM(S8:S35)</f>
        <v>0</v>
      </c>
    </row>
    <row r="8" spans="1:53" x14ac:dyDescent="0.2">
      <c r="A8" s="1465">
        <v>13.1</v>
      </c>
      <c r="B8" s="1106"/>
      <c r="C8" s="1106" t="s">
        <v>30</v>
      </c>
      <c r="D8" s="1580"/>
      <c r="E8" s="1580"/>
      <c r="F8" s="1449"/>
      <c r="G8" s="1449"/>
      <c r="H8" s="466"/>
      <c r="I8" s="466"/>
      <c r="J8" s="466"/>
      <c r="K8" s="1449"/>
      <c r="L8" s="1449"/>
      <c r="M8" s="1372"/>
      <c r="N8" s="1218"/>
      <c r="O8" s="466">
        <f>O9+SUM(O16:O20)</f>
        <v>361.38040000000001</v>
      </c>
      <c r="P8" s="472"/>
      <c r="Q8" s="472"/>
      <c r="R8" s="466">
        <f>R9+SUM(R16:R20)</f>
        <v>0</v>
      </c>
    </row>
    <row r="9" spans="1:53" s="1061" customFormat="1" ht="30" x14ac:dyDescent="0.2">
      <c r="A9" s="470" t="s">
        <v>1241</v>
      </c>
      <c r="B9" s="506" t="s">
        <v>1242</v>
      </c>
      <c r="C9" s="506" t="s">
        <v>1243</v>
      </c>
      <c r="D9" s="1510" t="s">
        <v>70</v>
      </c>
      <c r="E9" s="1510" t="s">
        <v>3907</v>
      </c>
      <c r="F9" s="1728"/>
      <c r="G9" s="1510"/>
      <c r="H9" s="469"/>
      <c r="I9" s="469"/>
      <c r="J9" s="469"/>
      <c r="K9" s="1729"/>
      <c r="L9" s="1728"/>
      <c r="M9" s="471"/>
      <c r="N9" s="1729"/>
      <c r="O9" s="469">
        <f>SUM(O10:O15)</f>
        <v>0</v>
      </c>
      <c r="P9" s="943"/>
      <c r="Q9" s="1732"/>
      <c r="R9" s="469">
        <f>SUM(R10:R15)</f>
        <v>0</v>
      </c>
    </row>
    <row r="10" spans="1:53" x14ac:dyDescent="0.2">
      <c r="A10" s="1397" t="s">
        <v>4033</v>
      </c>
      <c r="B10" s="510"/>
      <c r="C10" s="502" t="s">
        <v>4028</v>
      </c>
      <c r="D10" s="886" t="s">
        <v>70</v>
      </c>
      <c r="E10" s="1078" t="s">
        <v>3907</v>
      </c>
      <c r="F10" s="2512"/>
      <c r="G10" s="2513"/>
      <c r="H10" s="2514"/>
      <c r="I10" s="2514"/>
      <c r="J10" s="2515"/>
      <c r="K10" s="2512"/>
      <c r="L10" s="2515"/>
      <c r="M10" s="327"/>
      <c r="N10" s="2512"/>
      <c r="O10" s="327">
        <f t="shared" ref="O10:O15" si="0">M10*N10</f>
        <v>0</v>
      </c>
      <c r="P10" s="2522"/>
      <c r="Q10" s="388"/>
      <c r="R10" s="536"/>
    </row>
    <row r="11" spans="1:53" x14ac:dyDescent="0.2">
      <c r="A11" s="1397" t="s">
        <v>4034</v>
      </c>
      <c r="B11" s="510"/>
      <c r="C11" s="502" t="s">
        <v>4029</v>
      </c>
      <c r="D11" s="886" t="s">
        <v>70</v>
      </c>
      <c r="E11" s="1078" t="s">
        <v>3907</v>
      </c>
      <c r="F11" s="2512"/>
      <c r="G11" s="2513"/>
      <c r="H11" s="2514"/>
      <c r="I11" s="2514"/>
      <c r="J11" s="2515"/>
      <c r="K11" s="2512"/>
      <c r="L11" s="2515"/>
      <c r="M11" s="327"/>
      <c r="N11" s="2512"/>
      <c r="O11" s="327">
        <f t="shared" si="0"/>
        <v>0</v>
      </c>
      <c r="P11" s="2522"/>
      <c r="Q11" s="388"/>
      <c r="R11" s="536"/>
    </row>
    <row r="12" spans="1:53" x14ac:dyDescent="0.2">
      <c r="A12" s="1397" t="s">
        <v>4035</v>
      </c>
      <c r="B12" s="510"/>
      <c r="C12" s="502" t="s">
        <v>4030</v>
      </c>
      <c r="D12" s="886" t="s">
        <v>70</v>
      </c>
      <c r="E12" s="1078" t="s">
        <v>3907</v>
      </c>
      <c r="F12" s="2512"/>
      <c r="G12" s="2513"/>
      <c r="H12" s="2514"/>
      <c r="I12" s="2514"/>
      <c r="J12" s="2515"/>
      <c r="K12" s="2512"/>
      <c r="L12" s="2515"/>
      <c r="M12" s="327"/>
      <c r="N12" s="2512"/>
      <c r="O12" s="327">
        <f t="shared" si="0"/>
        <v>0</v>
      </c>
      <c r="P12" s="2523"/>
      <c r="Q12" s="388"/>
      <c r="R12" s="536"/>
    </row>
    <row r="13" spans="1:53" ht="30" x14ac:dyDescent="0.2">
      <c r="A13" s="1397" t="s">
        <v>4036</v>
      </c>
      <c r="B13" s="510"/>
      <c r="C13" s="502" t="s">
        <v>4031</v>
      </c>
      <c r="D13" s="886" t="s">
        <v>70</v>
      </c>
      <c r="E13" s="1078" t="s">
        <v>3907</v>
      </c>
      <c r="F13" s="2512"/>
      <c r="G13" s="2513"/>
      <c r="H13" s="2514"/>
      <c r="I13" s="2514"/>
      <c r="J13" s="2515"/>
      <c r="K13" s="2512"/>
      <c r="L13" s="2515"/>
      <c r="M13" s="327"/>
      <c r="N13" s="2512"/>
      <c r="O13" s="327">
        <f t="shared" si="0"/>
        <v>0</v>
      </c>
      <c r="P13" s="3043"/>
      <c r="Q13" s="388"/>
      <c r="R13" s="536"/>
    </row>
    <row r="14" spans="1:53" ht="30" x14ac:dyDescent="0.2">
      <c r="A14" s="1397" t="s">
        <v>4037</v>
      </c>
      <c r="B14" s="510"/>
      <c r="C14" s="502" t="s">
        <v>4032</v>
      </c>
      <c r="D14" s="886" t="s">
        <v>70</v>
      </c>
      <c r="E14" s="1078" t="s">
        <v>3907</v>
      </c>
      <c r="F14" s="2512"/>
      <c r="G14" s="2513"/>
      <c r="H14" s="2514"/>
      <c r="I14" s="2514"/>
      <c r="J14" s="2515"/>
      <c r="K14" s="2512"/>
      <c r="L14" s="2515"/>
      <c r="M14" s="327"/>
      <c r="N14" s="2512"/>
      <c r="O14" s="327">
        <f t="shared" si="0"/>
        <v>0</v>
      </c>
      <c r="P14" s="2522"/>
      <c r="Q14" s="388"/>
      <c r="R14" s="536"/>
    </row>
    <row r="15" spans="1:53" ht="91.5" customHeight="1" x14ac:dyDescent="0.2">
      <c r="A15" s="1397" t="s">
        <v>4038</v>
      </c>
      <c r="B15" s="510"/>
      <c r="C15" s="502" t="s">
        <v>1310</v>
      </c>
      <c r="D15" s="886" t="s">
        <v>70</v>
      </c>
      <c r="E15" s="1078" t="s">
        <v>3907</v>
      </c>
      <c r="F15" s="2512"/>
      <c r="G15" s="2515"/>
      <c r="H15" s="2516"/>
      <c r="I15" s="2517"/>
      <c r="J15" s="2515"/>
      <c r="K15" s="2512"/>
      <c r="L15" s="2518"/>
      <c r="M15" s="327"/>
      <c r="N15" s="2512"/>
      <c r="O15" s="327">
        <f t="shared" si="0"/>
        <v>0</v>
      </c>
      <c r="P15" s="2524"/>
      <c r="Q15" s="388"/>
      <c r="R15" s="536"/>
    </row>
    <row r="16" spans="1:53" ht="30" x14ac:dyDescent="0.2">
      <c r="A16" s="1397" t="s">
        <v>1244</v>
      </c>
      <c r="B16" s="502" t="s">
        <v>1245</v>
      </c>
      <c r="C16" s="502" t="s">
        <v>4039</v>
      </c>
      <c r="D16" s="886" t="s">
        <v>70</v>
      </c>
      <c r="E16" s="1078" t="s">
        <v>3907</v>
      </c>
      <c r="F16" s="2512"/>
      <c r="G16" s="2515"/>
      <c r="H16" s="2516"/>
      <c r="I16" s="2515"/>
      <c r="J16" s="2515"/>
      <c r="K16" s="2512"/>
      <c r="L16" s="2515"/>
      <c r="M16" s="327"/>
      <c r="N16" s="2512"/>
      <c r="O16" s="327">
        <f>M16*N16</f>
        <v>0</v>
      </c>
      <c r="P16" s="2524"/>
      <c r="Q16" s="388"/>
      <c r="R16" s="536"/>
    </row>
    <row r="17" spans="1:18" ht="185.25" x14ac:dyDescent="0.2">
      <c r="A17" s="1397" t="s">
        <v>1246</v>
      </c>
      <c r="B17" s="510"/>
      <c r="C17" s="502" t="s">
        <v>4040</v>
      </c>
      <c r="D17" s="886" t="s">
        <v>70</v>
      </c>
      <c r="E17" s="1078" t="s">
        <v>3907</v>
      </c>
      <c r="F17" s="2512"/>
      <c r="G17" s="2513"/>
      <c r="H17" s="2514"/>
      <c r="I17" s="2514"/>
      <c r="J17" s="2515"/>
      <c r="K17" s="2512" t="s">
        <v>5736</v>
      </c>
      <c r="L17" s="2515">
        <v>98230</v>
      </c>
      <c r="M17" s="327">
        <f>+L17/100000</f>
        <v>0.98229999999999995</v>
      </c>
      <c r="N17" s="2512">
        <v>148</v>
      </c>
      <c r="O17" s="327">
        <f>M17*N17</f>
        <v>145.38039999999998</v>
      </c>
      <c r="P17" s="3717" t="s">
        <v>6011</v>
      </c>
      <c r="Q17" s="388"/>
      <c r="R17" s="536"/>
    </row>
    <row r="18" spans="1:18" ht="123" customHeight="1" x14ac:dyDescent="0.2">
      <c r="A18" s="474" t="s">
        <v>2662</v>
      </c>
      <c r="B18" s="510"/>
      <c r="C18" s="502" t="s">
        <v>4041</v>
      </c>
      <c r="D18" s="886" t="s">
        <v>70</v>
      </c>
      <c r="E18" s="1078" t="s">
        <v>3907</v>
      </c>
      <c r="F18" s="2512"/>
      <c r="G18" s="2513"/>
      <c r="H18" s="2514"/>
      <c r="I18" s="2514"/>
      <c r="J18" s="2515"/>
      <c r="K18" s="2512"/>
      <c r="L18" s="2518"/>
      <c r="M18" s="327"/>
      <c r="N18" s="2512"/>
      <c r="O18" s="327">
        <f>M18*N18</f>
        <v>0</v>
      </c>
      <c r="P18" s="3244"/>
      <c r="Q18" s="3612"/>
      <c r="R18" s="536"/>
    </row>
    <row r="19" spans="1:18" ht="114.6" customHeight="1" x14ac:dyDescent="0.2">
      <c r="A19" s="474" t="s">
        <v>4043</v>
      </c>
      <c r="B19" s="502" t="s">
        <v>1154</v>
      </c>
      <c r="C19" s="502" t="s">
        <v>4042</v>
      </c>
      <c r="D19" s="886" t="s">
        <v>70</v>
      </c>
      <c r="E19" s="1078" t="s">
        <v>3907</v>
      </c>
      <c r="F19" s="2519"/>
      <c r="G19" s="2520"/>
      <c r="H19" s="2521"/>
      <c r="I19" s="2520"/>
      <c r="J19" s="2520"/>
      <c r="K19" s="2519"/>
      <c r="L19" s="2520"/>
      <c r="M19" s="327"/>
      <c r="N19" s="2519"/>
      <c r="O19" s="327">
        <f>M19*N19</f>
        <v>0</v>
      </c>
      <c r="P19" s="2524"/>
      <c r="Q19" s="3612"/>
      <c r="R19" s="536"/>
    </row>
    <row r="20" spans="1:18" ht="171" x14ac:dyDescent="0.2">
      <c r="A20" s="1397" t="s">
        <v>4044</v>
      </c>
      <c r="B20" s="510"/>
      <c r="C20" s="502" t="s">
        <v>1310</v>
      </c>
      <c r="D20" s="886" t="s">
        <v>70</v>
      </c>
      <c r="E20" s="1078" t="s">
        <v>3907</v>
      </c>
      <c r="F20" s="2512"/>
      <c r="G20" s="2513"/>
      <c r="H20" s="2514"/>
      <c r="I20" s="2514"/>
      <c r="J20" s="2515"/>
      <c r="K20" s="2493" t="s">
        <v>5736</v>
      </c>
      <c r="L20" s="3036">
        <v>720000</v>
      </c>
      <c r="M20" s="327">
        <f>+L20/100000</f>
        <v>7.2</v>
      </c>
      <c r="N20" s="2493">
        <v>30</v>
      </c>
      <c r="O20" s="327">
        <f>M20*N20</f>
        <v>216</v>
      </c>
      <c r="P20" s="3717" t="s">
        <v>6010</v>
      </c>
      <c r="Q20" s="3399"/>
      <c r="R20" s="3620">
        <v>0</v>
      </c>
    </row>
    <row r="21" spans="1:18" x14ac:dyDescent="0.2">
      <c r="A21" s="1465">
        <v>13.2</v>
      </c>
      <c r="B21" s="1106"/>
      <c r="C21" s="1106" t="s">
        <v>31</v>
      </c>
      <c r="D21" s="1580"/>
      <c r="E21" s="1580"/>
      <c r="F21" s="408"/>
      <c r="G21" s="408"/>
      <c r="H21" s="466"/>
      <c r="I21" s="466"/>
      <c r="J21" s="466"/>
      <c r="K21" s="408"/>
      <c r="L21" s="408"/>
      <c r="M21" s="1372"/>
      <c r="N21" s="348"/>
      <c r="O21" s="466">
        <f>SUM(O22:O24)+SUM(O29:O31)</f>
        <v>1358.3430000000001</v>
      </c>
      <c r="P21" s="465"/>
      <c r="Q21" s="3367"/>
      <c r="R21" s="466">
        <f>SUM(R22:R24)+SUM(R29:R31)</f>
        <v>0</v>
      </c>
    </row>
    <row r="22" spans="1:18" x14ac:dyDescent="0.2">
      <c r="A22" s="474" t="s">
        <v>1247</v>
      </c>
      <c r="B22" s="502" t="s">
        <v>1248</v>
      </c>
      <c r="C22" s="502" t="s">
        <v>1249</v>
      </c>
      <c r="D22" s="886" t="s">
        <v>70</v>
      </c>
      <c r="E22" s="1078" t="s">
        <v>3907</v>
      </c>
      <c r="F22" s="2519"/>
      <c r="G22" s="2515"/>
      <c r="H22" s="2516"/>
      <c r="I22" s="2515"/>
      <c r="J22" s="2515"/>
      <c r="K22" s="2512"/>
      <c r="L22" s="2515"/>
      <c r="M22" s="327"/>
      <c r="N22" s="2519"/>
      <c r="O22" s="327">
        <f t="shared" ref="O22:O31" si="1">M22*N22</f>
        <v>0</v>
      </c>
      <c r="P22" s="2476"/>
      <c r="Q22" s="3612"/>
      <c r="R22" s="536"/>
    </row>
    <row r="23" spans="1:18" ht="85.5" x14ac:dyDescent="0.2">
      <c r="A23" s="474" t="s">
        <v>1250</v>
      </c>
      <c r="B23" s="502" t="s">
        <v>1251</v>
      </c>
      <c r="C23" s="502" t="s">
        <v>1252</v>
      </c>
      <c r="D23" s="886" t="s">
        <v>70</v>
      </c>
      <c r="E23" s="1078" t="s">
        <v>3907</v>
      </c>
      <c r="F23" s="2519"/>
      <c r="G23" s="2515"/>
      <c r="H23" s="2516"/>
      <c r="I23" s="2515"/>
      <c r="J23" s="2515"/>
      <c r="K23" s="2512" t="s">
        <v>6008</v>
      </c>
      <c r="L23" s="3718">
        <v>64683</v>
      </c>
      <c r="M23" s="327">
        <f>+L23/100000</f>
        <v>0.64683000000000002</v>
      </c>
      <c r="N23" s="2519">
        <v>2100</v>
      </c>
      <c r="O23" s="327">
        <f t="shared" si="1"/>
        <v>1358.3430000000001</v>
      </c>
      <c r="P23" s="3717" t="s">
        <v>6009</v>
      </c>
      <c r="Q23" s="3399"/>
      <c r="R23" s="536"/>
    </row>
    <row r="24" spans="1:18" s="1061" customFormat="1" x14ac:dyDescent="0.2">
      <c r="A24" s="470" t="s">
        <v>1253</v>
      </c>
      <c r="B24" s="506" t="s">
        <v>1254</v>
      </c>
      <c r="C24" s="1731" t="s">
        <v>1255</v>
      </c>
      <c r="D24" s="1510" t="s">
        <v>70</v>
      </c>
      <c r="E24" s="1510" t="s">
        <v>3907</v>
      </c>
      <c r="F24" s="467"/>
      <c r="G24" s="468"/>
      <c r="H24" s="471"/>
      <c r="I24" s="471"/>
      <c r="J24" s="471"/>
      <c r="K24" s="467"/>
      <c r="L24" s="467"/>
      <c r="M24" s="471"/>
      <c r="N24" s="301"/>
      <c r="O24" s="471">
        <f>SUM(O25:O28)</f>
        <v>0</v>
      </c>
      <c r="P24" s="415"/>
      <c r="Q24" s="470"/>
      <c r="R24" s="471">
        <f>SUM(R25:R28)</f>
        <v>0</v>
      </c>
    </row>
    <row r="25" spans="1:18" x14ac:dyDescent="0.2">
      <c r="A25" s="1397" t="s">
        <v>4045</v>
      </c>
      <c r="B25" s="510"/>
      <c r="C25" s="1527" t="s">
        <v>4049</v>
      </c>
      <c r="D25" s="886" t="s">
        <v>70</v>
      </c>
      <c r="E25" s="1078" t="s">
        <v>3907</v>
      </c>
      <c r="F25" s="2512"/>
      <c r="G25" s="2513"/>
      <c r="H25" s="2514"/>
      <c r="I25" s="2514"/>
      <c r="J25" s="2515"/>
      <c r="K25" s="2515"/>
      <c r="L25" s="2515"/>
      <c r="M25" s="327"/>
      <c r="N25" s="2512"/>
      <c r="O25" s="327">
        <f>M25*N25</f>
        <v>0</v>
      </c>
      <c r="P25" s="2525"/>
      <c r="Q25" s="438"/>
      <c r="R25" s="536"/>
    </row>
    <row r="26" spans="1:18" x14ac:dyDescent="0.2">
      <c r="A26" s="474" t="s">
        <v>4046</v>
      </c>
      <c r="B26" s="510"/>
      <c r="C26" s="1527" t="s">
        <v>4050</v>
      </c>
      <c r="D26" s="886" t="s">
        <v>70</v>
      </c>
      <c r="E26" s="1078" t="s">
        <v>3907</v>
      </c>
      <c r="F26" s="2512"/>
      <c r="G26" s="2513"/>
      <c r="H26" s="2514"/>
      <c r="I26" s="2514"/>
      <c r="J26" s="2515"/>
      <c r="K26" s="2515"/>
      <c r="L26" s="2515"/>
      <c r="M26" s="327"/>
      <c r="N26" s="2512"/>
      <c r="O26" s="327">
        <f>M26*N26</f>
        <v>0</v>
      </c>
      <c r="P26" s="2526"/>
      <c r="Q26" s="3612"/>
      <c r="R26" s="536"/>
    </row>
    <row r="27" spans="1:18" x14ac:dyDescent="0.2">
      <c r="A27" s="474" t="s">
        <v>4047</v>
      </c>
      <c r="B27" s="510"/>
      <c r="C27" s="1527" t="s">
        <v>4121</v>
      </c>
      <c r="D27" s="886" t="s">
        <v>70</v>
      </c>
      <c r="E27" s="1078" t="s">
        <v>3907</v>
      </c>
      <c r="F27" s="2512"/>
      <c r="G27" s="2513"/>
      <c r="H27" s="2514"/>
      <c r="I27" s="2514"/>
      <c r="J27" s="2515"/>
      <c r="K27" s="2515"/>
      <c r="L27" s="2515"/>
      <c r="M27" s="327"/>
      <c r="N27" s="2512"/>
      <c r="O27" s="327">
        <f>M27*N27</f>
        <v>0</v>
      </c>
      <c r="P27" s="2526"/>
      <c r="Q27" s="388"/>
      <c r="R27" s="3620"/>
    </row>
    <row r="28" spans="1:18" x14ac:dyDescent="0.2">
      <c r="A28" s="1397" t="s">
        <v>4048</v>
      </c>
      <c r="B28" s="510"/>
      <c r="C28" s="1328" t="s">
        <v>1310</v>
      </c>
      <c r="D28" s="886" t="s">
        <v>70</v>
      </c>
      <c r="E28" s="1078" t="s">
        <v>3907</v>
      </c>
      <c r="F28" s="2512"/>
      <c r="G28" s="2513"/>
      <c r="H28" s="2514"/>
      <c r="I28" s="2514"/>
      <c r="J28" s="2515"/>
      <c r="K28" s="2515"/>
      <c r="L28" s="2515"/>
      <c r="M28" s="327"/>
      <c r="N28" s="2512"/>
      <c r="O28" s="327">
        <f>M28*N28</f>
        <v>0</v>
      </c>
      <c r="P28" s="2525"/>
      <c r="Q28" s="388"/>
      <c r="R28" s="536"/>
    </row>
    <row r="29" spans="1:18" x14ac:dyDescent="0.2">
      <c r="A29" s="1397" t="s">
        <v>1256</v>
      </c>
      <c r="B29" s="502" t="s">
        <v>1257</v>
      </c>
      <c r="C29" s="1328" t="s">
        <v>1258</v>
      </c>
      <c r="D29" s="886" t="s">
        <v>70</v>
      </c>
      <c r="E29" s="1078" t="s">
        <v>3907</v>
      </c>
      <c r="F29" s="2512"/>
      <c r="G29" s="2515"/>
      <c r="H29" s="2516"/>
      <c r="I29" s="2515"/>
      <c r="J29" s="2515"/>
      <c r="K29" s="2512"/>
      <c r="L29" s="2515"/>
      <c r="M29" s="327"/>
      <c r="N29" s="2512"/>
      <c r="O29" s="327">
        <f t="shared" si="1"/>
        <v>0</v>
      </c>
      <c r="P29" s="2524"/>
      <c r="Q29" s="388"/>
      <c r="R29" s="536"/>
    </row>
    <row r="30" spans="1:18" x14ac:dyDescent="0.2">
      <c r="A30" s="1397" t="s">
        <v>1259</v>
      </c>
      <c r="B30" s="502" t="s">
        <v>1260</v>
      </c>
      <c r="C30" s="1328" t="s">
        <v>1261</v>
      </c>
      <c r="D30" s="886" t="s">
        <v>70</v>
      </c>
      <c r="E30" s="1078" t="s">
        <v>3907</v>
      </c>
      <c r="F30" s="2512"/>
      <c r="G30" s="2515"/>
      <c r="H30" s="2516"/>
      <c r="I30" s="2515"/>
      <c r="J30" s="2515"/>
      <c r="K30" s="2512"/>
      <c r="L30" s="2515"/>
      <c r="M30" s="327"/>
      <c r="N30" s="2512"/>
      <c r="O30" s="327">
        <f t="shared" si="1"/>
        <v>0</v>
      </c>
      <c r="P30" s="2524"/>
      <c r="Q30" s="388"/>
      <c r="R30" s="536"/>
    </row>
    <row r="31" spans="1:18" ht="37.5" customHeight="1" x14ac:dyDescent="0.2">
      <c r="A31" s="1397" t="s">
        <v>2663</v>
      </c>
      <c r="B31" s="510"/>
      <c r="C31" s="1328" t="s">
        <v>1310</v>
      </c>
      <c r="D31" s="886" t="s">
        <v>70</v>
      </c>
      <c r="E31" s="1078" t="s">
        <v>3907</v>
      </c>
      <c r="F31" s="2512"/>
      <c r="G31" s="2513"/>
      <c r="H31" s="2514"/>
      <c r="I31" s="2514"/>
      <c r="J31" s="2515"/>
      <c r="K31" s="2515"/>
      <c r="L31" s="2515"/>
      <c r="M31" s="327"/>
      <c r="N31" s="2512"/>
      <c r="O31" s="327">
        <f t="shared" si="1"/>
        <v>0</v>
      </c>
      <c r="P31" s="2526"/>
      <c r="Q31" s="388"/>
      <c r="R31" s="536"/>
    </row>
    <row r="32" spans="1:18" s="989" customFormat="1" x14ac:dyDescent="0.2">
      <c r="A32" s="1465">
        <v>13.3</v>
      </c>
      <c r="B32" s="1106"/>
      <c r="C32" s="1106" t="s">
        <v>2554</v>
      </c>
      <c r="D32" s="1580"/>
      <c r="E32" s="1580"/>
      <c r="F32" s="408"/>
      <c r="G32" s="408"/>
      <c r="H32" s="466"/>
      <c r="I32" s="466"/>
      <c r="J32" s="466"/>
      <c r="K32" s="408"/>
      <c r="L32" s="408"/>
      <c r="M32" s="1372"/>
      <c r="N32" s="348"/>
      <c r="O32" s="466">
        <f>SUM(O33:O35)</f>
        <v>0</v>
      </c>
      <c r="P32" s="465"/>
      <c r="Q32" s="3367"/>
      <c r="R32" s="466">
        <f>SUM(R33:R35)</f>
        <v>0</v>
      </c>
    </row>
    <row r="33" spans="1:18" s="989" customFormat="1" ht="30" x14ac:dyDescent="0.2">
      <c r="A33" s="474" t="s">
        <v>1262</v>
      </c>
      <c r="B33" s="1328" t="s">
        <v>3922</v>
      </c>
      <c r="C33" s="1544" t="s">
        <v>2337</v>
      </c>
      <c r="D33" s="886" t="s">
        <v>70</v>
      </c>
      <c r="E33" s="1078" t="s">
        <v>3921</v>
      </c>
      <c r="F33" s="2512"/>
      <c r="G33" s="2527"/>
      <c r="H33" s="2528"/>
      <c r="I33" s="2527"/>
      <c r="J33" s="2527"/>
      <c r="K33" s="2529"/>
      <c r="L33" s="2527"/>
      <c r="M33" s="327"/>
      <c r="N33" s="304"/>
      <c r="O33" s="327">
        <f>M33*N33</f>
        <v>0</v>
      </c>
      <c r="P33" s="2530"/>
      <c r="Q33" s="3311"/>
      <c r="R33" s="536"/>
    </row>
    <row r="34" spans="1:18" s="1072" customFormat="1" ht="30" x14ac:dyDescent="0.2">
      <c r="A34" s="474" t="s">
        <v>3920</v>
      </c>
      <c r="B34" s="1477"/>
      <c r="C34" s="1477" t="s">
        <v>4533</v>
      </c>
      <c r="D34" s="1733" t="s">
        <v>90</v>
      </c>
      <c r="E34" s="1038" t="s">
        <v>205</v>
      </c>
      <c r="F34" s="473"/>
      <c r="G34" s="473"/>
      <c r="H34" s="473"/>
      <c r="I34" s="2893"/>
      <c r="J34" s="473"/>
      <c r="K34" s="473"/>
      <c r="L34" s="304"/>
      <c r="M34" s="327"/>
      <c r="N34" s="304"/>
      <c r="O34" s="328">
        <f>M34*N34</f>
        <v>0</v>
      </c>
      <c r="P34" s="326"/>
      <c r="Q34" s="474"/>
      <c r="R34" s="646">
        <f>'Ab1. RMNCH+A'!R424</f>
        <v>0</v>
      </c>
    </row>
    <row r="35" spans="1:18" x14ac:dyDescent="0.2">
      <c r="A35" s="474" t="s">
        <v>4532</v>
      </c>
      <c r="B35" s="1734"/>
      <c r="C35" s="1328" t="s">
        <v>4155</v>
      </c>
      <c r="D35" s="886" t="s">
        <v>70</v>
      </c>
      <c r="E35" s="1078" t="s">
        <v>70</v>
      </c>
      <c r="F35" s="436"/>
      <c r="G35" s="436"/>
      <c r="H35" s="436"/>
      <c r="I35" s="2894"/>
      <c r="J35" s="436"/>
      <c r="K35" s="436"/>
      <c r="L35" s="304"/>
      <c r="M35" s="327"/>
      <c r="N35" s="304"/>
      <c r="O35" s="327">
        <f>M35*N35</f>
        <v>0</v>
      </c>
      <c r="P35" s="299"/>
      <c r="Q35" s="438"/>
      <c r="R35" s="536"/>
    </row>
    <row r="38" spans="1:18" x14ac:dyDescent="0.2">
      <c r="N38" s="178"/>
      <c r="O38" s="1298">
        <f>O7-O39</f>
        <v>1719.7234000000001</v>
      </c>
      <c r="R38" s="1298">
        <f>R7-R39</f>
        <v>0</v>
      </c>
    </row>
    <row r="39" spans="1:18" x14ac:dyDescent="0.2">
      <c r="N39" s="178"/>
    </row>
  </sheetData>
  <sheetProtection formatCells="0" formatColumns="0" formatRows="0" autoFilter="0"/>
  <autoFilter ref="A6:R35"/>
  <mergeCells count="15">
    <mergeCell ref="AI1:AO1"/>
    <mergeCell ref="AP1:BA1"/>
    <mergeCell ref="K5:P5"/>
    <mergeCell ref="Q5:R5"/>
    <mergeCell ref="A1:C1"/>
    <mergeCell ref="F5:J5"/>
    <mergeCell ref="A5:A6"/>
    <mergeCell ref="B5:B6"/>
    <mergeCell ref="C5:C6"/>
    <mergeCell ref="D5:D6"/>
    <mergeCell ref="E5:E6"/>
    <mergeCell ref="E1:E2"/>
    <mergeCell ref="F1:N1"/>
    <mergeCell ref="A2:A4"/>
    <mergeCell ref="O1:AH1"/>
  </mergeCells>
  <phoneticPr fontId="57"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BA43"/>
  <sheetViews>
    <sheetView zoomScale="55" zoomScaleNormal="55" workbookViewId="0">
      <pane xSplit="5" ySplit="7" topLeftCell="F8" activePane="bottomRight" state="frozen"/>
      <selection activeCell="A2" sqref="A2:A4"/>
      <selection pane="topRight" activeCell="A2" sqref="A2:A4"/>
      <selection pane="bottomLeft" activeCell="A2" sqref="A2:A4"/>
      <selection pane="bottomRight" activeCell="P11" sqref="P11:P31"/>
    </sheetView>
  </sheetViews>
  <sheetFormatPr defaultColWidth="9.140625" defaultRowHeight="15" x14ac:dyDescent="0.2"/>
  <cols>
    <col min="1" max="1" width="10.140625" style="1400" bestFit="1" customWidth="1"/>
    <col min="2" max="2" width="16.5703125" style="1366" bestFit="1" customWidth="1"/>
    <col min="3" max="3" width="44.140625" style="1366" customWidth="1"/>
    <col min="4" max="4" width="7.5703125" style="1088" customWidth="1"/>
    <col min="5" max="5" width="22.42578125" style="1088" bestFit="1" customWidth="1"/>
    <col min="6" max="6" width="14.42578125" style="1366" customWidth="1"/>
    <col min="7" max="7" width="20.85546875" style="1366" customWidth="1"/>
    <col min="8" max="8" width="14.42578125" style="1366" customWidth="1"/>
    <col min="9" max="9" width="14" style="1366" customWidth="1"/>
    <col min="10" max="10" width="14.85546875" style="1366" customWidth="1"/>
    <col min="11" max="11" width="13.85546875" style="1366" customWidth="1"/>
    <col min="12" max="12" width="14.42578125" style="1366" bestFit="1" customWidth="1"/>
    <col min="13" max="13" width="12.140625" style="1298" customWidth="1"/>
    <col min="14" max="14" width="10.5703125" style="1366" bestFit="1" customWidth="1"/>
    <col min="15" max="15" width="12.140625" style="1298" customWidth="1"/>
    <col min="16" max="16" width="52.5703125" style="1400" customWidth="1"/>
    <col min="17" max="17" width="41.42578125" style="1401" customWidth="1"/>
    <col min="18" max="18" width="16.5703125" style="1298" customWidth="1"/>
    <col min="19" max="16384" width="9.140625" style="1366"/>
  </cols>
  <sheetData>
    <row r="1" spans="1:53" ht="14.45" customHeight="1" x14ac:dyDescent="0.2">
      <c r="A1" s="3852" t="s">
        <v>1263</v>
      </c>
      <c r="B1" s="3853"/>
      <c r="C1" s="3854"/>
      <c r="D1" s="1735"/>
      <c r="E1" s="3825" t="s">
        <v>4719</v>
      </c>
      <c r="F1" s="3894" t="s">
        <v>4717</v>
      </c>
      <c r="G1" s="3895"/>
      <c r="H1" s="3895"/>
      <c r="I1" s="3895"/>
      <c r="J1" s="3895"/>
      <c r="K1" s="3895"/>
      <c r="L1" s="3895"/>
      <c r="M1" s="3895"/>
      <c r="N1" s="3896"/>
      <c r="O1" s="3830" t="s">
        <v>70</v>
      </c>
      <c r="P1" s="3831"/>
      <c r="Q1" s="3831"/>
      <c r="R1" s="3831"/>
      <c r="S1" s="3831"/>
      <c r="T1" s="3831"/>
      <c r="U1" s="3831"/>
      <c r="V1" s="3831"/>
      <c r="W1" s="3831"/>
      <c r="X1" s="3831"/>
      <c r="Y1" s="3831"/>
      <c r="Z1" s="3831"/>
      <c r="AA1" s="3831"/>
      <c r="AB1" s="3831"/>
      <c r="AC1" s="3831"/>
      <c r="AD1" s="3831"/>
      <c r="AE1" s="3831"/>
      <c r="AF1" s="3831"/>
      <c r="AG1" s="3831"/>
      <c r="AH1" s="3831"/>
      <c r="AI1" s="3885" t="s">
        <v>4366</v>
      </c>
      <c r="AJ1" s="3886"/>
      <c r="AK1" s="3886"/>
      <c r="AL1" s="3886"/>
      <c r="AM1" s="3886"/>
      <c r="AN1" s="3886"/>
      <c r="AO1" s="3887"/>
      <c r="AP1" s="3872" t="s">
        <v>85</v>
      </c>
      <c r="AQ1" s="3873"/>
      <c r="AR1" s="3873"/>
      <c r="AS1" s="3873"/>
      <c r="AT1" s="3873"/>
      <c r="AU1" s="3873"/>
      <c r="AV1" s="3873"/>
      <c r="AW1" s="3873"/>
      <c r="AX1" s="3873"/>
      <c r="AY1" s="3873"/>
      <c r="AZ1" s="3873"/>
      <c r="BA1" s="3874"/>
    </row>
    <row r="2" spans="1:53" s="1368" customFormat="1" ht="30" x14ac:dyDescent="0.2">
      <c r="A2" s="3811" t="str">
        <f>HYPERLINK("#Index!A4", "Index Pg")</f>
        <v>Index Pg</v>
      </c>
      <c r="B2" s="1367" t="str">
        <f>HYPERLINK("#'Summary of Abstracts'!A2", "Summary of Abst.")</f>
        <v>Summary of Abst.</v>
      </c>
      <c r="C2" s="836"/>
      <c r="D2" s="988"/>
      <c r="E2" s="3825"/>
      <c r="F2" s="926" t="s">
        <v>118</v>
      </c>
      <c r="G2" s="926" t="s">
        <v>131</v>
      </c>
      <c r="H2" s="926" t="s">
        <v>91</v>
      </c>
      <c r="I2" s="926" t="s">
        <v>4715</v>
      </c>
      <c r="J2" s="926" t="s">
        <v>96</v>
      </c>
      <c r="K2" s="921" t="s">
        <v>4071</v>
      </c>
      <c r="L2" s="1561" t="s">
        <v>4716</v>
      </c>
      <c r="M2" s="1561" t="s">
        <v>4720</v>
      </c>
      <c r="N2" s="1561" t="s">
        <v>208</v>
      </c>
      <c r="O2" s="887" t="s">
        <v>4365</v>
      </c>
      <c r="P2" s="887" t="s">
        <v>3855</v>
      </c>
      <c r="Q2" s="887" t="s">
        <v>4729</v>
      </c>
      <c r="R2" s="887" t="s">
        <v>4726</v>
      </c>
      <c r="S2" s="887"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307</v>
      </c>
      <c r="AI2" s="888" t="s">
        <v>293</v>
      </c>
      <c r="AJ2" s="888" t="s">
        <v>114</v>
      </c>
      <c r="AK2" s="888" t="s">
        <v>146</v>
      </c>
      <c r="AL2" s="888" t="s">
        <v>4683</v>
      </c>
      <c r="AM2" s="888" t="s">
        <v>3323</v>
      </c>
      <c r="AN2" s="888" t="s">
        <v>3993</v>
      </c>
      <c r="AO2" s="888" t="s">
        <v>4553</v>
      </c>
      <c r="AP2" s="889" t="s">
        <v>86</v>
      </c>
      <c r="AQ2" s="889" t="s">
        <v>150</v>
      </c>
      <c r="AR2" s="889" t="s">
        <v>399</v>
      </c>
      <c r="AS2" s="889" t="s">
        <v>152</v>
      </c>
      <c r="AT2" s="889" t="s">
        <v>415</v>
      </c>
      <c r="AU2" s="889" t="s">
        <v>4607</v>
      </c>
      <c r="AV2" s="889" t="s">
        <v>4132</v>
      </c>
      <c r="AW2" s="889" t="s">
        <v>312</v>
      </c>
      <c r="AX2" s="889" t="s">
        <v>314</v>
      </c>
      <c r="AY2" s="889" t="s">
        <v>1034</v>
      </c>
      <c r="AZ2" s="889" t="s">
        <v>1020</v>
      </c>
      <c r="BA2" s="889" t="s">
        <v>4718</v>
      </c>
    </row>
    <row r="3" spans="1:53" s="1368" customFormat="1" x14ac:dyDescent="0.25">
      <c r="A3" s="3812"/>
      <c r="B3" s="831" t="str">
        <f>HYPERLINK("#'Budget Summary I'!A1:AL1", "Budget Summary I")</f>
        <v>Budget Summary I</v>
      </c>
      <c r="C3" s="1208" t="s">
        <v>4608</v>
      </c>
      <c r="D3" s="1736"/>
      <c r="E3" s="1195">
        <f>R7</f>
        <v>0</v>
      </c>
      <c r="F3" s="177"/>
      <c r="G3" s="177"/>
      <c r="H3" s="177">
        <f>R19</f>
        <v>0</v>
      </c>
      <c r="I3" s="177"/>
      <c r="J3" s="177"/>
      <c r="K3" s="961"/>
      <c r="L3" s="177">
        <f>R21+R22+R23+R24+R25+R26</f>
        <v>0</v>
      </c>
      <c r="M3" s="177"/>
      <c r="N3" s="961"/>
      <c r="O3" s="961"/>
      <c r="P3" s="961"/>
      <c r="Q3" s="961"/>
      <c r="R3" s="961"/>
      <c r="S3" s="961"/>
      <c r="T3" s="961"/>
      <c r="U3" s="961"/>
      <c r="V3" s="961"/>
      <c r="W3" s="961"/>
      <c r="X3" s="961"/>
      <c r="Y3" s="961"/>
      <c r="Z3" s="961"/>
      <c r="AA3" s="961">
        <f>R10+R11+R12+R13+R14</f>
        <v>0</v>
      </c>
      <c r="AB3" s="961"/>
      <c r="AC3" s="961"/>
      <c r="AD3" s="961"/>
      <c r="AE3" s="961">
        <f>R18</f>
        <v>0</v>
      </c>
      <c r="AF3" s="961"/>
      <c r="AG3" s="961"/>
      <c r="AH3" s="961">
        <f>R15+R17+R32</f>
        <v>0</v>
      </c>
      <c r="AI3" s="961"/>
      <c r="AJ3" s="961">
        <f>R27</f>
        <v>0</v>
      </c>
      <c r="AK3" s="961"/>
      <c r="AL3" s="961">
        <f>R29+R30+R28</f>
        <v>0</v>
      </c>
      <c r="AM3" s="961">
        <f>R31</f>
        <v>0</v>
      </c>
      <c r="AN3" s="961"/>
      <c r="AO3" s="961"/>
      <c r="AP3" s="961"/>
      <c r="AQ3" s="961"/>
      <c r="AR3" s="961"/>
      <c r="AS3" s="961"/>
      <c r="AT3" s="961"/>
      <c r="AU3" s="961"/>
      <c r="AV3" s="961"/>
      <c r="AW3" s="961"/>
      <c r="AX3" s="961"/>
      <c r="AY3" s="961"/>
      <c r="AZ3" s="961"/>
      <c r="BA3" s="961"/>
    </row>
    <row r="4" spans="1:53" s="1368" customFormat="1" x14ac:dyDescent="0.25">
      <c r="A4" s="3813"/>
      <c r="B4" s="831" t="str">
        <f>HYPERLINK("#'Budget Summary II'!A3:B5", "Budget Summary II")</f>
        <v>Budget Summary II</v>
      </c>
      <c r="C4" s="1208" t="s">
        <v>4609</v>
      </c>
      <c r="D4" s="1736"/>
      <c r="E4" s="1195">
        <f>O7</f>
        <v>0</v>
      </c>
      <c r="F4" s="177"/>
      <c r="G4" s="177"/>
      <c r="H4" s="177">
        <f>O19</f>
        <v>0</v>
      </c>
      <c r="I4" s="177"/>
      <c r="J4" s="177"/>
      <c r="K4" s="961"/>
      <c r="L4" s="177">
        <f>O21+O22+O23+O24+O25+O26</f>
        <v>0</v>
      </c>
      <c r="M4" s="177"/>
      <c r="N4" s="961"/>
      <c r="O4" s="961"/>
      <c r="P4" s="961"/>
      <c r="Q4" s="961"/>
      <c r="R4" s="961"/>
      <c r="S4" s="961"/>
      <c r="T4" s="961"/>
      <c r="U4" s="961"/>
      <c r="V4" s="961"/>
      <c r="W4" s="961"/>
      <c r="X4" s="961"/>
      <c r="Y4" s="961"/>
      <c r="Z4" s="961"/>
      <c r="AA4" s="961">
        <f>O10+O11+O12+O13+O14</f>
        <v>0</v>
      </c>
      <c r="AB4" s="961"/>
      <c r="AC4" s="961"/>
      <c r="AD4" s="961"/>
      <c r="AE4" s="961">
        <f>O18</f>
        <v>0</v>
      </c>
      <c r="AF4" s="961"/>
      <c r="AG4" s="961"/>
      <c r="AH4" s="961">
        <f>O15+O17+O32</f>
        <v>0</v>
      </c>
      <c r="AI4" s="961"/>
      <c r="AJ4" s="961">
        <f>O27</f>
        <v>0</v>
      </c>
      <c r="AK4" s="961"/>
      <c r="AL4" s="961">
        <f>O29+O30+O28</f>
        <v>0</v>
      </c>
      <c r="AM4" s="961">
        <f>O31</f>
        <v>0</v>
      </c>
      <c r="AN4" s="961"/>
      <c r="AO4" s="961"/>
      <c r="AP4" s="961"/>
      <c r="AQ4" s="961"/>
      <c r="AR4" s="961"/>
      <c r="AS4" s="961"/>
      <c r="AT4" s="961"/>
      <c r="AU4" s="961"/>
      <c r="AV4" s="961"/>
      <c r="AW4" s="961"/>
      <c r="AX4" s="961"/>
      <c r="AY4" s="961"/>
      <c r="AZ4" s="961"/>
      <c r="BA4" s="961"/>
    </row>
    <row r="5" spans="1:53" s="1727" customFormat="1" ht="12.75" customHeight="1" x14ac:dyDescent="0.2">
      <c r="A5" s="3823" t="s">
        <v>53</v>
      </c>
      <c r="B5" s="3823" t="s">
        <v>54</v>
      </c>
      <c r="C5" s="3823" t="s">
        <v>55</v>
      </c>
      <c r="D5" s="3823" t="s">
        <v>56</v>
      </c>
      <c r="E5" s="3823" t="s">
        <v>57</v>
      </c>
      <c r="F5" s="3876" t="s">
        <v>4629</v>
      </c>
      <c r="G5" s="3876"/>
      <c r="H5" s="3876"/>
      <c r="I5" s="3876"/>
      <c r="J5" s="3876"/>
      <c r="K5" s="3877" t="s">
        <v>4640</v>
      </c>
      <c r="L5" s="3888"/>
      <c r="M5" s="3888"/>
      <c r="N5" s="3888"/>
      <c r="O5" s="3888"/>
      <c r="P5" s="3889"/>
      <c r="Q5" s="3890" t="s">
        <v>4670</v>
      </c>
      <c r="R5" s="3891"/>
    </row>
    <row r="6" spans="1:53" s="1088" customFormat="1" ht="60" x14ac:dyDescent="0.2">
      <c r="A6" s="3823"/>
      <c r="B6" s="3823"/>
      <c r="C6" s="3823"/>
      <c r="D6" s="3823"/>
      <c r="E6" s="3823"/>
      <c r="F6" s="896" t="s">
        <v>4630</v>
      </c>
      <c r="G6" s="896" t="s">
        <v>4638</v>
      </c>
      <c r="H6" s="896" t="s">
        <v>4631</v>
      </c>
      <c r="I6" s="896" t="s">
        <v>4639</v>
      </c>
      <c r="J6" s="896" t="s">
        <v>2538</v>
      </c>
      <c r="K6" s="897" t="s">
        <v>58</v>
      </c>
      <c r="L6" s="897" t="s">
        <v>59</v>
      </c>
      <c r="M6" s="898" t="s">
        <v>60</v>
      </c>
      <c r="N6" s="897" t="s">
        <v>61</v>
      </c>
      <c r="O6" s="898" t="s">
        <v>62</v>
      </c>
      <c r="P6" s="897" t="s">
        <v>5547</v>
      </c>
      <c r="Q6" s="899" t="s">
        <v>2540</v>
      </c>
      <c r="R6" s="900" t="s">
        <v>4671</v>
      </c>
      <c r="S6" s="3449" t="s">
        <v>4724</v>
      </c>
    </row>
    <row r="7" spans="1:53" x14ac:dyDescent="0.2">
      <c r="A7" s="234">
        <v>14</v>
      </c>
      <c r="B7" s="965"/>
      <c r="C7" s="234" t="s">
        <v>1264</v>
      </c>
      <c r="D7" s="966"/>
      <c r="E7" s="966"/>
      <c r="F7" s="234"/>
      <c r="G7" s="234"/>
      <c r="H7" s="224"/>
      <c r="I7" s="224"/>
      <c r="J7" s="224"/>
      <c r="K7" s="234"/>
      <c r="L7" s="234"/>
      <c r="M7" s="224"/>
      <c r="N7" s="234"/>
      <c r="O7" s="224">
        <f>O8+O16</f>
        <v>0</v>
      </c>
      <c r="P7" s="234"/>
      <c r="Q7" s="234"/>
      <c r="R7" s="224">
        <f>R8+R16</f>
        <v>0</v>
      </c>
      <c r="S7" s="1366">
        <f>SUM(S8:S32)</f>
        <v>0</v>
      </c>
    </row>
    <row r="8" spans="1:53" x14ac:dyDescent="0.2">
      <c r="A8" s="1465">
        <v>14.1</v>
      </c>
      <c r="B8" s="1562" t="s">
        <v>1265</v>
      </c>
      <c r="C8" s="1106" t="s">
        <v>1266</v>
      </c>
      <c r="D8" s="1580"/>
      <c r="E8" s="1580"/>
      <c r="F8" s="1449"/>
      <c r="G8" s="1449"/>
      <c r="H8" s="225"/>
      <c r="I8" s="225"/>
      <c r="J8" s="225"/>
      <c r="K8" s="1449"/>
      <c r="L8" s="1449"/>
      <c r="M8" s="1217"/>
      <c r="N8" s="1218"/>
      <c r="O8" s="225">
        <f>O9+O15</f>
        <v>0</v>
      </c>
      <c r="P8" s="472"/>
      <c r="Q8" s="472"/>
      <c r="R8" s="225">
        <f>R9+R15</f>
        <v>0</v>
      </c>
    </row>
    <row r="9" spans="1:53" x14ac:dyDescent="0.2">
      <c r="A9" s="830" t="s">
        <v>1267</v>
      </c>
      <c r="B9" s="510" t="s">
        <v>1268</v>
      </c>
      <c r="C9" s="519" t="s">
        <v>41</v>
      </c>
      <c r="D9" s="1147"/>
      <c r="E9" s="1147"/>
      <c r="F9" s="300"/>
      <c r="G9" s="300"/>
      <c r="H9" s="232"/>
      <c r="I9" s="232"/>
      <c r="J9" s="232"/>
      <c r="K9" s="300"/>
      <c r="L9" s="300"/>
      <c r="M9" s="328"/>
      <c r="N9" s="475"/>
      <c r="O9" s="232">
        <f>SUM(O10:O14)</f>
        <v>0</v>
      </c>
      <c r="P9" s="326"/>
      <c r="Q9" s="410"/>
      <c r="R9" s="232">
        <f>SUM(R10:R14)</f>
        <v>0</v>
      </c>
    </row>
    <row r="10" spans="1:53" x14ac:dyDescent="0.2">
      <c r="A10" s="474" t="s">
        <v>2872</v>
      </c>
      <c r="B10" s="502" t="s">
        <v>1269</v>
      </c>
      <c r="C10" s="502" t="s">
        <v>2664</v>
      </c>
      <c r="D10" s="886" t="s">
        <v>70</v>
      </c>
      <c r="E10" s="1078" t="s">
        <v>3895</v>
      </c>
      <c r="F10" s="436"/>
      <c r="G10" s="436"/>
      <c r="H10" s="436"/>
      <c r="I10" s="2894"/>
      <c r="J10" s="436"/>
      <c r="K10" s="436"/>
      <c r="L10" s="304"/>
      <c r="M10" s="327"/>
      <c r="N10" s="304"/>
      <c r="O10" s="327">
        <f t="shared" ref="O10:O15" si="0">M10*N10</f>
        <v>0</v>
      </c>
      <c r="P10" s="437"/>
      <c r="Q10" s="3373"/>
      <c r="R10" s="536"/>
    </row>
    <row r="11" spans="1:53" x14ac:dyDescent="0.2">
      <c r="A11" s="474" t="s">
        <v>2873</v>
      </c>
      <c r="B11" s="502" t="s">
        <v>2364</v>
      </c>
      <c r="C11" s="502" t="s">
        <v>4898</v>
      </c>
      <c r="D11" s="886" t="s">
        <v>70</v>
      </c>
      <c r="E11" s="1078" t="s">
        <v>5117</v>
      </c>
      <c r="F11" s="2531"/>
      <c r="G11" s="2532"/>
      <c r="H11" s="2533"/>
      <c r="I11" s="2532"/>
      <c r="J11" s="2532"/>
      <c r="K11" s="2534"/>
      <c r="L11" s="2535"/>
      <c r="M11" s="327"/>
      <c r="N11" s="304"/>
      <c r="O11" s="327">
        <f t="shared" si="0"/>
        <v>0</v>
      </c>
      <c r="P11" s="2536"/>
      <c r="Q11" s="3370">
        <f>'Abs11. NTEP'!Q48</f>
        <v>0</v>
      </c>
      <c r="R11" s="1770">
        <f>'Abs11. NTEP'!R48</f>
        <v>0</v>
      </c>
    </row>
    <row r="12" spans="1:53" x14ac:dyDescent="0.2">
      <c r="A12" s="474" t="s">
        <v>2874</v>
      </c>
      <c r="B12" s="510"/>
      <c r="C12" s="502" t="s">
        <v>1310</v>
      </c>
      <c r="D12" s="886" t="s">
        <v>70</v>
      </c>
      <c r="E12" s="1078" t="s">
        <v>3895</v>
      </c>
      <c r="F12" s="297"/>
      <c r="G12" s="297"/>
      <c r="H12" s="297"/>
      <c r="I12" s="2885"/>
      <c r="J12" s="297"/>
      <c r="K12" s="436"/>
      <c r="L12" s="304"/>
      <c r="M12" s="327"/>
      <c r="N12" s="304"/>
      <c r="O12" s="1737">
        <f t="shared" si="0"/>
        <v>0</v>
      </c>
      <c r="P12" s="476"/>
      <c r="Q12" s="3371"/>
      <c r="R12" s="536"/>
    </row>
    <row r="13" spans="1:53" x14ac:dyDescent="0.2">
      <c r="A13" s="474" t="s">
        <v>3837</v>
      </c>
      <c r="B13" s="510"/>
      <c r="C13" s="519" t="s">
        <v>716</v>
      </c>
      <c r="D13" s="886" t="s">
        <v>70</v>
      </c>
      <c r="E13" s="1078" t="s">
        <v>3895</v>
      </c>
      <c r="F13" s="297"/>
      <c r="G13" s="297"/>
      <c r="H13" s="297"/>
      <c r="I13" s="2531"/>
      <c r="J13" s="297"/>
      <c r="K13" s="436"/>
      <c r="L13" s="304"/>
      <c r="M13" s="327"/>
      <c r="N13" s="304"/>
      <c r="O13" s="1737">
        <f t="shared" si="0"/>
        <v>0</v>
      </c>
      <c r="P13" s="476"/>
      <c r="Q13" s="3371"/>
      <c r="R13" s="536"/>
    </row>
    <row r="14" spans="1:53" ht="30" x14ac:dyDescent="0.2">
      <c r="A14" s="474" t="s">
        <v>3838</v>
      </c>
      <c r="B14" s="510"/>
      <c r="C14" s="519" t="s">
        <v>718</v>
      </c>
      <c r="D14" s="886" t="s">
        <v>70</v>
      </c>
      <c r="E14" s="1078" t="s">
        <v>3895</v>
      </c>
      <c r="F14" s="297"/>
      <c r="G14" s="297"/>
      <c r="H14" s="297"/>
      <c r="I14" s="2531"/>
      <c r="J14" s="297"/>
      <c r="K14" s="436"/>
      <c r="L14" s="304"/>
      <c r="M14" s="327"/>
      <c r="N14" s="304"/>
      <c r="O14" s="1737">
        <f t="shared" si="0"/>
        <v>0</v>
      </c>
      <c r="P14" s="476"/>
      <c r="Q14" s="3371"/>
      <c r="R14" s="536"/>
    </row>
    <row r="15" spans="1:53" s="1368" customFormat="1" ht="30" x14ac:dyDescent="0.2">
      <c r="A15" s="830" t="s">
        <v>1270</v>
      </c>
      <c r="B15" s="830"/>
      <c r="C15" s="830" t="s">
        <v>2665</v>
      </c>
      <c r="D15" s="886" t="s">
        <v>70</v>
      </c>
      <c r="E15" s="1147" t="s">
        <v>70</v>
      </c>
      <c r="F15" s="417"/>
      <c r="G15" s="417"/>
      <c r="H15" s="417"/>
      <c r="I15" s="417"/>
      <c r="J15" s="417"/>
      <c r="K15" s="417"/>
      <c r="L15" s="310"/>
      <c r="M15" s="328"/>
      <c r="N15" s="310"/>
      <c r="O15" s="328">
        <f t="shared" si="0"/>
        <v>0</v>
      </c>
      <c r="P15" s="417"/>
      <c r="Q15" s="1738"/>
      <c r="R15" s="232"/>
    </row>
    <row r="16" spans="1:53" x14ac:dyDescent="0.2">
      <c r="A16" s="1465">
        <v>14.2</v>
      </c>
      <c r="B16" s="1562"/>
      <c r="C16" s="1106" t="s">
        <v>2666</v>
      </c>
      <c r="D16" s="1580"/>
      <c r="E16" s="1580"/>
      <c r="F16" s="408"/>
      <c r="G16" s="408"/>
      <c r="H16" s="225"/>
      <c r="I16" s="225"/>
      <c r="J16" s="225"/>
      <c r="K16" s="408"/>
      <c r="L16" s="408"/>
      <c r="M16" s="1217"/>
      <c r="N16" s="348"/>
      <c r="O16" s="225">
        <f>SUM(O17:O20)+SUM(O23:O32)</f>
        <v>0</v>
      </c>
      <c r="P16" s="465"/>
      <c r="Q16" s="1739"/>
      <c r="R16" s="225">
        <f>SUM(R17:R20)+SUM(R23:R32)</f>
        <v>0</v>
      </c>
    </row>
    <row r="17" spans="1:18" ht="30" x14ac:dyDescent="0.2">
      <c r="A17" s="410" t="s">
        <v>1272</v>
      </c>
      <c r="B17" s="502" t="s">
        <v>1271</v>
      </c>
      <c r="C17" s="502" t="s">
        <v>2667</v>
      </c>
      <c r="D17" s="886" t="s">
        <v>70</v>
      </c>
      <c r="E17" s="1078" t="s">
        <v>70</v>
      </c>
      <c r="F17" s="297"/>
      <c r="G17" s="297"/>
      <c r="H17" s="297"/>
      <c r="I17" s="2885"/>
      <c r="J17" s="297"/>
      <c r="K17" s="297"/>
      <c r="L17" s="304"/>
      <c r="M17" s="327"/>
      <c r="N17" s="304"/>
      <c r="O17" s="327">
        <f>M17*N17</f>
        <v>0</v>
      </c>
      <c r="P17" s="299"/>
      <c r="Q17" s="3371"/>
      <c r="R17" s="733"/>
    </row>
    <row r="18" spans="1:18" x14ac:dyDescent="0.2">
      <c r="A18" s="410" t="s">
        <v>1275</v>
      </c>
      <c r="B18" s="502" t="s">
        <v>1273</v>
      </c>
      <c r="C18" s="1544" t="s">
        <v>1274</v>
      </c>
      <c r="D18" s="886" t="s">
        <v>70</v>
      </c>
      <c r="E18" s="1553" t="s">
        <v>5573</v>
      </c>
      <c r="F18" s="436"/>
      <c r="G18" s="436"/>
      <c r="H18" s="436"/>
      <c r="I18" s="2894"/>
      <c r="J18" s="436"/>
      <c r="K18" s="436"/>
      <c r="L18" s="304"/>
      <c r="M18" s="327"/>
      <c r="N18" s="304"/>
      <c r="O18" s="327">
        <f t="shared" ref="O18:O32" si="1">M18*N18</f>
        <v>0</v>
      </c>
      <c r="P18" s="437"/>
      <c r="Q18" s="3370">
        <f>'Ab4. HMIS-MCTS'!Q19</f>
        <v>0</v>
      </c>
      <c r="R18" s="646">
        <f>'Ab4. HMIS-MCTS'!R19</f>
        <v>0</v>
      </c>
    </row>
    <row r="19" spans="1:18" x14ac:dyDescent="0.2">
      <c r="A19" s="410" t="s">
        <v>1278</v>
      </c>
      <c r="B19" s="510"/>
      <c r="C19" s="1544" t="s">
        <v>2495</v>
      </c>
      <c r="D19" s="1733" t="s">
        <v>90</v>
      </c>
      <c r="E19" s="1078" t="s">
        <v>91</v>
      </c>
      <c r="F19" s="436"/>
      <c r="G19" s="436"/>
      <c r="H19" s="463"/>
      <c r="I19" s="2895"/>
      <c r="J19" s="436"/>
      <c r="K19" s="436"/>
      <c r="L19" s="304"/>
      <c r="M19" s="327"/>
      <c r="N19" s="304"/>
      <c r="O19" s="327">
        <f t="shared" si="1"/>
        <v>0</v>
      </c>
      <c r="P19" s="299"/>
      <c r="Q19" s="3372">
        <f>'Ab1. RMNCH+A'!Q284</f>
        <v>0</v>
      </c>
      <c r="R19" s="730">
        <f>'Ab1. RMNCH+A'!R284</f>
        <v>0</v>
      </c>
    </row>
    <row r="20" spans="1:18" s="1061" customFormat="1" x14ac:dyDescent="0.2">
      <c r="A20" s="1732" t="s">
        <v>1281</v>
      </c>
      <c r="B20" s="506"/>
      <c r="C20" s="1728" t="s">
        <v>4145</v>
      </c>
      <c r="D20" s="1510"/>
      <c r="E20" s="1510"/>
      <c r="F20" s="467"/>
      <c r="G20" s="467"/>
      <c r="H20" s="228"/>
      <c r="I20" s="228"/>
      <c r="J20" s="228"/>
      <c r="K20" s="467"/>
      <c r="L20" s="467"/>
      <c r="M20" s="228"/>
      <c r="N20" s="301"/>
      <c r="O20" s="228">
        <f>O21+O22</f>
        <v>0</v>
      </c>
      <c r="P20" s="415"/>
      <c r="Q20" s="3369"/>
      <c r="R20" s="228">
        <f>R21+R22</f>
        <v>0</v>
      </c>
    </row>
    <row r="21" spans="1:18" ht="30" x14ac:dyDescent="0.2">
      <c r="A21" s="410" t="s">
        <v>4144</v>
      </c>
      <c r="B21" s="502" t="s">
        <v>1276</v>
      </c>
      <c r="C21" s="502" t="s">
        <v>1277</v>
      </c>
      <c r="D21" s="1733" t="s">
        <v>90</v>
      </c>
      <c r="E21" s="1078" t="s">
        <v>205</v>
      </c>
      <c r="F21" s="2537"/>
      <c r="G21" s="2535"/>
      <c r="H21" s="2533"/>
      <c r="I21" s="2535"/>
      <c r="J21" s="2535"/>
      <c r="K21" s="2534"/>
      <c r="L21" s="2535"/>
      <c r="M21" s="327"/>
      <c r="N21" s="304"/>
      <c r="O21" s="327">
        <f t="shared" si="1"/>
        <v>0</v>
      </c>
      <c r="P21" s="2538"/>
      <c r="Q21" s="3372">
        <f>'Ab1. RMNCH+A'!Q426</f>
        <v>0</v>
      </c>
      <c r="R21" s="730">
        <f>'Ab1. RMNCH+A'!R426</f>
        <v>0</v>
      </c>
    </row>
    <row r="22" spans="1:18" ht="30" x14ac:dyDescent="0.2">
      <c r="A22" s="410" t="s">
        <v>4146</v>
      </c>
      <c r="B22" s="510"/>
      <c r="C22" s="502" t="s">
        <v>4147</v>
      </c>
      <c r="D22" s="1733" t="s">
        <v>90</v>
      </c>
      <c r="E22" s="1078" t="s">
        <v>205</v>
      </c>
      <c r="F22" s="436"/>
      <c r="G22" s="436"/>
      <c r="H22" s="463"/>
      <c r="I22" s="2895"/>
      <c r="J22" s="436"/>
      <c r="K22" s="436"/>
      <c r="L22" s="304"/>
      <c r="M22" s="327"/>
      <c r="N22" s="304"/>
      <c r="O22" s="327">
        <f>M22*N22</f>
        <v>0</v>
      </c>
      <c r="P22" s="442"/>
      <c r="Q22" s="3372">
        <f>'Ab1. RMNCH+A'!Q427</f>
        <v>0</v>
      </c>
      <c r="R22" s="730">
        <f>'Ab1. RMNCH+A'!R427</f>
        <v>0</v>
      </c>
    </row>
    <row r="23" spans="1:18" x14ac:dyDescent="0.2">
      <c r="A23" s="410" t="s">
        <v>1284</v>
      </c>
      <c r="B23" s="502" t="s">
        <v>1279</v>
      </c>
      <c r="C23" s="502" t="s">
        <v>1280</v>
      </c>
      <c r="D23" s="1733" t="s">
        <v>90</v>
      </c>
      <c r="E23" s="1078" t="s">
        <v>205</v>
      </c>
      <c r="F23" s="2537"/>
      <c r="G23" s="2535"/>
      <c r="H23" s="2533"/>
      <c r="I23" s="2535"/>
      <c r="J23" s="2535"/>
      <c r="K23" s="2534"/>
      <c r="L23" s="2535"/>
      <c r="M23" s="327"/>
      <c r="N23" s="2537"/>
      <c r="O23" s="327">
        <f t="shared" si="1"/>
        <v>0</v>
      </c>
      <c r="P23" s="2538"/>
      <c r="Q23" s="3372">
        <f>'Ab1. RMNCH+A'!Q428</f>
        <v>0</v>
      </c>
      <c r="R23" s="730">
        <f>'Ab1. RMNCH+A'!R428</f>
        <v>0</v>
      </c>
    </row>
    <row r="24" spans="1:18" ht="30" x14ac:dyDescent="0.2">
      <c r="A24" s="410" t="s">
        <v>1287</v>
      </c>
      <c r="B24" s="502" t="s">
        <v>1282</v>
      </c>
      <c r="C24" s="502" t="s">
        <v>1283</v>
      </c>
      <c r="D24" s="1733" t="s">
        <v>90</v>
      </c>
      <c r="E24" s="1078" t="s">
        <v>205</v>
      </c>
      <c r="F24" s="2537"/>
      <c r="G24" s="2539"/>
      <c r="H24" s="2540"/>
      <c r="I24" s="2539"/>
      <c r="J24" s="2539"/>
      <c r="K24" s="2539"/>
      <c r="L24" s="2539"/>
      <c r="M24" s="327"/>
      <c r="N24" s="2537"/>
      <c r="O24" s="327">
        <f t="shared" si="1"/>
        <v>0</v>
      </c>
      <c r="P24" s="3245"/>
      <c r="Q24" s="3372">
        <f>'Ab1. RMNCH+A'!Q429</f>
        <v>0</v>
      </c>
      <c r="R24" s="730">
        <f>'Ab1. RMNCH+A'!R429</f>
        <v>0</v>
      </c>
    </row>
    <row r="25" spans="1:18" x14ac:dyDescent="0.2">
      <c r="A25" s="410" t="s">
        <v>1289</v>
      </c>
      <c r="B25" s="502" t="s">
        <v>1285</v>
      </c>
      <c r="C25" s="502" t="s">
        <v>1286</v>
      </c>
      <c r="D25" s="1733" t="s">
        <v>90</v>
      </c>
      <c r="E25" s="1078" t="s">
        <v>205</v>
      </c>
      <c r="F25" s="2537"/>
      <c r="G25" s="2539"/>
      <c r="H25" s="2540"/>
      <c r="I25" s="2539"/>
      <c r="J25" s="2539"/>
      <c r="K25" s="2539"/>
      <c r="L25" s="2539"/>
      <c r="M25" s="327"/>
      <c r="N25" s="2537"/>
      <c r="O25" s="327">
        <f t="shared" si="1"/>
        <v>0</v>
      </c>
      <c r="P25" s="2538"/>
      <c r="Q25" s="3372">
        <f>'Ab1. RMNCH+A'!Q430</f>
        <v>0</v>
      </c>
      <c r="R25" s="730">
        <f>'Ab1. RMNCH+A'!R430</f>
        <v>0</v>
      </c>
    </row>
    <row r="26" spans="1:18" ht="30" x14ac:dyDescent="0.2">
      <c r="A26" s="410" t="s">
        <v>1291</v>
      </c>
      <c r="B26" s="502" t="s">
        <v>1288</v>
      </c>
      <c r="C26" s="502" t="s">
        <v>4156</v>
      </c>
      <c r="D26" s="1733" t="s">
        <v>90</v>
      </c>
      <c r="E26" s="1078" t="s">
        <v>205</v>
      </c>
      <c r="F26" s="436"/>
      <c r="G26" s="436"/>
      <c r="H26" s="463"/>
      <c r="I26" s="2895"/>
      <c r="J26" s="477"/>
      <c r="K26" s="2865"/>
      <c r="L26" s="304"/>
      <c r="M26" s="327"/>
      <c r="N26" s="304"/>
      <c r="O26" s="327">
        <f t="shared" si="1"/>
        <v>0</v>
      </c>
      <c r="P26" s="2943"/>
      <c r="Q26" s="3372">
        <f>'Ab1. RMNCH+A'!Q431</f>
        <v>0</v>
      </c>
      <c r="R26" s="730">
        <f>'Ab1. RMNCH+A'!R431</f>
        <v>0</v>
      </c>
    </row>
    <row r="27" spans="1:18" x14ac:dyDescent="0.2">
      <c r="A27" s="410" t="s">
        <v>1294</v>
      </c>
      <c r="B27" s="502" t="s">
        <v>1290</v>
      </c>
      <c r="C27" s="502" t="s">
        <v>2621</v>
      </c>
      <c r="D27" s="980" t="s">
        <v>4366</v>
      </c>
      <c r="E27" s="1130" t="s">
        <v>1549</v>
      </c>
      <c r="F27" s="436"/>
      <c r="G27" s="436"/>
      <c r="H27" s="436"/>
      <c r="I27" s="2894"/>
      <c r="J27" s="436"/>
      <c r="K27" s="436"/>
      <c r="L27" s="304"/>
      <c r="M27" s="327"/>
      <c r="N27" s="304"/>
      <c r="O27" s="327">
        <f t="shared" si="1"/>
        <v>0</v>
      </c>
      <c r="P27" s="437"/>
      <c r="Q27" s="3372">
        <f>'Abs9. NVBDCP'!Q104</f>
        <v>0</v>
      </c>
      <c r="R27" s="774">
        <f>'Abs9. NVBDCP'!R104</f>
        <v>0</v>
      </c>
    </row>
    <row r="28" spans="1:18" x14ac:dyDescent="0.2">
      <c r="A28" s="410" t="s">
        <v>2360</v>
      </c>
      <c r="B28" s="510" t="s">
        <v>1292</v>
      </c>
      <c r="C28" s="510" t="s">
        <v>1293</v>
      </c>
      <c r="D28" s="980" t="s">
        <v>4366</v>
      </c>
      <c r="E28" s="1341" t="s">
        <v>4683</v>
      </c>
      <c r="F28" s="374"/>
      <c r="G28" s="374"/>
      <c r="H28" s="478"/>
      <c r="I28" s="2896"/>
      <c r="J28" s="374"/>
      <c r="K28" s="1742"/>
      <c r="L28" s="1742"/>
      <c r="M28" s="734"/>
      <c r="N28" s="1743"/>
      <c r="O28" s="734"/>
      <c r="P28" s="479"/>
      <c r="Q28" s="3386"/>
      <c r="R28" s="734"/>
    </row>
    <row r="29" spans="1:18" x14ac:dyDescent="0.2">
      <c r="A29" s="410" t="s">
        <v>2494</v>
      </c>
      <c r="B29" s="502" t="s">
        <v>1295</v>
      </c>
      <c r="C29" s="502" t="s">
        <v>3908</v>
      </c>
      <c r="D29" s="980" t="s">
        <v>4366</v>
      </c>
      <c r="E29" s="1691" t="s">
        <v>4683</v>
      </c>
      <c r="F29" s="370"/>
      <c r="G29" s="370"/>
      <c r="H29" s="463"/>
      <c r="I29" s="2895"/>
      <c r="J29" s="370"/>
      <c r="K29" s="370"/>
      <c r="L29" s="304"/>
      <c r="M29" s="327"/>
      <c r="N29" s="304"/>
      <c r="O29" s="327">
        <f t="shared" si="1"/>
        <v>0</v>
      </c>
      <c r="P29" s="298"/>
      <c r="Q29" s="1740">
        <f>'Abs11. NTEP'!Q49</f>
        <v>0</v>
      </c>
      <c r="R29" s="327">
        <f>'Abs11. NTEP'!R49</f>
        <v>0</v>
      </c>
    </row>
    <row r="30" spans="1:18" x14ac:dyDescent="0.2">
      <c r="A30" s="410" t="s">
        <v>2668</v>
      </c>
      <c r="B30" s="1544" t="s">
        <v>2290</v>
      </c>
      <c r="C30" s="1544" t="s">
        <v>2361</v>
      </c>
      <c r="D30" s="980" t="s">
        <v>4366</v>
      </c>
      <c r="E30" s="1691" t="s">
        <v>4683</v>
      </c>
      <c r="F30" s="2541"/>
      <c r="G30" s="2531"/>
      <c r="H30" s="2542"/>
      <c r="I30" s="2542"/>
      <c r="J30" s="2531"/>
      <c r="K30" s="2543"/>
      <c r="L30" s="2541"/>
      <c r="M30" s="327"/>
      <c r="N30" s="304"/>
      <c r="O30" s="327">
        <f t="shared" si="1"/>
        <v>0</v>
      </c>
      <c r="P30" s="2544"/>
      <c r="Q30" s="1740">
        <f>'Abs11. NTEP'!Q50</f>
        <v>0</v>
      </c>
      <c r="R30" s="327">
        <f>'Abs11. NTEP'!R50</f>
        <v>0</v>
      </c>
    </row>
    <row r="31" spans="1:18" s="1368" customFormat="1" x14ac:dyDescent="0.2">
      <c r="A31" s="410" t="s">
        <v>2669</v>
      </c>
      <c r="B31" s="1734"/>
      <c r="C31" s="1734" t="s">
        <v>4418</v>
      </c>
      <c r="D31" s="980" t="s">
        <v>4366</v>
      </c>
      <c r="E31" s="1341" t="s">
        <v>3323</v>
      </c>
      <c r="F31" s="300"/>
      <c r="G31" s="300"/>
      <c r="H31" s="478"/>
      <c r="I31" s="2896"/>
      <c r="J31" s="300"/>
      <c r="K31" s="3044"/>
      <c r="L31" s="304"/>
      <c r="M31" s="327"/>
      <c r="N31" s="304"/>
      <c r="O31" s="328">
        <f t="shared" si="1"/>
        <v>0</v>
      </c>
      <c r="P31" s="3045"/>
      <c r="Q31" s="1741">
        <f>'Abs12. NVHCP'!Q37</f>
        <v>0</v>
      </c>
      <c r="R31" s="692">
        <f>'Abs12. NVHCP'!R37</f>
        <v>0</v>
      </c>
    </row>
    <row r="32" spans="1:18" x14ac:dyDescent="0.2">
      <c r="A32" s="410" t="s">
        <v>4417</v>
      </c>
      <c r="B32" s="1734"/>
      <c r="C32" s="1544" t="s">
        <v>1310</v>
      </c>
      <c r="D32" s="886" t="s">
        <v>70</v>
      </c>
      <c r="E32" s="1078" t="s">
        <v>70</v>
      </c>
      <c r="F32" s="436"/>
      <c r="G32" s="436"/>
      <c r="H32" s="436"/>
      <c r="I32" s="2894"/>
      <c r="J32" s="436"/>
      <c r="K32" s="2846"/>
      <c r="L32" s="304"/>
      <c r="M32" s="327"/>
      <c r="N32" s="304"/>
      <c r="O32" s="1737">
        <f t="shared" si="1"/>
        <v>0</v>
      </c>
      <c r="P32" s="2847"/>
      <c r="Q32" s="3373"/>
      <c r="R32" s="536"/>
    </row>
    <row r="33" spans="14:18" x14ac:dyDescent="0.2">
      <c r="N33" s="1744"/>
    </row>
    <row r="34" spans="14:18" x14ac:dyDescent="0.2">
      <c r="N34" s="1744"/>
    </row>
    <row r="35" spans="14:18" x14ac:dyDescent="0.2">
      <c r="N35" s="178"/>
      <c r="O35" s="1298">
        <f>O7-O36</f>
        <v>0</v>
      </c>
      <c r="R35" s="1298">
        <f>R7-R36</f>
        <v>0</v>
      </c>
    </row>
    <row r="36" spans="14:18" x14ac:dyDescent="0.2">
      <c r="N36" s="178"/>
      <c r="O36" s="1298">
        <f>O31+O26</f>
        <v>0</v>
      </c>
      <c r="R36" s="1298">
        <f>R31+R26</f>
        <v>0</v>
      </c>
    </row>
    <row r="37" spans="14:18" x14ac:dyDescent="0.2">
      <c r="N37" s="1744"/>
    </row>
    <row r="38" spans="14:18" x14ac:dyDescent="0.2">
      <c r="N38" s="1744"/>
    </row>
    <row r="39" spans="14:18" x14ac:dyDescent="0.2">
      <c r="N39" s="1744"/>
    </row>
    <row r="40" spans="14:18" x14ac:dyDescent="0.2">
      <c r="N40" s="1744"/>
    </row>
    <row r="41" spans="14:18" x14ac:dyDescent="0.2">
      <c r="N41" s="1744"/>
    </row>
    <row r="42" spans="14:18" x14ac:dyDescent="0.2">
      <c r="N42" s="1744"/>
    </row>
    <row r="43" spans="14:18" x14ac:dyDescent="0.2">
      <c r="N43" s="1744"/>
    </row>
  </sheetData>
  <sheetProtection formatCells="0" formatColumns="0" formatRows="0" autoFilter="0"/>
  <autoFilter ref="A6:R32"/>
  <mergeCells count="15">
    <mergeCell ref="AI1:AO1"/>
    <mergeCell ref="AP1:BA1"/>
    <mergeCell ref="K5:P5"/>
    <mergeCell ref="Q5:R5"/>
    <mergeCell ref="A1:C1"/>
    <mergeCell ref="F5:J5"/>
    <mergeCell ref="A5:A6"/>
    <mergeCell ref="B5:B6"/>
    <mergeCell ref="C5:C6"/>
    <mergeCell ref="D5:D6"/>
    <mergeCell ref="E5:E6"/>
    <mergeCell ref="E1:E2"/>
    <mergeCell ref="F1:N1"/>
    <mergeCell ref="A2:A4"/>
    <mergeCell ref="O1:AH1"/>
  </mergeCells>
  <phoneticPr fontId="57" type="noConversion"/>
  <pageMargins left="0.7" right="0.7" top="0.75" bottom="0.75" header="0.3" footer="0.3"/>
  <pageSetup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BD57"/>
  <sheetViews>
    <sheetView zoomScale="70" zoomScaleNormal="70" workbookViewId="0">
      <pane xSplit="5" ySplit="7" topLeftCell="F8" activePane="bottomRight" state="frozen"/>
      <selection activeCell="A2" sqref="A2:A4"/>
      <selection pane="topRight" activeCell="A2" sqref="A2:A4"/>
      <selection pane="bottomLeft" activeCell="A2" sqref="A2:A4"/>
      <selection pane="bottomRight" activeCell="P46" sqref="P46"/>
    </sheetView>
  </sheetViews>
  <sheetFormatPr defaultColWidth="12.42578125" defaultRowHeight="15" x14ac:dyDescent="0.2"/>
  <cols>
    <col min="1" max="1" width="12.140625" style="1784" customWidth="1"/>
    <col min="2" max="2" width="19.140625" style="1746" hidden="1" customWidth="1"/>
    <col min="3" max="3" width="48" style="1746" customWidth="1"/>
    <col min="4" max="4" width="7.85546875" style="1751" customWidth="1"/>
    <col min="5" max="5" width="18.7109375" style="1751" customWidth="1"/>
    <col min="6" max="6" width="11.5703125" style="1746" customWidth="1"/>
    <col min="7" max="7" width="22.140625" style="1746" customWidth="1"/>
    <col min="8" max="10" width="11.5703125" style="1746" customWidth="1"/>
    <col min="11" max="11" width="11.28515625" style="1746" customWidth="1"/>
    <col min="12" max="12" width="10" style="1746" bestFit="1" customWidth="1"/>
    <col min="13" max="13" width="12.140625" style="1298" customWidth="1"/>
    <col min="14" max="14" width="10.5703125" style="1746" bestFit="1" customWidth="1"/>
    <col min="15" max="15" width="12.140625" style="1298" bestFit="1" customWidth="1"/>
    <col min="16" max="16" width="30.85546875" style="1784" customWidth="1"/>
    <col min="17" max="17" width="37.7109375" style="1784" customWidth="1"/>
    <col min="18" max="18" width="12.140625" style="1298" customWidth="1"/>
    <col min="19" max="19" width="18.85546875" style="1746" customWidth="1"/>
    <col min="20" max="16384" width="12.42578125" style="1746"/>
  </cols>
  <sheetData>
    <row r="1" spans="1:56" ht="14.45" customHeight="1" x14ac:dyDescent="0.2">
      <c r="A1" s="3974" t="s">
        <v>1305</v>
      </c>
      <c r="B1" s="3975"/>
      <c r="C1" s="3976"/>
      <c r="D1" s="1745"/>
      <c r="E1" s="3825" t="s">
        <v>4719</v>
      </c>
      <c r="F1" s="3894" t="s">
        <v>4717</v>
      </c>
      <c r="G1" s="3895"/>
      <c r="H1" s="3895"/>
      <c r="I1" s="3895"/>
      <c r="J1" s="3895"/>
      <c r="K1" s="3895"/>
      <c r="L1" s="3895"/>
      <c r="M1" s="3971"/>
      <c r="N1" s="3896"/>
      <c r="O1" s="3972" t="s">
        <v>70</v>
      </c>
      <c r="P1" s="3831"/>
      <c r="Q1" s="3831"/>
      <c r="R1" s="3973"/>
      <c r="S1" s="3831"/>
      <c r="T1" s="3831"/>
      <c r="U1" s="3831"/>
      <c r="V1" s="3831"/>
      <c r="W1" s="3831"/>
      <c r="X1" s="3831"/>
      <c r="Y1" s="3831"/>
      <c r="Z1" s="3831"/>
      <c r="AA1" s="3831"/>
      <c r="AB1" s="3831"/>
      <c r="AC1" s="3831"/>
      <c r="AD1" s="3831"/>
      <c r="AE1" s="3831"/>
      <c r="AF1" s="3831"/>
      <c r="AG1" s="3831"/>
      <c r="AH1" s="3831"/>
      <c r="AI1" s="3885" t="s">
        <v>4366</v>
      </c>
      <c r="AJ1" s="3886"/>
      <c r="AK1" s="3886"/>
      <c r="AL1" s="3886"/>
      <c r="AM1" s="3886"/>
      <c r="AN1" s="3886"/>
      <c r="AO1" s="3887"/>
      <c r="AP1" s="3872" t="s">
        <v>85</v>
      </c>
      <c r="AQ1" s="3873"/>
      <c r="AR1" s="3873"/>
      <c r="AS1" s="3873"/>
      <c r="AT1" s="3873"/>
      <c r="AU1" s="3873"/>
      <c r="AV1" s="3873"/>
      <c r="AW1" s="3873"/>
      <c r="AX1" s="3873"/>
      <c r="AY1" s="3873"/>
      <c r="AZ1" s="3873"/>
      <c r="BA1" s="3874"/>
      <c r="BB1" s="3977" t="s">
        <v>5114</v>
      </c>
      <c r="BC1" s="3978" t="s">
        <v>5115</v>
      </c>
      <c r="BD1" s="3979" t="s">
        <v>5177</v>
      </c>
    </row>
    <row r="2" spans="1:56" s="1747" customFormat="1" ht="30" x14ac:dyDescent="0.2">
      <c r="A2" s="3811" t="str">
        <f>HYPERLINK("#Index!A4", "Index Pg")</f>
        <v>Index Pg</v>
      </c>
      <c r="B2" s="1367" t="str">
        <f>HYPERLINK("#'Summary of Abstracts'!A2", "Summary of Abst.")</f>
        <v>Summary of Abst.</v>
      </c>
      <c r="C2" s="836"/>
      <c r="D2" s="988"/>
      <c r="E2" s="3825"/>
      <c r="F2" s="884" t="s">
        <v>118</v>
      </c>
      <c r="G2" s="884" t="s">
        <v>131</v>
      </c>
      <c r="H2" s="884" t="s">
        <v>91</v>
      </c>
      <c r="I2" s="884" t="s">
        <v>4715</v>
      </c>
      <c r="J2" s="884" t="s">
        <v>96</v>
      </c>
      <c r="K2" s="1194" t="s">
        <v>4071</v>
      </c>
      <c r="L2" s="885" t="s">
        <v>4716</v>
      </c>
      <c r="M2" s="885" t="s">
        <v>4720</v>
      </c>
      <c r="N2" s="885" t="s">
        <v>208</v>
      </c>
      <c r="O2" s="887" t="s">
        <v>4365</v>
      </c>
      <c r="P2" s="887" t="s">
        <v>3855</v>
      </c>
      <c r="Q2" s="887" t="s">
        <v>4729</v>
      </c>
      <c r="R2" s="887" t="s">
        <v>4726</v>
      </c>
      <c r="S2" s="887"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307</v>
      </c>
      <c r="AI2" s="888" t="s">
        <v>293</v>
      </c>
      <c r="AJ2" s="888" t="s">
        <v>114</v>
      </c>
      <c r="AK2" s="888" t="s">
        <v>146</v>
      </c>
      <c r="AL2" s="888" t="s">
        <v>4683</v>
      </c>
      <c r="AM2" s="888" t="s">
        <v>3323</v>
      </c>
      <c r="AN2" s="888" t="s">
        <v>3993</v>
      </c>
      <c r="AO2" s="888" t="s">
        <v>4553</v>
      </c>
      <c r="AP2" s="889" t="s">
        <v>86</v>
      </c>
      <c r="AQ2" s="889" t="s">
        <v>150</v>
      </c>
      <c r="AR2" s="889" t="s">
        <v>399</v>
      </c>
      <c r="AS2" s="889" t="s">
        <v>152</v>
      </c>
      <c r="AT2" s="889" t="s">
        <v>415</v>
      </c>
      <c r="AU2" s="889" t="s">
        <v>4607</v>
      </c>
      <c r="AV2" s="889" t="s">
        <v>4132</v>
      </c>
      <c r="AW2" s="889" t="s">
        <v>312</v>
      </c>
      <c r="AX2" s="889" t="s">
        <v>314</v>
      </c>
      <c r="AY2" s="889" t="s">
        <v>1034</v>
      </c>
      <c r="AZ2" s="889" t="s">
        <v>1020</v>
      </c>
      <c r="BA2" s="889" t="s">
        <v>4718</v>
      </c>
      <c r="BB2" s="3977"/>
      <c r="BC2" s="3978"/>
      <c r="BD2" s="3979"/>
    </row>
    <row r="3" spans="1:56" s="1725" customFormat="1" x14ac:dyDescent="0.2">
      <c r="A3" s="3812"/>
      <c r="B3" s="1748" t="str">
        <f>HYPERLINK("#'Budget Summary I'!A1:AL1", "Budget Summary I")</f>
        <v>Budget Summary I</v>
      </c>
      <c r="C3" s="1208" t="s">
        <v>4608</v>
      </c>
      <c r="D3" s="960"/>
      <c r="E3" s="997">
        <f>R7</f>
        <v>0</v>
      </c>
      <c r="F3" s="177"/>
      <c r="G3" s="177"/>
      <c r="H3" s="177">
        <f>R9+R10</f>
        <v>0</v>
      </c>
      <c r="I3" s="177"/>
      <c r="J3" s="177"/>
      <c r="K3" s="961"/>
      <c r="L3" s="177"/>
      <c r="M3" s="177"/>
      <c r="N3" s="961"/>
      <c r="O3" s="961">
        <f>R17</f>
        <v>0</v>
      </c>
      <c r="P3" s="961"/>
      <c r="Q3" s="961"/>
      <c r="R3" s="961"/>
      <c r="S3" s="961"/>
      <c r="T3" s="961"/>
      <c r="U3" s="961"/>
      <c r="V3" s="961"/>
      <c r="W3" s="961"/>
      <c r="X3" s="961"/>
      <c r="Y3" s="961"/>
      <c r="Z3" s="961"/>
      <c r="AA3" s="961"/>
      <c r="AB3" s="961"/>
      <c r="AC3" s="961"/>
      <c r="AD3" s="961"/>
      <c r="AE3" s="961"/>
      <c r="AF3" s="961"/>
      <c r="AG3" s="961"/>
      <c r="AH3" s="961">
        <f>R13+R14+R15+R16+R18</f>
        <v>0</v>
      </c>
      <c r="AI3" s="961"/>
      <c r="AJ3" s="961">
        <f>R21+R22</f>
        <v>0</v>
      </c>
      <c r="AK3" s="961">
        <f>R24+R25</f>
        <v>0</v>
      </c>
      <c r="AL3" s="961">
        <f>R27+R28+R29+R30</f>
        <v>0</v>
      </c>
      <c r="AM3" s="961">
        <f>R32</f>
        <v>0</v>
      </c>
      <c r="AN3" s="961"/>
      <c r="AO3" s="961"/>
      <c r="AP3" s="961">
        <f>R36+R38+R39+R40+R41+R42+R45</f>
        <v>0</v>
      </c>
      <c r="AQ3" s="961">
        <f>R46</f>
        <v>0</v>
      </c>
      <c r="AR3" s="961"/>
      <c r="AS3" s="961"/>
      <c r="AT3" s="961">
        <f>R48+R49+R50+R51</f>
        <v>0</v>
      </c>
      <c r="AU3" s="961">
        <f>R52</f>
        <v>0</v>
      </c>
      <c r="AV3" s="961"/>
      <c r="AW3" s="961"/>
      <c r="AX3" s="961"/>
      <c r="AY3" s="961"/>
      <c r="AZ3" s="961">
        <f>R35</f>
        <v>0</v>
      </c>
      <c r="BA3" s="961"/>
      <c r="BB3" s="1749">
        <f>R11</f>
        <v>0</v>
      </c>
      <c r="BC3" s="1749">
        <f>R33</f>
        <v>0</v>
      </c>
      <c r="BD3" s="1749">
        <f>R53</f>
        <v>0</v>
      </c>
    </row>
    <row r="4" spans="1:56" s="1725" customFormat="1" x14ac:dyDescent="0.2">
      <c r="A4" s="3813"/>
      <c r="B4" s="1748" t="str">
        <f>HYPERLINK("#'Budget Summary II'!A3:B5", "Budget Summary II")</f>
        <v>Budget Summary II</v>
      </c>
      <c r="C4" s="1208" t="s">
        <v>4609</v>
      </c>
      <c r="D4" s="960"/>
      <c r="E4" s="997">
        <f>O7</f>
        <v>0</v>
      </c>
      <c r="F4" s="177"/>
      <c r="G4" s="177"/>
      <c r="H4" s="177">
        <f>O9+O10</f>
        <v>0</v>
      </c>
      <c r="I4" s="177"/>
      <c r="J4" s="177"/>
      <c r="K4" s="961"/>
      <c r="L4" s="177"/>
      <c r="M4" s="177"/>
      <c r="N4" s="961"/>
      <c r="O4" s="961">
        <f>O17</f>
        <v>0</v>
      </c>
      <c r="P4" s="961"/>
      <c r="Q4" s="961"/>
      <c r="R4" s="961"/>
      <c r="S4" s="961"/>
      <c r="T4" s="961"/>
      <c r="U4" s="961"/>
      <c r="V4" s="961"/>
      <c r="W4" s="961"/>
      <c r="X4" s="961"/>
      <c r="Y4" s="961"/>
      <c r="Z4" s="961"/>
      <c r="AA4" s="961"/>
      <c r="AB4" s="961"/>
      <c r="AC4" s="961"/>
      <c r="AD4" s="961"/>
      <c r="AE4" s="961"/>
      <c r="AF4" s="961"/>
      <c r="AG4" s="961"/>
      <c r="AH4" s="961">
        <f>O13+O14+O15+O16+O18</f>
        <v>0</v>
      </c>
      <c r="AI4" s="961"/>
      <c r="AJ4" s="961">
        <f>O21+O22</f>
        <v>0</v>
      </c>
      <c r="AK4" s="961">
        <f>O24+O25</f>
        <v>0</v>
      </c>
      <c r="AL4" s="961">
        <f>O27+O28+O29+O30</f>
        <v>0</v>
      </c>
      <c r="AM4" s="961">
        <f>O32</f>
        <v>0</v>
      </c>
      <c r="AN4" s="961"/>
      <c r="AO4" s="961"/>
      <c r="AP4" s="961">
        <f>O36+O38+O39+O40+O41+O42+O45</f>
        <v>0</v>
      </c>
      <c r="AQ4" s="961">
        <f>O46</f>
        <v>0</v>
      </c>
      <c r="AR4" s="961"/>
      <c r="AS4" s="961"/>
      <c r="AT4" s="961">
        <f>O48+O49+O50+O51</f>
        <v>0</v>
      </c>
      <c r="AU4" s="961">
        <f>O52</f>
        <v>0</v>
      </c>
      <c r="AV4" s="961"/>
      <c r="AW4" s="961"/>
      <c r="AX4" s="961"/>
      <c r="AY4" s="961"/>
      <c r="AZ4" s="961">
        <f>O35</f>
        <v>0</v>
      </c>
      <c r="BA4" s="961"/>
      <c r="BB4" s="1749">
        <f>O11</f>
        <v>0</v>
      </c>
      <c r="BC4" s="1749">
        <f>O33</f>
        <v>0</v>
      </c>
      <c r="BD4" s="1749">
        <f>O53</f>
        <v>0</v>
      </c>
    </row>
    <row r="5" spans="1:56" s="1750" customFormat="1" ht="12.75" customHeight="1" x14ac:dyDescent="0.2">
      <c r="A5" s="3823" t="s">
        <v>53</v>
      </c>
      <c r="B5" s="3823" t="s">
        <v>54</v>
      </c>
      <c r="C5" s="3823" t="s">
        <v>55</v>
      </c>
      <c r="D5" s="3823" t="s">
        <v>56</v>
      </c>
      <c r="E5" s="3823" t="s">
        <v>57</v>
      </c>
      <c r="F5" s="3876" t="s">
        <v>4629</v>
      </c>
      <c r="G5" s="3876"/>
      <c r="H5" s="3876"/>
      <c r="I5" s="3876"/>
      <c r="J5" s="3876"/>
      <c r="K5" s="3877" t="s">
        <v>4640</v>
      </c>
      <c r="L5" s="3888"/>
      <c r="M5" s="3969"/>
      <c r="N5" s="3888"/>
      <c r="O5" s="3969"/>
      <c r="P5" s="3889"/>
      <c r="Q5" s="3890" t="s">
        <v>4670</v>
      </c>
      <c r="R5" s="3970"/>
    </row>
    <row r="6" spans="1:56" s="1751" customFormat="1" ht="60" x14ac:dyDescent="0.2">
      <c r="A6" s="3823"/>
      <c r="B6" s="3823"/>
      <c r="C6" s="3823"/>
      <c r="D6" s="3823"/>
      <c r="E6" s="3823"/>
      <c r="F6" s="896" t="s">
        <v>4630</v>
      </c>
      <c r="G6" s="896" t="s">
        <v>4638</v>
      </c>
      <c r="H6" s="896" t="s">
        <v>4631</v>
      </c>
      <c r="I6" s="896" t="s">
        <v>4639</v>
      </c>
      <c r="J6" s="896" t="s">
        <v>2538</v>
      </c>
      <c r="K6" s="897" t="s">
        <v>58</v>
      </c>
      <c r="L6" s="897" t="s">
        <v>59</v>
      </c>
      <c r="M6" s="898" t="s">
        <v>60</v>
      </c>
      <c r="N6" s="897" t="s">
        <v>61</v>
      </c>
      <c r="O6" s="898" t="s">
        <v>62</v>
      </c>
      <c r="P6" s="897" t="s">
        <v>5547</v>
      </c>
      <c r="Q6" s="899" t="s">
        <v>2540</v>
      </c>
      <c r="R6" s="900" t="s">
        <v>4671</v>
      </c>
      <c r="S6" s="3452" t="s">
        <v>4724</v>
      </c>
    </row>
    <row r="7" spans="1:56" x14ac:dyDescent="0.2">
      <c r="A7" s="484">
        <v>15</v>
      </c>
      <c r="B7" s="485"/>
      <c r="C7" s="484" t="s">
        <v>33</v>
      </c>
      <c r="D7" s="1585"/>
      <c r="E7" s="1261"/>
      <c r="F7" s="485"/>
      <c r="G7" s="485"/>
      <c r="H7" s="224"/>
      <c r="I7" s="224"/>
      <c r="J7" s="224"/>
      <c r="K7" s="484"/>
      <c r="L7" s="484"/>
      <c r="M7" s="224"/>
      <c r="N7" s="484"/>
      <c r="O7" s="224">
        <f>O8+O12+O19+O34</f>
        <v>0</v>
      </c>
      <c r="P7" s="484"/>
      <c r="Q7" s="484"/>
      <c r="R7" s="224">
        <f>R8+R12+R19+R34</f>
        <v>0</v>
      </c>
      <c r="S7" s="1746">
        <f>SUM(S8:S53)</f>
        <v>0</v>
      </c>
    </row>
    <row r="8" spans="1:56" s="1747" customFormat="1" x14ac:dyDescent="0.2">
      <c r="A8" s="1752">
        <v>15.1</v>
      </c>
      <c r="B8" s="1753"/>
      <c r="C8" s="1754" t="s">
        <v>5119</v>
      </c>
      <c r="D8" s="1755"/>
      <c r="E8" s="1756"/>
      <c r="F8" s="1753"/>
      <c r="G8" s="1753"/>
      <c r="H8" s="225"/>
      <c r="I8" s="225"/>
      <c r="J8" s="225"/>
      <c r="K8" s="1754"/>
      <c r="L8" s="1754"/>
      <c r="M8" s="225"/>
      <c r="N8" s="1754"/>
      <c r="O8" s="225">
        <f>O9+O10+O11</f>
        <v>0</v>
      </c>
      <c r="P8" s="1754"/>
      <c r="Q8" s="1754"/>
      <c r="R8" s="225">
        <f>R9+R10+R11</f>
        <v>0</v>
      </c>
    </row>
    <row r="9" spans="1:56" ht="30" x14ac:dyDescent="0.2">
      <c r="A9" s="1757" t="s">
        <v>1306</v>
      </c>
      <c r="B9" s="501" t="s">
        <v>1307</v>
      </c>
      <c r="C9" s="501" t="s">
        <v>1308</v>
      </c>
      <c r="D9" s="1668" t="s">
        <v>1309</v>
      </c>
      <c r="E9" s="1567" t="s">
        <v>91</v>
      </c>
      <c r="F9" s="440"/>
      <c r="G9" s="440"/>
      <c r="H9" s="440"/>
      <c r="I9" s="2897"/>
      <c r="J9" s="440"/>
      <c r="K9" s="630"/>
      <c r="L9" s="304"/>
      <c r="M9" s="327"/>
      <c r="N9" s="304"/>
      <c r="O9" s="327">
        <f>M9*N9</f>
        <v>0</v>
      </c>
      <c r="P9" s="631"/>
      <c r="Q9" s="1758">
        <f>'Ab1. RMNCH+A'!Q286</f>
        <v>0</v>
      </c>
      <c r="R9" s="730">
        <f>'Ab1. RMNCH+A'!R286</f>
        <v>0</v>
      </c>
    </row>
    <row r="10" spans="1:56" x14ac:dyDescent="0.2">
      <c r="A10" s="1757" t="s">
        <v>2555</v>
      </c>
      <c r="B10" s="568"/>
      <c r="C10" s="501" t="s">
        <v>1310</v>
      </c>
      <c r="D10" s="1668" t="s">
        <v>1309</v>
      </c>
      <c r="E10" s="1567" t="s">
        <v>91</v>
      </c>
      <c r="F10" s="440"/>
      <c r="G10" s="440"/>
      <c r="H10" s="440"/>
      <c r="I10" s="2897"/>
      <c r="J10" s="440"/>
      <c r="K10" s="630"/>
      <c r="L10" s="304"/>
      <c r="M10" s="327"/>
      <c r="N10" s="304"/>
      <c r="O10" s="327">
        <f>M10*N10</f>
        <v>0</v>
      </c>
      <c r="P10" s="631"/>
      <c r="Q10" s="1758">
        <f>'Ab1. RMNCH+A'!Q287</f>
        <v>0</v>
      </c>
      <c r="R10" s="730">
        <f>'Ab1. RMNCH+A'!R287</f>
        <v>0</v>
      </c>
    </row>
    <row r="11" spans="1:56" x14ac:dyDescent="0.2">
      <c r="A11" s="1757" t="s">
        <v>5132</v>
      </c>
      <c r="B11" s="568"/>
      <c r="C11" s="501" t="s">
        <v>5130</v>
      </c>
      <c r="D11" s="1668" t="s">
        <v>1309</v>
      </c>
      <c r="E11" s="1567" t="s">
        <v>3853</v>
      </c>
      <c r="F11" s="440"/>
      <c r="G11" s="440"/>
      <c r="H11" s="440"/>
      <c r="I11" s="2897"/>
      <c r="J11" s="440"/>
      <c r="K11" s="630"/>
      <c r="L11" s="304"/>
      <c r="M11" s="327"/>
      <c r="N11" s="304"/>
      <c r="O11" s="327">
        <f>M11*N11</f>
        <v>0</v>
      </c>
      <c r="P11" s="631"/>
      <c r="Q11" s="1758">
        <f>'Ab1. RMNCH+A'!Q445</f>
        <v>0</v>
      </c>
      <c r="R11" s="730">
        <f>'Ab1. RMNCH+A'!R445</f>
        <v>0</v>
      </c>
    </row>
    <row r="12" spans="1:56" s="1747" customFormat="1" x14ac:dyDescent="0.2">
      <c r="A12" s="1752">
        <v>15.2</v>
      </c>
      <c r="B12" s="1753"/>
      <c r="C12" s="1754" t="s">
        <v>5118</v>
      </c>
      <c r="D12" s="1755"/>
      <c r="E12" s="1756"/>
      <c r="F12" s="621"/>
      <c r="G12" s="621"/>
      <c r="H12" s="225"/>
      <c r="I12" s="225"/>
      <c r="J12" s="225"/>
      <c r="K12" s="622"/>
      <c r="L12" s="622"/>
      <c r="M12" s="225"/>
      <c r="N12" s="622"/>
      <c r="O12" s="225">
        <f>SUM(O13:O18)</f>
        <v>0</v>
      </c>
      <c r="P12" s="622"/>
      <c r="Q12" s="1754"/>
      <c r="R12" s="225">
        <f>SUM(R13:R18)</f>
        <v>0</v>
      </c>
    </row>
    <row r="13" spans="1:56" x14ac:dyDescent="0.2">
      <c r="A13" s="1757" t="s">
        <v>1311</v>
      </c>
      <c r="B13" s="501" t="s">
        <v>5120</v>
      </c>
      <c r="C13" s="501" t="s">
        <v>1335</v>
      </c>
      <c r="D13" s="886" t="s">
        <v>70</v>
      </c>
      <c r="E13" s="1567" t="s">
        <v>70</v>
      </c>
      <c r="F13" s="2553"/>
      <c r="G13" s="2554"/>
      <c r="H13" s="2555"/>
      <c r="I13" s="2556"/>
      <c r="J13" s="2556"/>
      <c r="K13" s="2545"/>
      <c r="L13" s="2549"/>
      <c r="M13" s="327"/>
      <c r="N13" s="304"/>
      <c r="O13" s="327">
        <f t="shared" ref="O13:O18" si="0">M13*N13</f>
        <v>0</v>
      </c>
      <c r="P13" s="2476"/>
      <c r="Q13" s="3621"/>
      <c r="R13" s="536"/>
      <c r="T13" s="3491"/>
    </row>
    <row r="14" spans="1:56" ht="45" x14ac:dyDescent="0.2">
      <c r="A14" s="1757" t="s">
        <v>5125</v>
      </c>
      <c r="B14" s="501" t="s">
        <v>5121</v>
      </c>
      <c r="C14" s="501" t="s">
        <v>1336</v>
      </c>
      <c r="D14" s="886" t="s">
        <v>70</v>
      </c>
      <c r="E14" s="1567" t="s">
        <v>70</v>
      </c>
      <c r="F14" s="2557"/>
      <c r="G14" s="2558"/>
      <c r="H14" s="2559"/>
      <c r="I14" s="2898"/>
      <c r="J14" s="404"/>
      <c r="K14" s="434"/>
      <c r="L14" s="304"/>
      <c r="M14" s="327"/>
      <c r="N14" s="304"/>
      <c r="O14" s="327">
        <f t="shared" si="0"/>
        <v>0</v>
      </c>
      <c r="P14" s="464"/>
      <c r="Q14" s="482"/>
      <c r="R14" s="536"/>
    </row>
    <row r="15" spans="1:56" x14ac:dyDescent="0.2">
      <c r="A15" s="1757" t="s">
        <v>5126</v>
      </c>
      <c r="B15" s="501" t="s">
        <v>5122</v>
      </c>
      <c r="C15" s="501" t="s">
        <v>1337</v>
      </c>
      <c r="D15" s="886" t="s">
        <v>70</v>
      </c>
      <c r="E15" s="1567" t="s">
        <v>70</v>
      </c>
      <c r="F15" s="2553"/>
      <c r="G15" s="2554"/>
      <c r="H15" s="2555"/>
      <c r="I15" s="2556"/>
      <c r="J15" s="2556"/>
      <c r="K15" s="2545"/>
      <c r="L15" s="2549"/>
      <c r="M15" s="327"/>
      <c r="N15" s="304"/>
      <c r="O15" s="327">
        <f t="shared" si="0"/>
        <v>0</v>
      </c>
      <c r="P15" s="2476"/>
      <c r="Q15" s="3621"/>
      <c r="R15" s="536"/>
      <c r="T15" s="3491"/>
    </row>
    <row r="16" spans="1:56" ht="241.5" customHeight="1" x14ac:dyDescent="0.2">
      <c r="A16" s="1757" t="s">
        <v>5127</v>
      </c>
      <c r="B16" s="502" t="s">
        <v>5123</v>
      </c>
      <c r="C16" s="502" t="s">
        <v>1340</v>
      </c>
      <c r="D16" s="886" t="s">
        <v>70</v>
      </c>
      <c r="E16" s="1567" t="s">
        <v>70</v>
      </c>
      <c r="F16" s="2553"/>
      <c r="G16" s="2560"/>
      <c r="H16" s="2561"/>
      <c r="I16" s="2561"/>
      <c r="J16" s="2561"/>
      <c r="K16" s="2562"/>
      <c r="L16" s="2562"/>
      <c r="M16" s="327"/>
      <c r="N16" s="304"/>
      <c r="O16" s="327">
        <f t="shared" si="0"/>
        <v>0</v>
      </c>
      <c r="P16" s="2477"/>
      <c r="Q16" s="3625"/>
      <c r="R16" s="3623"/>
      <c r="T16" s="3491"/>
    </row>
    <row r="17" spans="1:18" ht="30" x14ac:dyDescent="0.2">
      <c r="A17" s="1757" t="s">
        <v>5128</v>
      </c>
      <c r="B17" s="1702" t="s">
        <v>5124</v>
      </c>
      <c r="C17" s="502" t="s">
        <v>3893</v>
      </c>
      <c r="D17" s="886" t="s">
        <v>70</v>
      </c>
      <c r="E17" s="1567" t="s">
        <v>4365</v>
      </c>
      <c r="F17" s="440"/>
      <c r="G17" s="440"/>
      <c r="H17" s="440"/>
      <c r="I17" s="2897"/>
      <c r="J17" s="440"/>
      <c r="K17" s="630"/>
      <c r="L17" s="304"/>
      <c r="M17" s="327"/>
      <c r="N17" s="304"/>
      <c r="O17" s="327">
        <f t="shared" si="0"/>
        <v>0</v>
      </c>
      <c r="P17" s="631"/>
      <c r="Q17" s="1758">
        <f>'Abs6. CPHC'!Q33</f>
        <v>0</v>
      </c>
      <c r="R17" s="774">
        <f>'Abs6. CPHC'!R33</f>
        <v>0</v>
      </c>
    </row>
    <row r="18" spans="1:18" x14ac:dyDescent="0.2">
      <c r="A18" s="1757" t="s">
        <v>5129</v>
      </c>
      <c r="B18" s="510" t="s">
        <v>2424</v>
      </c>
      <c r="C18" s="501" t="s">
        <v>5131</v>
      </c>
      <c r="D18" s="886" t="s">
        <v>70</v>
      </c>
      <c r="E18" s="1567" t="s">
        <v>70</v>
      </c>
      <c r="F18" s="440"/>
      <c r="G18" s="440"/>
      <c r="H18" s="440"/>
      <c r="I18" s="2897"/>
      <c r="J18" s="440"/>
      <c r="K18" s="630"/>
      <c r="L18" s="304"/>
      <c r="M18" s="327"/>
      <c r="N18" s="304"/>
      <c r="O18" s="328">
        <f t="shared" si="0"/>
        <v>0</v>
      </c>
      <c r="P18" s="632"/>
      <c r="Q18" s="482"/>
      <c r="R18" s="536"/>
    </row>
    <row r="19" spans="1:18" s="1747" customFormat="1" x14ac:dyDescent="0.2">
      <c r="A19" s="1752">
        <v>15.3</v>
      </c>
      <c r="B19" s="1753"/>
      <c r="C19" s="1754" t="s">
        <v>5133</v>
      </c>
      <c r="D19" s="1755"/>
      <c r="E19" s="1756"/>
      <c r="F19" s="621"/>
      <c r="G19" s="621"/>
      <c r="H19" s="225"/>
      <c r="I19" s="225"/>
      <c r="J19" s="225"/>
      <c r="K19" s="622"/>
      <c r="L19" s="622"/>
      <c r="M19" s="225"/>
      <c r="N19" s="622"/>
      <c r="O19" s="225">
        <f>O20+O23+O26+O31+O33</f>
        <v>0</v>
      </c>
      <c r="P19" s="622"/>
      <c r="Q19" s="1754"/>
      <c r="R19" s="225">
        <f>R20+R23+R26+R31+R33</f>
        <v>0</v>
      </c>
    </row>
    <row r="20" spans="1:18" x14ac:dyDescent="0.2">
      <c r="A20" s="1760" t="s">
        <v>1313</v>
      </c>
      <c r="B20" s="1761">
        <v>15.3</v>
      </c>
      <c r="C20" s="1470" t="s">
        <v>1312</v>
      </c>
      <c r="D20" s="1762"/>
      <c r="E20" s="1763"/>
      <c r="F20" s="623"/>
      <c r="G20" s="623"/>
      <c r="H20" s="1765"/>
      <c r="I20" s="1765"/>
      <c r="J20" s="1765"/>
      <c r="K20" s="633"/>
      <c r="L20" s="633"/>
      <c r="M20" s="1764"/>
      <c r="N20" s="634"/>
      <c r="O20" s="1765">
        <f>SUM(O21:O22)</f>
        <v>0</v>
      </c>
      <c r="P20" s="635"/>
      <c r="Q20" s="1766"/>
      <c r="R20" s="1765">
        <f>SUM(R21:R22)</f>
        <v>0</v>
      </c>
    </row>
    <row r="21" spans="1:18" x14ac:dyDescent="0.2">
      <c r="A21" s="1757" t="s">
        <v>5136</v>
      </c>
      <c r="B21" s="1759" t="s">
        <v>5134</v>
      </c>
      <c r="C21" s="1759" t="s">
        <v>1314</v>
      </c>
      <c r="D21" s="980" t="s">
        <v>4366</v>
      </c>
      <c r="E21" s="1691" t="s">
        <v>4986</v>
      </c>
      <c r="F21" s="481"/>
      <c r="G21" s="481"/>
      <c r="H21" s="481"/>
      <c r="I21" s="2899"/>
      <c r="J21" s="481"/>
      <c r="K21" s="630"/>
      <c r="L21" s="304"/>
      <c r="M21" s="327"/>
      <c r="N21" s="304"/>
      <c r="O21" s="327">
        <f>M21*N21</f>
        <v>0</v>
      </c>
      <c r="P21" s="631"/>
      <c r="Q21" s="1758">
        <f>'Abs9. NVBDCP'!Q106</f>
        <v>0</v>
      </c>
      <c r="R21" s="774">
        <f>'Abs9. NVBDCP'!R106</f>
        <v>0</v>
      </c>
    </row>
    <row r="22" spans="1:18" ht="30" x14ac:dyDescent="0.2">
      <c r="A22" s="1757" t="s">
        <v>5137</v>
      </c>
      <c r="B22" s="1759" t="s">
        <v>5135</v>
      </c>
      <c r="C22" s="1759" t="s">
        <v>1317</v>
      </c>
      <c r="D22" s="980" t="s">
        <v>4366</v>
      </c>
      <c r="E22" s="1691" t="s">
        <v>1318</v>
      </c>
      <c r="F22" s="2545"/>
      <c r="G22" s="2546"/>
      <c r="H22" s="2547"/>
      <c r="I22" s="2548"/>
      <c r="J22" s="2548"/>
      <c r="K22" s="2545"/>
      <c r="L22" s="2549"/>
      <c r="M22" s="327"/>
      <c r="N22" s="304"/>
      <c r="O22" s="327">
        <f>M22*N22</f>
        <v>0</v>
      </c>
      <c r="P22" s="2476"/>
      <c r="Q22" s="1759">
        <f>'Abs9. NVBDCP'!Q107</f>
        <v>0</v>
      </c>
      <c r="R22" s="774">
        <f>'Abs9. NVBDCP'!R107</f>
        <v>0</v>
      </c>
    </row>
    <row r="23" spans="1:18" x14ac:dyDescent="0.2">
      <c r="A23" s="1760" t="s">
        <v>1316</v>
      </c>
      <c r="B23" s="1760">
        <v>15.4</v>
      </c>
      <c r="C23" s="1470" t="s">
        <v>1319</v>
      </c>
      <c r="D23" s="1762"/>
      <c r="E23" s="1763"/>
      <c r="F23" s="623"/>
      <c r="G23" s="623"/>
      <c r="H23" s="1765"/>
      <c r="I23" s="1765"/>
      <c r="J23" s="1765"/>
      <c r="K23" s="633"/>
      <c r="L23" s="633"/>
      <c r="M23" s="1764"/>
      <c r="N23" s="634"/>
      <c r="O23" s="1765">
        <f>SUM(O24:O25)</f>
        <v>0</v>
      </c>
      <c r="P23" s="635"/>
      <c r="Q23" s="1766"/>
      <c r="R23" s="1765">
        <f>SUM(R24:R25)</f>
        <v>0</v>
      </c>
    </row>
    <row r="24" spans="1:18" x14ac:dyDescent="0.2">
      <c r="A24" s="1757" t="s">
        <v>5140</v>
      </c>
      <c r="B24" s="1758" t="s">
        <v>5138</v>
      </c>
      <c r="C24" s="1759" t="s">
        <v>1321</v>
      </c>
      <c r="D24" s="980" t="s">
        <v>4366</v>
      </c>
      <c r="E24" s="1691" t="s">
        <v>146</v>
      </c>
      <c r="F24" s="481"/>
      <c r="G24" s="481"/>
      <c r="H24" s="481"/>
      <c r="I24" s="2899"/>
      <c r="J24" s="481"/>
      <c r="K24" s="630"/>
      <c r="L24" s="304"/>
      <c r="M24" s="327"/>
      <c r="N24" s="304"/>
      <c r="O24" s="327">
        <f>M24*N24</f>
        <v>0</v>
      </c>
      <c r="P24" s="631"/>
      <c r="Q24" s="1758">
        <f>'Abs10. NLEP'!Q35</f>
        <v>0</v>
      </c>
      <c r="R24" s="774">
        <f>'Abs10. NLEP'!R35</f>
        <v>0</v>
      </c>
    </row>
    <row r="25" spans="1:18" x14ac:dyDescent="0.2">
      <c r="A25" s="1757" t="s">
        <v>5141</v>
      </c>
      <c r="B25" s="1757" t="s">
        <v>1322</v>
      </c>
      <c r="C25" s="501" t="s">
        <v>1310</v>
      </c>
      <c r="D25" s="980" t="s">
        <v>4366</v>
      </c>
      <c r="E25" s="1691" t="s">
        <v>146</v>
      </c>
      <c r="F25" s="481"/>
      <c r="G25" s="481"/>
      <c r="H25" s="481"/>
      <c r="I25" s="2899"/>
      <c r="J25" s="481"/>
      <c r="K25" s="630"/>
      <c r="L25" s="304"/>
      <c r="M25" s="327"/>
      <c r="N25" s="304"/>
      <c r="O25" s="327">
        <f>M25*N25</f>
        <v>0</v>
      </c>
      <c r="P25" s="631"/>
      <c r="Q25" s="1758">
        <f>'Abs10. NLEP'!Q36</f>
        <v>0</v>
      </c>
      <c r="R25" s="774">
        <f>'Abs10. NLEP'!R36</f>
        <v>0</v>
      </c>
    </row>
    <row r="26" spans="1:18" x14ac:dyDescent="0.2">
      <c r="A26" s="1760" t="s">
        <v>5144</v>
      </c>
      <c r="B26" s="1760">
        <v>15.5</v>
      </c>
      <c r="C26" s="1470" t="s">
        <v>4899</v>
      </c>
      <c r="D26" s="1762"/>
      <c r="E26" s="1763"/>
      <c r="F26" s="623"/>
      <c r="G26" s="623"/>
      <c r="H26" s="1765"/>
      <c r="I26" s="1765"/>
      <c r="J26" s="1765"/>
      <c r="K26" s="633"/>
      <c r="L26" s="633"/>
      <c r="M26" s="1764"/>
      <c r="N26" s="634"/>
      <c r="O26" s="1765">
        <f>SUM(O27:O30)</f>
        <v>0</v>
      </c>
      <c r="P26" s="635"/>
      <c r="Q26" s="1766"/>
      <c r="R26" s="1765">
        <f>SUM(R27:R30)</f>
        <v>0</v>
      </c>
    </row>
    <row r="27" spans="1:18" s="1747" customFormat="1" x14ac:dyDescent="0.2">
      <c r="A27" s="1767" t="s">
        <v>5145</v>
      </c>
      <c r="B27" s="1757" t="s">
        <v>3909</v>
      </c>
      <c r="C27" s="1768" t="s">
        <v>5576</v>
      </c>
      <c r="D27" s="980" t="s">
        <v>4366</v>
      </c>
      <c r="E27" s="1341" t="s">
        <v>4683</v>
      </c>
      <c r="F27" s="2550"/>
      <c r="G27" s="2546"/>
      <c r="H27" s="2547"/>
      <c r="I27" s="2548"/>
      <c r="J27" s="2548"/>
      <c r="K27" s="2545"/>
      <c r="L27" s="2549"/>
      <c r="M27" s="327"/>
      <c r="N27" s="2550"/>
      <c r="O27" s="328">
        <f>M27*N27</f>
        <v>0</v>
      </c>
      <c r="P27" s="2476"/>
      <c r="Q27" s="1286">
        <f>'Abs11. NTEP'!Q52</f>
        <v>0</v>
      </c>
      <c r="R27" s="1770">
        <f>'Abs11. NTEP'!R52</f>
        <v>0</v>
      </c>
    </row>
    <row r="28" spans="1:18" s="1747" customFormat="1" x14ac:dyDescent="0.2">
      <c r="A28" s="3490" t="s">
        <v>5908</v>
      </c>
      <c r="B28" s="1286" t="s">
        <v>5142</v>
      </c>
      <c r="C28" s="1286" t="s">
        <v>2358</v>
      </c>
      <c r="D28" s="980" t="s">
        <v>4366</v>
      </c>
      <c r="E28" s="1341" t="s">
        <v>4683</v>
      </c>
      <c r="F28" s="2550"/>
      <c r="G28" s="2550"/>
      <c r="H28" s="2550"/>
      <c r="I28" s="2550"/>
      <c r="J28" s="2550"/>
      <c r="K28" s="2545"/>
      <c r="L28" s="2551"/>
      <c r="M28" s="327"/>
      <c r="N28" s="2550"/>
      <c r="O28" s="328">
        <f>M28*N28</f>
        <v>0</v>
      </c>
      <c r="P28" s="2869"/>
      <c r="Q28" s="1286">
        <f>'Abs11. NTEP'!Q53</f>
        <v>0</v>
      </c>
      <c r="R28" s="1770">
        <f>'Abs11. NTEP'!R53</f>
        <v>0</v>
      </c>
    </row>
    <row r="29" spans="1:18" s="1747" customFormat="1" x14ac:dyDescent="0.2">
      <c r="A29" s="3490" t="s">
        <v>5575</v>
      </c>
      <c r="B29" s="1286" t="s">
        <v>5143</v>
      </c>
      <c r="C29" s="996" t="s">
        <v>4066</v>
      </c>
      <c r="D29" s="980" t="s">
        <v>4366</v>
      </c>
      <c r="E29" s="1341" t="s">
        <v>4683</v>
      </c>
      <c r="F29" s="2550"/>
      <c r="G29" s="300"/>
      <c r="H29" s="300"/>
      <c r="I29" s="2900"/>
      <c r="J29" s="300"/>
      <c r="K29" s="2550"/>
      <c r="L29" s="2551"/>
      <c r="M29" s="327"/>
      <c r="N29" s="304"/>
      <c r="O29" s="328">
        <f>M29*N29</f>
        <v>0</v>
      </c>
      <c r="P29" s="2477"/>
      <c r="Q29" s="1286">
        <f>'Abs11. NTEP'!Q54</f>
        <v>0</v>
      </c>
      <c r="R29" s="1770">
        <f>'Abs11. NTEP'!R54</f>
        <v>0</v>
      </c>
    </row>
    <row r="30" spans="1:18" s="1747" customFormat="1" x14ac:dyDescent="0.2">
      <c r="A30" s="3490" t="s">
        <v>5909</v>
      </c>
      <c r="B30" s="1286" t="s">
        <v>4530</v>
      </c>
      <c r="C30" s="1772" t="s">
        <v>4531</v>
      </c>
      <c r="D30" s="980" t="s">
        <v>4366</v>
      </c>
      <c r="E30" s="1341" t="s">
        <v>4683</v>
      </c>
      <c r="F30" s="2471"/>
      <c r="G30" s="2471"/>
      <c r="H30" s="2471"/>
      <c r="I30" s="2552"/>
      <c r="J30" s="300"/>
      <c r="K30" s="640"/>
      <c r="L30" s="304"/>
      <c r="M30" s="327"/>
      <c r="N30" s="304"/>
      <c r="O30" s="328">
        <f>M30*N30</f>
        <v>0</v>
      </c>
      <c r="P30" s="641"/>
      <c r="Q30" s="1757">
        <f>'Abs11. NTEP'!Q55</f>
        <v>0</v>
      </c>
      <c r="R30" s="1770">
        <f>'Abs11. NTEP'!R55</f>
        <v>0</v>
      </c>
    </row>
    <row r="31" spans="1:18" x14ac:dyDescent="0.2">
      <c r="A31" s="1760" t="s">
        <v>5146</v>
      </c>
      <c r="B31" s="1760"/>
      <c r="C31" s="1470" t="s">
        <v>5147</v>
      </c>
      <c r="D31" s="1762"/>
      <c r="E31" s="1763"/>
      <c r="F31" s="623"/>
      <c r="G31" s="623"/>
      <c r="H31" s="1765"/>
      <c r="I31" s="1765"/>
      <c r="J31" s="1765"/>
      <c r="K31" s="633"/>
      <c r="L31" s="633"/>
      <c r="M31" s="1764"/>
      <c r="N31" s="634"/>
      <c r="O31" s="1765">
        <f>O32</f>
        <v>0</v>
      </c>
      <c r="P31" s="635"/>
      <c r="Q31" s="1766"/>
      <c r="R31" s="1765">
        <f>R32</f>
        <v>0</v>
      </c>
    </row>
    <row r="32" spans="1:18" s="1747" customFormat="1" x14ac:dyDescent="0.2">
      <c r="A32" s="1757" t="s">
        <v>5148</v>
      </c>
      <c r="B32" s="1773" t="s">
        <v>4415</v>
      </c>
      <c r="C32" s="510" t="s">
        <v>4416</v>
      </c>
      <c r="D32" s="980" t="s">
        <v>4366</v>
      </c>
      <c r="E32" s="1774" t="s">
        <v>3323</v>
      </c>
      <c r="F32" s="483"/>
      <c r="G32" s="483"/>
      <c r="H32" s="483"/>
      <c r="I32" s="2901"/>
      <c r="J32" s="483"/>
      <c r="K32" s="638"/>
      <c r="L32" s="304"/>
      <c r="M32" s="327"/>
      <c r="N32" s="304"/>
      <c r="O32" s="328">
        <f>M32*N32</f>
        <v>0</v>
      </c>
      <c r="P32" s="639"/>
      <c r="Q32" s="1757">
        <f>'Abs12. NVHCP'!Q39</f>
        <v>0</v>
      </c>
      <c r="R32" s="646">
        <f>'Abs12. NVHCP'!R39</f>
        <v>0</v>
      </c>
    </row>
    <row r="33" spans="1:18" x14ac:dyDescent="0.2">
      <c r="A33" s="1775" t="s">
        <v>5149</v>
      </c>
      <c r="B33" s="510"/>
      <c r="C33" s="936" t="s">
        <v>5150</v>
      </c>
      <c r="D33" s="980" t="s">
        <v>4366</v>
      </c>
      <c r="E33" s="1567" t="s">
        <v>5115</v>
      </c>
      <c r="F33" s="440"/>
      <c r="G33" s="440"/>
      <c r="H33" s="440"/>
      <c r="I33" s="2897"/>
      <c r="J33" s="440"/>
      <c r="K33" s="630"/>
      <c r="L33" s="304"/>
      <c r="M33" s="327"/>
      <c r="N33" s="304"/>
      <c r="O33" s="328">
        <f>M33*N33</f>
        <v>0</v>
      </c>
      <c r="P33" s="632"/>
      <c r="Q33" s="482"/>
      <c r="R33" s="536"/>
    </row>
    <row r="34" spans="1:18" s="1747" customFormat="1" x14ac:dyDescent="0.2">
      <c r="A34" s="1752">
        <v>15.4</v>
      </c>
      <c r="B34" s="1753"/>
      <c r="C34" s="1754" t="s">
        <v>5164</v>
      </c>
      <c r="D34" s="1755"/>
      <c r="E34" s="1756"/>
      <c r="F34" s="621"/>
      <c r="G34" s="621"/>
      <c r="H34" s="225"/>
      <c r="I34" s="225"/>
      <c r="J34" s="225"/>
      <c r="K34" s="622"/>
      <c r="L34" s="622"/>
      <c r="M34" s="225"/>
      <c r="N34" s="622"/>
      <c r="O34" s="225">
        <f>SUM(O35:O37)+SUM(O46:O47)+SUM(O52:O53)</f>
        <v>0</v>
      </c>
      <c r="P34" s="622"/>
      <c r="Q34" s="1754"/>
      <c r="R34" s="225">
        <f>SUM(R35:R37)+SUM(R46:R47)+SUM(R52:R53)</f>
        <v>0</v>
      </c>
    </row>
    <row r="35" spans="1:18" x14ac:dyDescent="0.2">
      <c r="A35" s="1757" t="s">
        <v>1320</v>
      </c>
      <c r="B35" s="1541" t="s">
        <v>5152</v>
      </c>
      <c r="C35" s="1541" t="s">
        <v>5151</v>
      </c>
      <c r="D35" s="891" t="s">
        <v>85</v>
      </c>
      <c r="E35" s="1567" t="s">
        <v>1020</v>
      </c>
      <c r="F35" s="440"/>
      <c r="G35" s="440"/>
      <c r="H35" s="440"/>
      <c r="I35" s="2897"/>
      <c r="J35" s="440"/>
      <c r="K35" s="630"/>
      <c r="L35" s="304"/>
      <c r="M35" s="327"/>
      <c r="N35" s="304"/>
      <c r="O35" s="327">
        <f>M35*N35</f>
        <v>0</v>
      </c>
      <c r="P35" s="631"/>
      <c r="Q35" s="1758">
        <f>'Abs22. NPPCD'!Q21</f>
        <v>0</v>
      </c>
      <c r="R35" s="774">
        <f>'Abs22. NPPCD'!R21</f>
        <v>0</v>
      </c>
    </row>
    <row r="36" spans="1:18" ht="30" x14ac:dyDescent="0.2">
      <c r="A36" s="1757" t="s">
        <v>1322</v>
      </c>
      <c r="B36" s="1759" t="s">
        <v>5154</v>
      </c>
      <c r="C36" s="1759" t="s">
        <v>4479</v>
      </c>
      <c r="D36" s="1559" t="s">
        <v>85</v>
      </c>
      <c r="E36" s="1567" t="s">
        <v>86</v>
      </c>
      <c r="F36" s="2545"/>
      <c r="G36" s="2563"/>
      <c r="H36" s="2547"/>
      <c r="I36" s="2556"/>
      <c r="J36" s="2556"/>
      <c r="K36" s="2545"/>
      <c r="L36" s="2549"/>
      <c r="M36" s="327"/>
      <c r="N36" s="304"/>
      <c r="O36" s="327">
        <f>M36*N36</f>
        <v>0</v>
      </c>
      <c r="P36" s="3279"/>
      <c r="Q36" s="1758">
        <f>'Abs15. NPCB'!Q33</f>
        <v>0</v>
      </c>
      <c r="R36" s="774">
        <f>'Abs15. NPCB'!R33</f>
        <v>0</v>
      </c>
    </row>
    <row r="37" spans="1:18" x14ac:dyDescent="0.2">
      <c r="A37" s="1775" t="s">
        <v>5165</v>
      </c>
      <c r="B37" s="1776" t="s">
        <v>5155</v>
      </c>
      <c r="C37" s="1710" t="s">
        <v>5153</v>
      </c>
      <c r="D37" s="1777"/>
      <c r="E37" s="1778"/>
      <c r="F37" s="642"/>
      <c r="G37" s="642"/>
      <c r="H37" s="642"/>
      <c r="I37" s="642"/>
      <c r="J37" s="642"/>
      <c r="K37" s="636"/>
      <c r="L37" s="636"/>
      <c r="M37" s="232"/>
      <c r="N37" s="624"/>
      <c r="O37" s="232">
        <f>SUM(O38:O45)</f>
        <v>0</v>
      </c>
      <c r="P37" s="637"/>
      <c r="Q37" s="1775"/>
      <c r="R37" s="232">
        <f>SUM(R38:R45)</f>
        <v>0</v>
      </c>
    </row>
    <row r="38" spans="1:18" x14ac:dyDescent="0.2">
      <c r="A38" s="1769" t="s">
        <v>5139</v>
      </c>
      <c r="B38" s="1771" t="s">
        <v>1323</v>
      </c>
      <c r="C38" s="1759" t="s">
        <v>4480</v>
      </c>
      <c r="D38" s="1559" t="s">
        <v>85</v>
      </c>
      <c r="E38" s="1567" t="s">
        <v>86</v>
      </c>
      <c r="F38" s="440"/>
      <c r="G38" s="440"/>
      <c r="H38" s="440"/>
      <c r="I38" s="2897"/>
      <c r="J38" s="440"/>
      <c r="K38" s="302"/>
      <c r="L38" s="304"/>
      <c r="M38" s="327"/>
      <c r="N38" s="304"/>
      <c r="O38" s="327">
        <f>M38*N38</f>
        <v>0</v>
      </c>
      <c r="P38" s="632"/>
      <c r="Q38" s="1758">
        <f>'Abs15. NPCB'!Q34</f>
        <v>0</v>
      </c>
      <c r="R38" s="774">
        <f>'Abs15. NPCB'!R34</f>
        <v>0</v>
      </c>
    </row>
    <row r="39" spans="1:18" x14ac:dyDescent="0.2">
      <c r="A39" s="1769" t="s">
        <v>5166</v>
      </c>
      <c r="B39" s="1771" t="s">
        <v>1324</v>
      </c>
      <c r="C39" s="1759" t="s">
        <v>4481</v>
      </c>
      <c r="D39" s="1559" t="s">
        <v>85</v>
      </c>
      <c r="E39" s="1567" t="s">
        <v>86</v>
      </c>
      <c r="F39" s="440"/>
      <c r="G39" s="440"/>
      <c r="H39" s="440"/>
      <c r="I39" s="2897"/>
      <c r="J39" s="440"/>
      <c r="K39" s="630"/>
      <c r="L39" s="304"/>
      <c r="M39" s="327"/>
      <c r="N39" s="304"/>
      <c r="O39" s="327">
        <f>M39*N39</f>
        <v>0</v>
      </c>
      <c r="P39" s="632"/>
      <c r="Q39" s="1758">
        <f>'Abs15. NPCB'!Q35</f>
        <v>0</v>
      </c>
      <c r="R39" s="774">
        <f>'Abs15. NPCB'!R35</f>
        <v>0</v>
      </c>
    </row>
    <row r="40" spans="1:18" x14ac:dyDescent="0.2">
      <c r="A40" s="1769" t="s">
        <v>5575</v>
      </c>
      <c r="B40" s="1771" t="s">
        <v>1325</v>
      </c>
      <c r="C40" s="1759" t="s">
        <v>4482</v>
      </c>
      <c r="D40" s="1559" t="s">
        <v>85</v>
      </c>
      <c r="E40" s="1567" t="s">
        <v>86</v>
      </c>
      <c r="F40" s="440"/>
      <c r="G40" s="440"/>
      <c r="H40" s="440"/>
      <c r="I40" s="2897"/>
      <c r="J40" s="440"/>
      <c r="K40" s="302"/>
      <c r="L40" s="304"/>
      <c r="M40" s="327"/>
      <c r="N40" s="304"/>
      <c r="O40" s="327">
        <f>M40*N40</f>
        <v>0</v>
      </c>
      <c r="P40" s="632"/>
      <c r="Q40" s="1758">
        <f>'Abs15. NPCB'!Q36</f>
        <v>0</v>
      </c>
      <c r="R40" s="774">
        <f>'Abs15. NPCB'!R36</f>
        <v>0</v>
      </c>
    </row>
    <row r="41" spans="1:18" x14ac:dyDescent="0.2">
      <c r="A41" s="1769" t="s">
        <v>5167</v>
      </c>
      <c r="B41" s="1771" t="s">
        <v>1326</v>
      </c>
      <c r="C41" s="1759" t="s">
        <v>4483</v>
      </c>
      <c r="D41" s="1559" t="s">
        <v>85</v>
      </c>
      <c r="E41" s="1567" t="s">
        <v>86</v>
      </c>
      <c r="F41" s="440"/>
      <c r="G41" s="440"/>
      <c r="H41" s="440"/>
      <c r="I41" s="2897"/>
      <c r="J41" s="440"/>
      <c r="K41" s="302"/>
      <c r="L41" s="304"/>
      <c r="M41" s="327"/>
      <c r="N41" s="304"/>
      <c r="O41" s="327">
        <f>M41*N41</f>
        <v>0</v>
      </c>
      <c r="P41" s="632"/>
      <c r="Q41" s="1758">
        <f>'Abs15. NPCB'!Q37</f>
        <v>0</v>
      </c>
      <c r="R41" s="774">
        <f>'Abs15. NPCB'!R37</f>
        <v>0</v>
      </c>
    </row>
    <row r="42" spans="1:18" x14ac:dyDescent="0.2">
      <c r="A42" s="1769" t="s">
        <v>5168</v>
      </c>
      <c r="B42" s="1771" t="s">
        <v>1327</v>
      </c>
      <c r="C42" s="1759" t="s">
        <v>4484</v>
      </c>
      <c r="D42" s="1559" t="s">
        <v>85</v>
      </c>
      <c r="E42" s="1567" t="s">
        <v>86</v>
      </c>
      <c r="F42" s="440"/>
      <c r="G42" s="440"/>
      <c r="H42" s="440"/>
      <c r="I42" s="2897"/>
      <c r="J42" s="440"/>
      <c r="K42" s="302"/>
      <c r="L42" s="304"/>
      <c r="M42" s="327"/>
      <c r="N42" s="304"/>
      <c r="O42" s="327">
        <f>M42*N42</f>
        <v>0</v>
      </c>
      <c r="P42" s="631"/>
      <c r="Q42" s="1758">
        <f>'Abs15. NPCB'!Q38</f>
        <v>0</v>
      </c>
      <c r="R42" s="774">
        <f>'Abs15. NPCB'!R38</f>
        <v>0</v>
      </c>
    </row>
    <row r="43" spans="1:18" ht="30" x14ac:dyDescent="0.2">
      <c r="A43" s="627"/>
      <c r="B43" s="1759" t="s">
        <v>5156</v>
      </c>
      <c r="C43" s="1779" t="s">
        <v>4474</v>
      </c>
      <c r="D43" s="1780" t="s">
        <v>85</v>
      </c>
      <c r="E43" s="1781" t="s">
        <v>86</v>
      </c>
      <c r="F43" s="625"/>
      <c r="G43" s="625"/>
      <c r="H43" s="625"/>
      <c r="I43" s="2902"/>
      <c r="J43" s="625"/>
      <c r="K43" s="1785"/>
      <c r="L43" s="1786"/>
      <c r="M43" s="626"/>
      <c r="N43" s="1785"/>
      <c r="O43" s="626"/>
      <c r="P43" s="629" t="s">
        <v>4473</v>
      </c>
      <c r="Q43" s="627"/>
      <c r="R43" s="628"/>
    </row>
    <row r="44" spans="1:18" ht="30" x14ac:dyDescent="0.2">
      <c r="A44" s="627"/>
      <c r="B44" s="1758" t="s">
        <v>5157</v>
      </c>
      <c r="C44" s="1779" t="s">
        <v>3910</v>
      </c>
      <c r="D44" s="1780" t="s">
        <v>85</v>
      </c>
      <c r="E44" s="1781" t="s">
        <v>86</v>
      </c>
      <c r="F44" s="625"/>
      <c r="G44" s="625"/>
      <c r="H44" s="625"/>
      <c r="I44" s="2902"/>
      <c r="J44" s="625"/>
      <c r="K44" s="1785"/>
      <c r="L44" s="1786"/>
      <c r="M44" s="626"/>
      <c r="N44" s="1785"/>
      <c r="O44" s="626"/>
      <c r="P44" s="629" t="s">
        <v>4473</v>
      </c>
      <c r="Q44" s="627"/>
      <c r="R44" s="628"/>
    </row>
    <row r="45" spans="1:18" x14ac:dyDescent="0.2">
      <c r="A45" s="1757" t="s">
        <v>5169</v>
      </c>
      <c r="B45" s="1757" t="s">
        <v>1328</v>
      </c>
      <c r="C45" s="1759" t="s">
        <v>1310</v>
      </c>
      <c r="D45" s="1559" t="s">
        <v>85</v>
      </c>
      <c r="E45" s="1567" t="s">
        <v>86</v>
      </c>
      <c r="F45" s="440"/>
      <c r="G45" s="440"/>
      <c r="H45" s="440"/>
      <c r="I45" s="2897"/>
      <c r="J45" s="440"/>
      <c r="K45" s="630"/>
      <c r="L45" s="304"/>
      <c r="M45" s="327"/>
      <c r="N45" s="304"/>
      <c r="O45" s="327">
        <f>M45*N45</f>
        <v>0</v>
      </c>
      <c r="P45" s="631"/>
      <c r="Q45" s="1758">
        <f>'Abs15. NPCB'!Q39</f>
        <v>0</v>
      </c>
      <c r="R45" s="774">
        <f>'Abs15. NPCB'!R39</f>
        <v>0</v>
      </c>
    </row>
    <row r="46" spans="1:18" x14ac:dyDescent="0.2">
      <c r="A46" s="1757" t="s">
        <v>5170</v>
      </c>
      <c r="B46" s="568" t="s">
        <v>1329</v>
      </c>
      <c r="C46" s="1759" t="s">
        <v>5158</v>
      </c>
      <c r="D46" s="1559" t="s">
        <v>85</v>
      </c>
      <c r="E46" s="1691" t="s">
        <v>150</v>
      </c>
      <c r="F46" s="481"/>
      <c r="G46" s="481"/>
      <c r="H46" s="481"/>
      <c r="I46" s="2899"/>
      <c r="J46" s="481"/>
      <c r="K46" s="2545"/>
      <c r="L46" s="2549"/>
      <c r="M46" s="327"/>
      <c r="N46" s="304"/>
      <c r="O46" s="327">
        <f>M46*N46</f>
        <v>0</v>
      </c>
      <c r="P46" s="2476"/>
      <c r="Q46" s="1759">
        <f>'Abs16. NMHP'!Q28</f>
        <v>0</v>
      </c>
      <c r="R46" s="774">
        <f>'Abs16. NMHP'!R28</f>
        <v>0</v>
      </c>
    </row>
    <row r="47" spans="1:18" x14ac:dyDescent="0.2">
      <c r="A47" s="1775" t="s">
        <v>5171</v>
      </c>
      <c r="B47" s="935" t="s">
        <v>5159</v>
      </c>
      <c r="C47" s="935" t="s">
        <v>1330</v>
      </c>
      <c r="D47" s="1777"/>
      <c r="E47" s="1778"/>
      <c r="F47" s="642"/>
      <c r="G47" s="642"/>
      <c r="H47" s="642"/>
      <c r="I47" s="642"/>
      <c r="J47" s="642"/>
      <c r="K47" s="636"/>
      <c r="L47" s="636"/>
      <c r="M47" s="1782"/>
      <c r="N47" s="643"/>
      <c r="O47" s="1782">
        <f>SUM(O48:O51)</f>
        <v>0</v>
      </c>
      <c r="P47" s="637"/>
      <c r="Q47" s="1775"/>
      <c r="R47" s="1782">
        <f>SUM(R48:R51)</f>
        <v>0</v>
      </c>
    </row>
    <row r="48" spans="1:18" x14ac:dyDescent="0.2">
      <c r="A48" s="1757" t="s">
        <v>5172</v>
      </c>
      <c r="B48" s="1758" t="s">
        <v>5160</v>
      </c>
      <c r="C48" s="1759" t="s">
        <v>1331</v>
      </c>
      <c r="D48" s="1559" t="s">
        <v>85</v>
      </c>
      <c r="E48" s="1567" t="s">
        <v>415</v>
      </c>
      <c r="F48" s="440"/>
      <c r="G48" s="440"/>
      <c r="H48" s="440"/>
      <c r="I48" s="2897"/>
      <c r="J48" s="440"/>
      <c r="K48" s="630"/>
      <c r="L48" s="304"/>
      <c r="M48" s="327"/>
      <c r="N48" s="304"/>
      <c r="O48" s="327">
        <f t="shared" ref="O48:O53" si="1">M48*N48</f>
        <v>0</v>
      </c>
      <c r="P48" s="631"/>
      <c r="Q48" s="1758">
        <f>'Abs19. NPCDCS'!Q57</f>
        <v>0</v>
      </c>
      <c r="R48" s="774">
        <f>'Abs19. NPCDCS'!R57</f>
        <v>0</v>
      </c>
    </row>
    <row r="49" spans="1:18" x14ac:dyDescent="0.2">
      <c r="A49" s="1757" t="s">
        <v>5173</v>
      </c>
      <c r="B49" s="1758" t="s">
        <v>5161</v>
      </c>
      <c r="C49" s="1759" t="s">
        <v>1332</v>
      </c>
      <c r="D49" s="1559" t="s">
        <v>85</v>
      </c>
      <c r="E49" s="1567" t="s">
        <v>415</v>
      </c>
      <c r="F49" s="440"/>
      <c r="G49" s="440"/>
      <c r="H49" s="440"/>
      <c r="I49" s="2897"/>
      <c r="J49" s="440"/>
      <c r="K49" s="630"/>
      <c r="L49" s="304"/>
      <c r="M49" s="327"/>
      <c r="N49" s="304"/>
      <c r="O49" s="327">
        <f t="shared" si="1"/>
        <v>0</v>
      </c>
      <c r="P49" s="631"/>
      <c r="Q49" s="1758">
        <f>'Abs19. NPCDCS'!Q58</f>
        <v>0</v>
      </c>
      <c r="R49" s="774">
        <f>'Abs19. NPCDCS'!R58</f>
        <v>0</v>
      </c>
    </row>
    <row r="50" spans="1:18" x14ac:dyDescent="0.2">
      <c r="A50" s="1757" t="s">
        <v>5174</v>
      </c>
      <c r="B50" s="1758" t="s">
        <v>5162</v>
      </c>
      <c r="C50" s="1759" t="s">
        <v>1333</v>
      </c>
      <c r="D50" s="1559" t="s">
        <v>85</v>
      </c>
      <c r="E50" s="1567" t="s">
        <v>415</v>
      </c>
      <c r="F50" s="440"/>
      <c r="G50" s="440"/>
      <c r="H50" s="440"/>
      <c r="I50" s="2897"/>
      <c r="J50" s="440"/>
      <c r="K50" s="630"/>
      <c r="L50" s="304"/>
      <c r="M50" s="327"/>
      <c r="N50" s="304"/>
      <c r="O50" s="327">
        <f t="shared" si="1"/>
        <v>0</v>
      </c>
      <c r="P50" s="631"/>
      <c r="Q50" s="1758">
        <f>'Abs19. NPCDCS'!Q59</f>
        <v>0</v>
      </c>
      <c r="R50" s="774">
        <f>'Abs19. NPCDCS'!R59</f>
        <v>0</v>
      </c>
    </row>
    <row r="51" spans="1:18" x14ac:dyDescent="0.2">
      <c r="A51" s="1757" t="s">
        <v>5175</v>
      </c>
      <c r="B51" s="1757" t="s">
        <v>1334</v>
      </c>
      <c r="C51" s="1759" t="s">
        <v>1310</v>
      </c>
      <c r="D51" s="1559" t="s">
        <v>85</v>
      </c>
      <c r="E51" s="1567" t="s">
        <v>415</v>
      </c>
      <c r="F51" s="440"/>
      <c r="G51" s="440"/>
      <c r="H51" s="440"/>
      <c r="I51" s="2897"/>
      <c r="J51" s="440"/>
      <c r="K51" s="630"/>
      <c r="L51" s="304"/>
      <c r="M51" s="327"/>
      <c r="N51" s="304"/>
      <c r="O51" s="327">
        <f t="shared" si="1"/>
        <v>0</v>
      </c>
      <c r="P51" s="631"/>
      <c r="Q51" s="1758">
        <f>'Abs19. NPCDCS'!Q60</f>
        <v>0</v>
      </c>
      <c r="R51" s="774">
        <f>'Abs19. NPCDCS'!R60</f>
        <v>0</v>
      </c>
    </row>
    <row r="52" spans="1:18" x14ac:dyDescent="0.2">
      <c r="A52" s="1783" t="s">
        <v>5176</v>
      </c>
      <c r="B52" s="501" t="s">
        <v>5163</v>
      </c>
      <c r="C52" s="501" t="s">
        <v>1339</v>
      </c>
      <c r="D52" s="891" t="s">
        <v>85</v>
      </c>
      <c r="E52" s="1567" t="s">
        <v>4925</v>
      </c>
      <c r="F52" s="440"/>
      <c r="G52" s="440"/>
      <c r="H52" s="440"/>
      <c r="I52" s="2897"/>
      <c r="J52" s="440"/>
      <c r="K52" s="630"/>
      <c r="L52" s="304"/>
      <c r="M52" s="327"/>
      <c r="N52" s="304"/>
      <c r="O52" s="327">
        <f t="shared" si="1"/>
        <v>0</v>
      </c>
      <c r="P52" s="632"/>
      <c r="Q52" s="1757">
        <f>'Abs20. PMNDP'!Q23</f>
        <v>0</v>
      </c>
      <c r="R52" s="1770">
        <f>'Abs20. PMNDP'!R23</f>
        <v>0</v>
      </c>
    </row>
    <row r="53" spans="1:18" x14ac:dyDescent="0.2">
      <c r="A53" s="1783" t="s">
        <v>5695</v>
      </c>
      <c r="B53" s="568"/>
      <c r="C53" s="501" t="s">
        <v>5178</v>
      </c>
      <c r="D53" s="891" t="s">
        <v>85</v>
      </c>
      <c r="E53" s="1567" t="s">
        <v>5177</v>
      </c>
      <c r="F53" s="440"/>
      <c r="G53" s="440"/>
      <c r="H53" s="440"/>
      <c r="I53" s="2897"/>
      <c r="J53" s="440"/>
      <c r="K53" s="630"/>
      <c r="L53" s="304"/>
      <c r="M53" s="327"/>
      <c r="N53" s="304"/>
      <c r="O53" s="327">
        <f t="shared" si="1"/>
        <v>0</v>
      </c>
      <c r="P53" s="631"/>
      <c r="Q53" s="1787"/>
      <c r="R53" s="1788"/>
    </row>
    <row r="56" spans="1:18" x14ac:dyDescent="0.2">
      <c r="N56" s="178"/>
      <c r="O56" s="1298">
        <f>O7-O57</f>
        <v>0</v>
      </c>
      <c r="R56" s="1298">
        <f>R7-R57</f>
        <v>0</v>
      </c>
    </row>
    <row r="57" spans="1:18" x14ac:dyDescent="0.2">
      <c r="N57" s="178"/>
      <c r="O57" s="1298">
        <f>O28</f>
        <v>0</v>
      </c>
      <c r="R57" s="1298">
        <f>R28</f>
        <v>0</v>
      </c>
    </row>
  </sheetData>
  <sheetProtection formatCells="0" formatColumns="0" formatRows="0" autoFilter="0"/>
  <autoFilter ref="A6:R65"/>
  <mergeCells count="18">
    <mergeCell ref="AI1:AO1"/>
    <mergeCell ref="AP1:BA1"/>
    <mergeCell ref="BB1:BB2"/>
    <mergeCell ref="BC1:BC2"/>
    <mergeCell ref="BD1:BD2"/>
    <mergeCell ref="K5:P5"/>
    <mergeCell ref="Q5:R5"/>
    <mergeCell ref="A1:C1"/>
    <mergeCell ref="F5:J5"/>
    <mergeCell ref="A5:A6"/>
    <mergeCell ref="B5:B6"/>
    <mergeCell ref="C5:C6"/>
    <mergeCell ref="D5:D6"/>
    <mergeCell ref="E5:E6"/>
    <mergeCell ref="E1:E2"/>
    <mergeCell ref="F1:N1"/>
    <mergeCell ref="A2:A4"/>
    <mergeCell ref="O1:AH1"/>
  </mergeCells>
  <phoneticPr fontId="57" type="noConversion"/>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BD146"/>
  <sheetViews>
    <sheetView zoomScale="70" zoomScaleNormal="70" workbookViewId="0">
      <pane xSplit="3" ySplit="7" topLeftCell="D87" activePane="bottomRight" state="frozen"/>
      <selection activeCell="A2" sqref="A2:A4"/>
      <selection pane="topRight" activeCell="A2" sqref="A2:A4"/>
      <selection pane="bottomLeft" activeCell="A2" sqref="A2:A4"/>
      <selection pane="bottomRight" activeCell="C5" sqref="C5:C6"/>
    </sheetView>
  </sheetViews>
  <sheetFormatPr defaultColWidth="9.140625" defaultRowHeight="15" x14ac:dyDescent="0.25"/>
  <cols>
    <col min="1" max="1" width="14" style="1794" customWidth="1"/>
    <col min="2" max="2" width="11.85546875" style="3509" hidden="1" customWidth="1"/>
    <col min="3" max="3" width="27.85546875" style="3507" customWidth="1"/>
    <col min="4" max="4" width="19.7109375" style="3507" customWidth="1"/>
    <col min="5" max="5" width="20.28515625" style="3557" customWidth="1"/>
    <col min="6" max="6" width="24.85546875" style="3557" customWidth="1"/>
    <col min="7" max="7" width="16.42578125" style="3557" customWidth="1"/>
    <col min="8" max="8" width="17.85546875" style="3557" customWidth="1"/>
    <col min="9" max="9" width="15.5703125" style="3557" customWidth="1"/>
    <col min="10" max="10" width="23.140625" style="3557" customWidth="1"/>
    <col min="11" max="11" width="15" style="3507" bestFit="1" customWidth="1"/>
    <col min="12" max="12" width="10.5703125" style="3507" customWidth="1"/>
    <col min="13" max="13" width="15.5703125" style="3559" customWidth="1"/>
    <col min="14" max="14" width="21.140625" style="3507" bestFit="1" customWidth="1"/>
    <col min="15" max="15" width="45" style="3558" customWidth="1"/>
    <col min="16" max="16" width="46.5703125" style="3557" customWidth="1"/>
    <col min="17" max="17" width="11.140625" style="3559" customWidth="1"/>
    <col min="18" max="28" width="9.140625" style="3507"/>
    <col min="29" max="29" width="12.42578125" style="3507" customWidth="1"/>
    <col min="30" max="33" width="9.140625" style="3507"/>
    <col min="34" max="34" width="21.85546875" style="3507" bestFit="1" customWidth="1"/>
    <col min="35" max="54" width="9.140625" style="3507"/>
    <col min="55" max="55" width="10.5703125" style="3507" bestFit="1" customWidth="1"/>
    <col min="56" max="16384" width="9.140625" style="3507"/>
  </cols>
  <sheetData>
    <row r="1" spans="1:56" x14ac:dyDescent="0.25">
      <c r="A1" s="3987" t="s">
        <v>2157</v>
      </c>
      <c r="B1" s="3988"/>
      <c r="C1" s="3989"/>
      <c r="D1" s="1789"/>
      <c r="E1" s="3825" t="s">
        <v>4719</v>
      </c>
      <c r="F1" s="3894" t="s">
        <v>4717</v>
      </c>
      <c r="G1" s="3895"/>
      <c r="H1" s="3895"/>
      <c r="I1" s="3895"/>
      <c r="J1" s="3895"/>
      <c r="K1" s="3895"/>
      <c r="L1" s="3895"/>
      <c r="M1" s="3895"/>
      <c r="N1" s="3896"/>
      <c r="O1" s="3830" t="s">
        <v>70</v>
      </c>
      <c r="P1" s="3831"/>
      <c r="Q1" s="3831"/>
      <c r="R1" s="3831"/>
      <c r="S1" s="3831"/>
      <c r="T1" s="3831"/>
      <c r="U1" s="3831"/>
      <c r="V1" s="3831"/>
      <c r="W1" s="3831"/>
      <c r="X1" s="3831"/>
      <c r="Y1" s="3831"/>
      <c r="Z1" s="3831"/>
      <c r="AA1" s="3831"/>
      <c r="AB1" s="3831"/>
      <c r="AC1" s="3831"/>
      <c r="AD1" s="3831"/>
      <c r="AE1" s="3831"/>
      <c r="AF1" s="3831"/>
      <c r="AG1" s="3831"/>
      <c r="AH1" s="3831"/>
      <c r="AI1" s="3885" t="s">
        <v>4366</v>
      </c>
      <c r="AJ1" s="3886"/>
      <c r="AK1" s="3886"/>
      <c r="AL1" s="3886"/>
      <c r="AM1" s="3886"/>
      <c r="AN1" s="3886"/>
      <c r="AO1" s="3887"/>
      <c r="AP1" s="3820" t="s">
        <v>85</v>
      </c>
      <c r="AQ1" s="3820"/>
      <c r="AR1" s="3820"/>
      <c r="AS1" s="3820"/>
      <c r="AT1" s="3820"/>
      <c r="AU1" s="3820"/>
      <c r="AV1" s="3820"/>
      <c r="AW1" s="3820"/>
      <c r="AX1" s="3820"/>
      <c r="AY1" s="3820"/>
      <c r="AZ1" s="3820"/>
      <c r="BA1" s="3820"/>
      <c r="BB1" s="3977" t="s">
        <v>5114</v>
      </c>
      <c r="BC1" s="3978" t="s">
        <v>5115</v>
      </c>
      <c r="BD1" s="3979" t="s">
        <v>5177</v>
      </c>
    </row>
    <row r="2" spans="1:56" s="3509" customFormat="1" ht="30" x14ac:dyDescent="0.25">
      <c r="A2" s="3811" t="str">
        <f>HYPERLINK("#Index!A4", "Index Pg")</f>
        <v>Index Pg</v>
      </c>
      <c r="B2" s="3527" t="str">
        <f>HYPERLINK("#'Summary of Abstracts'!A2", "Summary of Abst.")</f>
        <v>Summary of Abst.</v>
      </c>
      <c r="C2" s="3521"/>
      <c r="D2" s="1033"/>
      <c r="E2" s="3825"/>
      <c r="F2" s="3522" t="s">
        <v>118</v>
      </c>
      <c r="G2" s="3522" t="s">
        <v>131</v>
      </c>
      <c r="H2" s="3522" t="s">
        <v>91</v>
      </c>
      <c r="I2" s="3522" t="s">
        <v>4715</v>
      </c>
      <c r="J2" s="3522" t="s">
        <v>96</v>
      </c>
      <c r="K2" s="3525" t="s">
        <v>4071</v>
      </c>
      <c r="L2" s="885" t="s">
        <v>4716</v>
      </c>
      <c r="M2" s="3522" t="s">
        <v>4720</v>
      </c>
      <c r="N2" s="885" t="s">
        <v>208</v>
      </c>
      <c r="O2" s="3523" t="s">
        <v>4365</v>
      </c>
      <c r="P2" s="887" t="s">
        <v>3855</v>
      </c>
      <c r="Q2" s="887" t="s">
        <v>4729</v>
      </c>
      <c r="R2" s="887" t="s">
        <v>4726</v>
      </c>
      <c r="S2" s="887"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5194</v>
      </c>
      <c r="AI2" s="3524" t="s">
        <v>293</v>
      </c>
      <c r="AJ2" s="3524" t="s">
        <v>114</v>
      </c>
      <c r="AK2" s="3524" t="s">
        <v>146</v>
      </c>
      <c r="AL2" s="3524" t="s">
        <v>4683</v>
      </c>
      <c r="AM2" s="3524" t="s">
        <v>3323</v>
      </c>
      <c r="AN2" s="3524" t="s">
        <v>3993</v>
      </c>
      <c r="AO2" s="3524" t="s">
        <v>4553</v>
      </c>
      <c r="AP2" s="3459" t="s">
        <v>86</v>
      </c>
      <c r="AQ2" s="3459" t="s">
        <v>150</v>
      </c>
      <c r="AR2" s="3459" t="s">
        <v>399</v>
      </c>
      <c r="AS2" s="3459" t="s">
        <v>152</v>
      </c>
      <c r="AT2" s="3459" t="s">
        <v>415</v>
      </c>
      <c r="AU2" s="3459" t="s">
        <v>4607</v>
      </c>
      <c r="AV2" s="3459" t="s">
        <v>4132</v>
      </c>
      <c r="AW2" s="3459" t="s">
        <v>312</v>
      </c>
      <c r="AX2" s="3459" t="s">
        <v>314</v>
      </c>
      <c r="AY2" s="3459" t="s">
        <v>1034</v>
      </c>
      <c r="AZ2" s="3459" t="s">
        <v>1020</v>
      </c>
      <c r="BA2" s="3459" t="s">
        <v>4718</v>
      </c>
      <c r="BB2" s="3977"/>
      <c r="BC2" s="3978"/>
      <c r="BD2" s="3979"/>
    </row>
    <row r="3" spans="1:56" s="3509" customFormat="1" x14ac:dyDescent="0.25">
      <c r="A3" s="3812"/>
      <c r="B3" s="3520" t="str">
        <f>HYPERLINK("#'Budget Summary I'!A1:AL1", "Budget Summary I")</f>
        <v>Budget Summary I</v>
      </c>
      <c r="C3" s="832" t="s">
        <v>4608</v>
      </c>
      <c r="D3" s="1033"/>
      <c r="E3" s="3526">
        <f>Q7</f>
        <v>0</v>
      </c>
      <c r="F3" s="177"/>
      <c r="G3" s="177"/>
      <c r="H3" s="177"/>
      <c r="I3" s="177"/>
      <c r="J3" s="177"/>
      <c r="K3" s="961">
        <f>Q13</f>
        <v>0</v>
      </c>
      <c r="L3" s="177"/>
      <c r="M3" s="177"/>
      <c r="N3" s="961"/>
      <c r="O3" s="961"/>
      <c r="P3" s="961"/>
      <c r="Q3" s="961"/>
      <c r="R3" s="961"/>
      <c r="S3" s="961"/>
      <c r="T3" s="961"/>
      <c r="U3" s="961"/>
      <c r="V3" s="961"/>
      <c r="W3" s="961"/>
      <c r="X3" s="961"/>
      <c r="Y3" s="961"/>
      <c r="Z3" s="961"/>
      <c r="AA3" s="961"/>
      <c r="AB3" s="961"/>
      <c r="AC3" s="961">
        <f>Q25+Q30+Q68+Q105+Q140+Q141+Q10+Q142</f>
        <v>0</v>
      </c>
      <c r="AD3" s="961"/>
      <c r="AE3" s="961">
        <f>Q17</f>
        <v>0</v>
      </c>
      <c r="AF3" s="961"/>
      <c r="AG3" s="961"/>
      <c r="AH3" s="961">
        <f>Q26</f>
        <v>0</v>
      </c>
      <c r="AI3" s="961"/>
      <c r="AJ3" s="961"/>
      <c r="AK3" s="961"/>
      <c r="AL3" s="961"/>
      <c r="AM3" s="961"/>
      <c r="AN3" s="961"/>
      <c r="AO3" s="961"/>
      <c r="AP3" s="961"/>
      <c r="AQ3" s="961"/>
      <c r="AR3" s="961"/>
      <c r="AS3" s="961"/>
      <c r="AT3" s="961"/>
      <c r="AU3" s="961"/>
      <c r="AV3" s="961"/>
      <c r="AW3" s="961"/>
      <c r="AX3" s="961"/>
      <c r="AY3" s="961"/>
      <c r="AZ3" s="961"/>
      <c r="BA3" s="961"/>
      <c r="BB3" s="3505">
        <f>Q9</f>
        <v>0</v>
      </c>
      <c r="BC3" s="3505">
        <f>Q11+Q43+Q80+Q117</f>
        <v>0</v>
      </c>
      <c r="BD3" s="3505">
        <f>Q12+Q55+Q92+Q129</f>
        <v>0</v>
      </c>
    </row>
    <row r="4" spans="1:56" s="3509" customFormat="1" x14ac:dyDescent="0.25">
      <c r="A4" s="3813"/>
      <c r="B4" s="3520" t="str">
        <f>HYPERLINK("#'Budget Summary II'!A3:B5", "Budget Summary II")</f>
        <v>Budget Summary II</v>
      </c>
      <c r="C4" s="832" t="s">
        <v>4609</v>
      </c>
      <c r="D4" s="1033"/>
      <c r="E4" s="3526">
        <f>N7</f>
        <v>57</v>
      </c>
      <c r="F4" s="177"/>
      <c r="G4" s="177"/>
      <c r="H4" s="177"/>
      <c r="I4" s="177"/>
      <c r="J4" s="177"/>
      <c r="K4" s="961">
        <f>N13</f>
        <v>0</v>
      </c>
      <c r="L4" s="177"/>
      <c r="M4" s="177"/>
      <c r="N4" s="961"/>
      <c r="O4" s="961"/>
      <c r="P4" s="961"/>
      <c r="Q4" s="961"/>
      <c r="R4" s="961"/>
      <c r="S4" s="961"/>
      <c r="T4" s="961"/>
      <c r="U4" s="961"/>
      <c r="V4" s="961"/>
      <c r="W4" s="961"/>
      <c r="X4" s="961"/>
      <c r="Y4" s="961"/>
      <c r="Z4" s="961"/>
      <c r="AA4" s="961"/>
      <c r="AB4" s="961"/>
      <c r="AC4" s="961">
        <f>N25+N29+N67+N104+N140+N141+N10+N142</f>
        <v>0</v>
      </c>
      <c r="AD4" s="961"/>
      <c r="AE4" s="961">
        <f>N17</f>
        <v>0</v>
      </c>
      <c r="AF4" s="961"/>
      <c r="AG4" s="961"/>
      <c r="AH4" s="961">
        <f>N26</f>
        <v>0</v>
      </c>
      <c r="AI4" s="961"/>
      <c r="AJ4" s="961"/>
      <c r="AK4" s="961"/>
      <c r="AL4" s="961"/>
      <c r="AM4" s="961"/>
      <c r="AN4" s="961"/>
      <c r="AO4" s="961"/>
      <c r="AP4" s="961"/>
      <c r="AQ4" s="961"/>
      <c r="AR4" s="961"/>
      <c r="AS4" s="961"/>
      <c r="AT4" s="961"/>
      <c r="AU4" s="961"/>
      <c r="AV4" s="961"/>
      <c r="AW4" s="961"/>
      <c r="AX4" s="961"/>
      <c r="AY4" s="961"/>
      <c r="AZ4" s="961"/>
      <c r="BA4" s="961"/>
      <c r="BB4" s="3505">
        <f>N9</f>
        <v>0</v>
      </c>
      <c r="BC4" s="3505">
        <f>N11+N42+N79+N116</f>
        <v>0</v>
      </c>
      <c r="BD4" s="3505">
        <f>N12+N54+N91+N128</f>
        <v>57</v>
      </c>
    </row>
    <row r="5" spans="1:56" s="3508" customFormat="1" x14ac:dyDescent="0.2">
      <c r="A5" s="3823" t="s">
        <v>53</v>
      </c>
      <c r="B5" s="3823" t="s">
        <v>54</v>
      </c>
      <c r="C5" s="3823" t="s">
        <v>55</v>
      </c>
      <c r="D5" s="3823" t="s">
        <v>4679</v>
      </c>
      <c r="E5" s="3876" t="s">
        <v>4629</v>
      </c>
      <c r="F5" s="3876"/>
      <c r="G5" s="3876"/>
      <c r="H5" s="3876"/>
      <c r="I5" s="3876"/>
      <c r="J5" s="3877" t="s">
        <v>4640</v>
      </c>
      <c r="K5" s="3888"/>
      <c r="L5" s="3888"/>
      <c r="M5" s="3888"/>
      <c r="N5" s="3888"/>
      <c r="O5" s="3889"/>
      <c r="P5" s="3890" t="s">
        <v>4670</v>
      </c>
      <c r="Q5" s="3891"/>
      <c r="U5" s="3609"/>
    </row>
    <row r="6" spans="1:56" s="3506" customFormat="1" ht="60" x14ac:dyDescent="0.2">
      <c r="A6" s="3823"/>
      <c r="B6" s="3823"/>
      <c r="C6" s="3823"/>
      <c r="D6" s="3823"/>
      <c r="E6" s="896" t="s">
        <v>4630</v>
      </c>
      <c r="F6" s="896" t="s">
        <v>4638</v>
      </c>
      <c r="G6" s="896" t="s">
        <v>4631</v>
      </c>
      <c r="H6" s="896" t="s">
        <v>4639</v>
      </c>
      <c r="I6" s="896" t="s">
        <v>2538</v>
      </c>
      <c r="J6" s="897" t="s">
        <v>58</v>
      </c>
      <c r="K6" s="897" t="s">
        <v>59</v>
      </c>
      <c r="L6" s="1197" t="s">
        <v>60</v>
      </c>
      <c r="M6" s="897" t="s">
        <v>61</v>
      </c>
      <c r="N6" s="1197" t="s">
        <v>62</v>
      </c>
      <c r="O6" s="897" t="s">
        <v>5547</v>
      </c>
      <c r="P6" s="899" t="s">
        <v>2540</v>
      </c>
      <c r="Q6" s="1198" t="s">
        <v>4671</v>
      </c>
      <c r="R6" s="3506" t="s">
        <v>4724</v>
      </c>
      <c r="U6" s="3610"/>
    </row>
    <row r="7" spans="1:56" s="3528" customFormat="1" x14ac:dyDescent="0.25">
      <c r="A7" s="484">
        <v>16</v>
      </c>
      <c r="B7" s="485"/>
      <c r="C7" s="484" t="s">
        <v>34</v>
      </c>
      <c r="D7" s="484"/>
      <c r="E7" s="485"/>
      <c r="F7" s="485"/>
      <c r="G7" s="486"/>
      <c r="H7" s="486"/>
      <c r="I7" s="486"/>
      <c r="J7" s="485"/>
      <c r="K7" s="484"/>
      <c r="L7" s="486"/>
      <c r="M7" s="484"/>
      <c r="N7" s="486">
        <f>SUM(N9:N13)+N17+N23</f>
        <v>57</v>
      </c>
      <c r="O7" s="1655"/>
      <c r="P7" s="484"/>
      <c r="Q7" s="486">
        <f>SUM(Q9:Q13)+Q17+Q23</f>
        <v>0</v>
      </c>
      <c r="R7" s="3528">
        <f>SUM(R8:R142)</f>
        <v>0</v>
      </c>
      <c r="T7" s="3608">
        <f>N7-Q7</f>
        <v>57</v>
      </c>
    </row>
    <row r="8" spans="1:56" ht="45" x14ac:dyDescent="0.25">
      <c r="A8" s="487">
        <v>16.100000000000001</v>
      </c>
      <c r="B8" s="487"/>
      <c r="C8" s="488" t="s">
        <v>3691</v>
      </c>
      <c r="D8" s="487"/>
      <c r="E8" s="487"/>
      <c r="F8" s="487"/>
      <c r="G8" s="490"/>
      <c r="H8" s="490"/>
      <c r="I8" s="490"/>
      <c r="J8" s="487"/>
      <c r="K8" s="487"/>
      <c r="L8" s="490"/>
      <c r="M8" s="1790"/>
      <c r="N8" s="490">
        <f>SUM(N9:N12)</f>
        <v>57</v>
      </c>
      <c r="O8" s="1791"/>
      <c r="P8" s="488"/>
      <c r="Q8" s="490">
        <f>'16-A. PM sub Annex'!T6</f>
        <v>0</v>
      </c>
      <c r="T8" s="3608">
        <f t="shared" ref="T8:T13" si="0">N8-Q8</f>
        <v>57</v>
      </c>
    </row>
    <row r="9" spans="1:56" ht="30" x14ac:dyDescent="0.25">
      <c r="A9" s="3529" t="s">
        <v>3374</v>
      </c>
      <c r="B9" s="3529"/>
      <c r="C9" s="3530" t="s">
        <v>5179</v>
      </c>
      <c r="D9" s="3999" t="s">
        <v>5183</v>
      </c>
      <c r="E9" s="3531"/>
      <c r="F9" s="3531"/>
      <c r="G9" s="3532"/>
      <c r="H9" s="3532"/>
      <c r="I9" s="3532"/>
      <c r="J9" s="3531"/>
      <c r="K9" s="3531"/>
      <c r="L9" s="3532"/>
      <c r="M9" s="3533"/>
      <c r="N9" s="3532">
        <f>'16-A. PM sub Annex'!G2</f>
        <v>0</v>
      </c>
      <c r="O9" s="3534"/>
      <c r="P9" s="3980"/>
      <c r="Q9" s="3535">
        <f>'16-A. PM sub Annex'!G3</f>
        <v>0</v>
      </c>
      <c r="T9" s="3608">
        <f t="shared" si="0"/>
        <v>0</v>
      </c>
    </row>
    <row r="10" spans="1:56" ht="30" x14ac:dyDescent="0.25">
      <c r="A10" s="3529" t="s">
        <v>3381</v>
      </c>
      <c r="B10" s="3529"/>
      <c r="C10" s="3530" t="s">
        <v>5180</v>
      </c>
      <c r="D10" s="4000"/>
      <c r="E10" s="3531"/>
      <c r="F10" s="3531"/>
      <c r="G10" s="3531"/>
      <c r="H10" s="3531"/>
      <c r="I10" s="3531"/>
      <c r="J10" s="3531"/>
      <c r="K10" s="3531"/>
      <c r="L10" s="3532"/>
      <c r="M10" s="3533"/>
      <c r="N10" s="3532">
        <f>'16-A. PM sub Annex'!H2</f>
        <v>0</v>
      </c>
      <c r="O10" s="3534"/>
      <c r="P10" s="3981"/>
      <c r="Q10" s="3535"/>
      <c r="T10" s="3608">
        <f t="shared" si="0"/>
        <v>0</v>
      </c>
    </row>
    <row r="11" spans="1:56" ht="30" x14ac:dyDescent="0.25">
      <c r="A11" s="3529" t="s">
        <v>3382</v>
      </c>
      <c r="B11" s="3529"/>
      <c r="C11" s="3530" t="s">
        <v>5181</v>
      </c>
      <c r="D11" s="4000"/>
      <c r="E11" s="3531"/>
      <c r="F11" s="3531"/>
      <c r="G11" s="3531"/>
      <c r="H11" s="3531"/>
      <c r="I11" s="3531"/>
      <c r="J11" s="3531"/>
      <c r="K11" s="3531"/>
      <c r="L11" s="3532"/>
      <c r="M11" s="3533"/>
      <c r="N11" s="3532">
        <f>'16-A. PM sub Annex'!I2</f>
        <v>0</v>
      </c>
      <c r="O11" s="3534"/>
      <c r="P11" s="3981"/>
      <c r="Q11" s="3535">
        <f>'16-A. PM sub Annex'!I3</f>
        <v>0</v>
      </c>
      <c r="T11" s="3608">
        <f t="shared" si="0"/>
        <v>0</v>
      </c>
    </row>
    <row r="12" spans="1:56" ht="30" x14ac:dyDescent="0.25">
      <c r="A12" s="3529" t="s">
        <v>3384</v>
      </c>
      <c r="B12" s="3529"/>
      <c r="C12" s="3530" t="s">
        <v>5182</v>
      </c>
      <c r="D12" s="4001"/>
      <c r="E12" s="3531"/>
      <c r="F12" s="3531"/>
      <c r="G12" s="3531"/>
      <c r="H12" s="3531"/>
      <c r="I12" s="3531"/>
      <c r="J12" s="3531"/>
      <c r="K12" s="3531"/>
      <c r="L12" s="3532"/>
      <c r="M12" s="3533"/>
      <c r="N12" s="3532">
        <f>'16-A. PM sub Annex'!J2</f>
        <v>57</v>
      </c>
      <c r="O12" s="3534"/>
      <c r="P12" s="3982"/>
      <c r="Q12" s="3535">
        <f>'16-A. PM sub Annex'!J3</f>
        <v>0</v>
      </c>
      <c r="T12" s="3608">
        <f t="shared" si="0"/>
        <v>57</v>
      </c>
    </row>
    <row r="13" spans="1:56" x14ac:dyDescent="0.25">
      <c r="A13" s="487">
        <v>16.2</v>
      </c>
      <c r="B13" s="487"/>
      <c r="C13" s="487" t="s">
        <v>2914</v>
      </c>
      <c r="D13" s="487"/>
      <c r="E13" s="489"/>
      <c r="F13" s="489"/>
      <c r="G13" s="490"/>
      <c r="H13" s="490"/>
      <c r="I13" s="490"/>
      <c r="J13" s="489"/>
      <c r="K13" s="489"/>
      <c r="L13" s="490"/>
      <c r="M13" s="491"/>
      <c r="N13" s="490">
        <f>SUM(N14:N16)</f>
        <v>0</v>
      </c>
      <c r="O13" s="492"/>
      <c r="P13" s="488"/>
      <c r="Q13" s="490">
        <f>SUM(Q14:Q16)</f>
        <v>0</v>
      </c>
      <c r="R13" s="3536">
        <f>Q13</f>
        <v>0</v>
      </c>
      <c r="T13" s="3608">
        <f t="shared" si="0"/>
        <v>0</v>
      </c>
    </row>
    <row r="14" spans="1:56" x14ac:dyDescent="0.25">
      <c r="A14" s="3537" t="s">
        <v>3396</v>
      </c>
      <c r="B14" s="3538" t="s">
        <v>2330</v>
      </c>
      <c r="C14" s="3537" t="s">
        <v>4122</v>
      </c>
      <c r="D14" s="493"/>
      <c r="E14" s="494"/>
      <c r="F14" s="494"/>
      <c r="G14" s="494"/>
      <c r="H14" s="494"/>
      <c r="I14" s="494"/>
      <c r="J14" s="494"/>
      <c r="K14" s="3539"/>
      <c r="L14" s="3510"/>
      <c r="M14" s="3539"/>
      <c r="N14" s="3540">
        <f>L14*M14</f>
        <v>0</v>
      </c>
      <c r="O14" s="3541"/>
      <c r="P14" s="3542"/>
      <c r="Q14" s="3543">
        <f>'Ab1. RMNCH+A'!R391</f>
        <v>0</v>
      </c>
    </row>
    <row r="15" spans="1:56" x14ac:dyDescent="0.25">
      <c r="A15" s="3537" t="s">
        <v>3440</v>
      </c>
      <c r="B15" s="3538" t="s">
        <v>2224</v>
      </c>
      <c r="C15" s="3537" t="s">
        <v>2915</v>
      </c>
      <c r="D15" s="493"/>
      <c r="E15" s="494"/>
      <c r="F15" s="494"/>
      <c r="G15" s="494"/>
      <c r="H15" s="494"/>
      <c r="I15" s="494"/>
      <c r="J15" s="3560"/>
      <c r="K15" s="3060"/>
      <c r="L15" s="3510"/>
      <c r="M15" s="3539"/>
      <c r="N15" s="3540">
        <f>L15*M15</f>
        <v>0</v>
      </c>
      <c r="O15" s="3561"/>
      <c r="P15" s="3542"/>
      <c r="Q15" s="3543">
        <f>'Ab1. RMNCH+A'!R392</f>
        <v>0</v>
      </c>
      <c r="T15" s="3608">
        <f t="shared" ref="T15:T17" si="1">N15-Q15</f>
        <v>0</v>
      </c>
    </row>
    <row r="16" spans="1:56" ht="45" x14ac:dyDescent="0.25">
      <c r="A16" s="3544" t="s">
        <v>3692</v>
      </c>
      <c r="B16" s="3537" t="s">
        <v>2331</v>
      </c>
      <c r="C16" s="3512" t="s">
        <v>3693</v>
      </c>
      <c r="D16" s="493"/>
      <c r="E16" s="494"/>
      <c r="F16" s="494"/>
      <c r="G16" s="494"/>
      <c r="H16" s="494"/>
      <c r="I16" s="494"/>
      <c r="J16" s="494"/>
      <c r="K16" s="3539"/>
      <c r="L16" s="3510"/>
      <c r="M16" s="3539"/>
      <c r="N16" s="3540">
        <f>L16*M16</f>
        <v>0</v>
      </c>
      <c r="O16" s="3561"/>
      <c r="P16" s="3542"/>
      <c r="Q16" s="3543">
        <f>'Ab1. RMNCH+A'!R393</f>
        <v>0</v>
      </c>
      <c r="T16" s="3608">
        <f t="shared" si="1"/>
        <v>0</v>
      </c>
    </row>
    <row r="17" spans="1:20" x14ac:dyDescent="0.25">
      <c r="A17" s="487">
        <v>16.3</v>
      </c>
      <c r="B17" s="487"/>
      <c r="C17" s="487" t="s">
        <v>2916</v>
      </c>
      <c r="D17" s="487"/>
      <c r="E17" s="489"/>
      <c r="F17" s="489"/>
      <c r="G17" s="490"/>
      <c r="H17" s="490"/>
      <c r="I17" s="490"/>
      <c r="J17" s="489"/>
      <c r="K17" s="489"/>
      <c r="L17" s="490"/>
      <c r="M17" s="489"/>
      <c r="N17" s="490">
        <f>SUM(N18:N22)</f>
        <v>0</v>
      </c>
      <c r="O17" s="492"/>
      <c r="P17" s="488"/>
      <c r="Q17" s="490">
        <f>SUM(Q18:Q22)</f>
        <v>0</v>
      </c>
      <c r="R17" s="3536">
        <f>Q17</f>
        <v>0</v>
      </c>
      <c r="T17" s="3608">
        <f t="shared" si="1"/>
        <v>0</v>
      </c>
    </row>
    <row r="18" spans="1:20" ht="30" x14ac:dyDescent="0.25">
      <c r="A18" s="3537" t="s">
        <v>3471</v>
      </c>
      <c r="B18" s="3542" t="s">
        <v>2917</v>
      </c>
      <c r="C18" s="3537" t="s">
        <v>4123</v>
      </c>
      <c r="D18" s="493"/>
      <c r="E18" s="494"/>
      <c r="F18" s="494"/>
      <c r="G18" s="494"/>
      <c r="H18" s="494"/>
      <c r="I18" s="494"/>
      <c r="J18" s="494"/>
      <c r="K18" s="3539"/>
      <c r="L18" s="3510"/>
      <c r="M18" s="3539"/>
      <c r="N18" s="3540">
        <f>L18*M18</f>
        <v>0</v>
      </c>
      <c r="O18" s="3541"/>
      <c r="P18" s="3545"/>
      <c r="Q18" s="3546">
        <f>'Ab4. HMIS-MCTS'!R21</f>
        <v>0</v>
      </c>
    </row>
    <row r="19" spans="1:20" ht="30" x14ac:dyDescent="0.25">
      <c r="A19" s="3537" t="s">
        <v>3510</v>
      </c>
      <c r="B19" s="3542" t="s">
        <v>2918</v>
      </c>
      <c r="C19" s="3537" t="s">
        <v>2919</v>
      </c>
      <c r="D19" s="493"/>
      <c r="E19" s="3562"/>
      <c r="F19" s="3563"/>
      <c r="G19" s="3564"/>
      <c r="H19" s="3565"/>
      <c r="I19" s="3566"/>
      <c r="J19" s="3567"/>
      <c r="K19" s="3531"/>
      <c r="L19" s="3510"/>
      <c r="M19" s="3539"/>
      <c r="N19" s="3540">
        <f>L19*M19</f>
        <v>0</v>
      </c>
      <c r="O19" s="3568"/>
      <c r="P19" s="3545"/>
      <c r="Q19" s="3546">
        <f>'Ab4. HMIS-MCTS'!R22</f>
        <v>0</v>
      </c>
      <c r="T19" s="3608">
        <f t="shared" ref="T19:T20" si="2">N19-Q19</f>
        <v>0</v>
      </c>
    </row>
    <row r="20" spans="1:20" ht="90" x14ac:dyDescent="0.25">
      <c r="A20" s="3537" t="s">
        <v>3516</v>
      </c>
      <c r="B20" s="3542" t="s">
        <v>2920</v>
      </c>
      <c r="C20" s="3542" t="s">
        <v>2921</v>
      </c>
      <c r="D20" s="493"/>
      <c r="E20" s="3562"/>
      <c r="F20" s="3563"/>
      <c r="G20" s="3564"/>
      <c r="H20" s="3565"/>
      <c r="I20" s="3566"/>
      <c r="J20" s="3567"/>
      <c r="K20" s="3531"/>
      <c r="L20" s="3510"/>
      <c r="M20" s="3539"/>
      <c r="N20" s="3540">
        <f>L20*M20</f>
        <v>0</v>
      </c>
      <c r="O20" s="3568"/>
      <c r="P20" s="3545"/>
      <c r="Q20" s="3546">
        <f>'Ab4. HMIS-MCTS'!R23</f>
        <v>0</v>
      </c>
      <c r="T20" s="3608">
        <f t="shared" si="2"/>
        <v>0</v>
      </c>
    </row>
    <row r="21" spans="1:20" ht="60" x14ac:dyDescent="0.25">
      <c r="A21" s="3537" t="s">
        <v>3549</v>
      </c>
      <c r="B21" s="3542" t="s">
        <v>2922</v>
      </c>
      <c r="C21" s="3542" t="s">
        <v>2923</v>
      </c>
      <c r="D21" s="493"/>
      <c r="E21" s="3562"/>
      <c r="F21" s="3563"/>
      <c r="G21" s="3564"/>
      <c r="H21" s="3565"/>
      <c r="I21" s="3566"/>
      <c r="J21" s="3567"/>
      <c r="K21" s="3531"/>
      <c r="L21" s="3510"/>
      <c r="M21" s="3539"/>
      <c r="N21" s="3540">
        <f>L21*M21</f>
        <v>0</v>
      </c>
      <c r="O21" s="3541"/>
      <c r="P21" s="3545"/>
      <c r="Q21" s="3546">
        <f>'Ab4. HMIS-MCTS'!R24</f>
        <v>0</v>
      </c>
    </row>
    <row r="22" spans="1:20" ht="30" x14ac:dyDescent="0.25">
      <c r="A22" s="3537" t="s">
        <v>3561</v>
      </c>
      <c r="B22" s="3542" t="s">
        <v>2924</v>
      </c>
      <c r="C22" s="3537" t="s">
        <v>2925</v>
      </c>
      <c r="D22" s="493"/>
      <c r="E22" s="494"/>
      <c r="F22" s="494"/>
      <c r="G22" s="494"/>
      <c r="H22" s="494"/>
      <c r="I22" s="494"/>
      <c r="J22" s="494"/>
      <c r="K22" s="3539"/>
      <c r="L22" s="3510"/>
      <c r="M22" s="3539"/>
      <c r="N22" s="3540">
        <f>L22*M22</f>
        <v>0</v>
      </c>
      <c r="O22" s="3541"/>
      <c r="P22" s="3545"/>
      <c r="Q22" s="3546">
        <f>'Ab4. HMIS-MCTS'!R25</f>
        <v>0</v>
      </c>
    </row>
    <row r="23" spans="1:20" s="3548" customFormat="1" x14ac:dyDescent="0.25">
      <c r="A23" s="487">
        <v>16.399999999999999</v>
      </c>
      <c r="B23" s="487"/>
      <c r="C23" s="487" t="s">
        <v>2926</v>
      </c>
      <c r="D23" s="487"/>
      <c r="E23" s="489"/>
      <c r="F23" s="489"/>
      <c r="G23" s="490"/>
      <c r="H23" s="490"/>
      <c r="I23" s="490"/>
      <c r="J23" s="489"/>
      <c r="K23" s="489"/>
      <c r="L23" s="490"/>
      <c r="M23" s="490"/>
      <c r="N23" s="490">
        <f>N24+N66+N103+N140+N141+N142</f>
        <v>0</v>
      </c>
      <c r="O23" s="492"/>
      <c r="P23" s="488"/>
      <c r="Q23" s="490">
        <f>Q24+Q66+Q103+Q140+Q141+Q142</f>
        <v>0</v>
      </c>
      <c r="R23" s="3547">
        <f>Q23</f>
        <v>0</v>
      </c>
      <c r="T23" s="3608">
        <f t="shared" ref="T23:T27" si="3">N23-Q23</f>
        <v>0</v>
      </c>
    </row>
    <row r="24" spans="1:20" s="3548" customFormat="1" ht="30" x14ac:dyDescent="0.25">
      <c r="A24" s="496" t="s">
        <v>3565</v>
      </c>
      <c r="B24" s="497"/>
      <c r="C24" s="497" t="s">
        <v>2927</v>
      </c>
      <c r="D24" s="497"/>
      <c r="E24" s="498"/>
      <c r="F24" s="498"/>
      <c r="G24" s="499"/>
      <c r="H24" s="499"/>
      <c r="I24" s="499"/>
      <c r="J24" s="498"/>
      <c r="K24" s="498"/>
      <c r="L24" s="499"/>
      <c r="M24" s="499"/>
      <c r="N24" s="499">
        <f>N25+N26+N29+N42+N54</f>
        <v>0</v>
      </c>
      <c r="O24" s="500"/>
      <c r="P24" s="496"/>
      <c r="Q24" s="499">
        <f>Q25+Q26+Q29+Q42+Q54</f>
        <v>0</v>
      </c>
      <c r="T24" s="3608">
        <f t="shared" si="3"/>
        <v>0</v>
      </c>
    </row>
    <row r="25" spans="1:20" s="3548" customFormat="1" ht="45" x14ac:dyDescent="0.25">
      <c r="A25" s="3513" t="s">
        <v>3567</v>
      </c>
      <c r="B25" s="3514" t="s">
        <v>2396</v>
      </c>
      <c r="C25" s="3514" t="s">
        <v>2148</v>
      </c>
      <c r="D25" s="3542" t="s">
        <v>4678</v>
      </c>
      <c r="E25" s="494"/>
      <c r="F25" s="3569"/>
      <c r="G25" s="3570"/>
      <c r="H25" s="3571"/>
      <c r="I25" s="3567"/>
      <c r="J25" s="3060"/>
      <c r="K25" s="3539"/>
      <c r="L25" s="3510"/>
      <c r="M25" s="3539"/>
      <c r="N25" s="3540">
        <f>L25*M25</f>
        <v>0</v>
      </c>
      <c r="O25" s="3572"/>
      <c r="P25" s="3549"/>
      <c r="Q25" s="504"/>
      <c r="T25" s="3608">
        <f t="shared" si="3"/>
        <v>0</v>
      </c>
    </row>
    <row r="26" spans="1:20" s="3548" customFormat="1" x14ac:dyDescent="0.25">
      <c r="A26" s="3515" t="s">
        <v>3569</v>
      </c>
      <c r="B26" s="3516" t="s">
        <v>2149</v>
      </c>
      <c r="C26" s="3516" t="s">
        <v>3911</v>
      </c>
      <c r="D26" s="507"/>
      <c r="E26" s="3573"/>
      <c r="F26" s="3573"/>
      <c r="G26" s="3573"/>
      <c r="H26" s="3574"/>
      <c r="I26" s="3573"/>
      <c r="J26" s="3061"/>
      <c r="K26" s="3061"/>
      <c r="L26" s="508"/>
      <c r="M26" s="508"/>
      <c r="N26" s="508">
        <f>N27+N28</f>
        <v>0</v>
      </c>
      <c r="O26" s="3575"/>
      <c r="P26" s="509"/>
      <c r="Q26" s="508"/>
      <c r="R26" s="3547">
        <f>-Q26</f>
        <v>0</v>
      </c>
      <c r="T26" s="3608">
        <f t="shared" si="3"/>
        <v>0</v>
      </c>
    </row>
    <row r="27" spans="1:20" s="3548" customFormat="1" x14ac:dyDescent="0.25">
      <c r="A27" s="3513" t="s">
        <v>3912</v>
      </c>
      <c r="B27" s="3517"/>
      <c r="C27" s="3514" t="s">
        <v>2150</v>
      </c>
      <c r="D27" s="3550"/>
      <c r="E27" s="494"/>
      <c r="F27" s="3576"/>
      <c r="G27" s="3570"/>
      <c r="H27" s="3577"/>
      <c r="I27" s="3578"/>
      <c r="J27" s="3060"/>
      <c r="K27" s="3539"/>
      <c r="L27" s="3510"/>
      <c r="M27" s="3539"/>
      <c r="N27" s="3540">
        <f>L27*M27</f>
        <v>0</v>
      </c>
      <c r="O27" s="3567"/>
      <c r="P27" s="3551"/>
      <c r="Q27" s="504"/>
      <c r="T27" s="3608">
        <f t="shared" si="3"/>
        <v>0</v>
      </c>
    </row>
    <row r="28" spans="1:20" s="3548" customFormat="1" x14ac:dyDescent="0.2">
      <c r="A28" s="3513" t="s">
        <v>3913</v>
      </c>
      <c r="B28" s="3517"/>
      <c r="C28" s="3514" t="s">
        <v>2338</v>
      </c>
      <c r="D28" s="3550"/>
      <c r="E28" s="494"/>
      <c r="F28" s="3579"/>
      <c r="G28" s="3060"/>
      <c r="H28" s="3580"/>
      <c r="I28" s="3060"/>
      <c r="J28" s="3060"/>
      <c r="K28" s="3539"/>
      <c r="L28" s="3510"/>
      <c r="M28" s="3539"/>
      <c r="N28" s="3540">
        <f>L28*M28</f>
        <v>0</v>
      </c>
      <c r="O28" s="3549"/>
      <c r="P28" s="503"/>
      <c r="Q28" s="504"/>
    </row>
    <row r="29" spans="1:20" s="3548" customFormat="1" ht="30" x14ac:dyDescent="0.25">
      <c r="A29" s="511" t="s">
        <v>3571</v>
      </c>
      <c r="B29" s="512"/>
      <c r="C29" s="512" t="s">
        <v>2928</v>
      </c>
      <c r="D29" s="512"/>
      <c r="E29" s="3057"/>
      <c r="F29" s="3057"/>
      <c r="G29" s="3057"/>
      <c r="H29" s="3057"/>
      <c r="I29" s="3057"/>
      <c r="J29" s="513"/>
      <c r="K29" s="513"/>
      <c r="L29" s="514"/>
      <c r="M29" s="514"/>
      <c r="N29" s="514">
        <f>SUM(N30:N41)</f>
        <v>0</v>
      </c>
      <c r="O29" s="515"/>
      <c r="P29" s="511"/>
      <c r="Q29" s="514">
        <f>SUM(Q30:Q41)</f>
        <v>0</v>
      </c>
      <c r="T29" s="3608">
        <f t="shared" ref="T29:T30" si="4">N29-Q29</f>
        <v>0</v>
      </c>
    </row>
    <row r="30" spans="1:20" s="3548" customFormat="1" x14ac:dyDescent="0.25">
      <c r="A30" s="3537" t="s">
        <v>3694</v>
      </c>
      <c r="B30" s="3517"/>
      <c r="C30" s="3514" t="s">
        <v>2139</v>
      </c>
      <c r="D30" s="3983" t="s">
        <v>3915</v>
      </c>
      <c r="E30" s="3531"/>
      <c r="F30" s="3581"/>
      <c r="G30" s="3996"/>
      <c r="H30" s="3996"/>
      <c r="I30" s="3582"/>
      <c r="J30" s="3996"/>
      <c r="K30" s="4005"/>
      <c r="L30" s="4008"/>
      <c r="M30" s="4005"/>
      <c r="N30" s="4011">
        <f>L30*M30</f>
        <v>0</v>
      </c>
      <c r="O30" s="3583"/>
      <c r="P30" s="3584"/>
      <c r="Q30" s="4002"/>
      <c r="T30" s="3608">
        <f t="shared" si="4"/>
        <v>0</v>
      </c>
    </row>
    <row r="31" spans="1:20" s="3548" customFormat="1" ht="30" x14ac:dyDescent="0.2">
      <c r="A31" s="3537" t="s">
        <v>3695</v>
      </c>
      <c r="B31" s="3517"/>
      <c r="C31" s="3514" t="s">
        <v>2929</v>
      </c>
      <c r="D31" s="3983"/>
      <c r="E31" s="3531"/>
      <c r="F31" s="3569"/>
      <c r="G31" s="3997"/>
      <c r="H31" s="3997"/>
      <c r="I31" s="3578"/>
      <c r="J31" s="3997"/>
      <c r="K31" s="4006"/>
      <c r="L31" s="4009"/>
      <c r="M31" s="4006"/>
      <c r="N31" s="4012"/>
      <c r="O31" s="3585"/>
      <c r="P31" s="3586"/>
      <c r="Q31" s="4003"/>
    </row>
    <row r="32" spans="1:20" s="3548" customFormat="1" x14ac:dyDescent="0.2">
      <c r="A32" s="3537" t="s">
        <v>3696</v>
      </c>
      <c r="B32" s="3517"/>
      <c r="C32" s="3550" t="s">
        <v>2141</v>
      </c>
      <c r="D32" s="3983"/>
      <c r="E32" s="3566"/>
      <c r="F32" s="3581"/>
      <c r="G32" s="3997"/>
      <c r="H32" s="3997"/>
      <c r="I32" s="3587"/>
      <c r="J32" s="3997"/>
      <c r="K32" s="4006"/>
      <c r="L32" s="4009"/>
      <c r="M32" s="4006"/>
      <c r="N32" s="4012"/>
      <c r="O32" s="3587"/>
      <c r="P32" s="503"/>
      <c r="Q32" s="4003"/>
    </row>
    <row r="33" spans="1:20" s="3548" customFormat="1" x14ac:dyDescent="0.2">
      <c r="A33" s="3537" t="s">
        <v>3697</v>
      </c>
      <c r="B33" s="3517"/>
      <c r="C33" s="3514" t="s">
        <v>2142</v>
      </c>
      <c r="D33" s="3983"/>
      <c r="E33" s="3531"/>
      <c r="F33" s="3581"/>
      <c r="G33" s="3997"/>
      <c r="H33" s="3997"/>
      <c r="I33" s="3587"/>
      <c r="J33" s="3997"/>
      <c r="K33" s="4006"/>
      <c r="L33" s="4009"/>
      <c r="M33" s="4006"/>
      <c r="N33" s="4012"/>
      <c r="O33" s="3588"/>
      <c r="P33" s="3589"/>
      <c r="Q33" s="4003"/>
    </row>
    <row r="34" spans="1:20" s="3548" customFormat="1" ht="101.25" customHeight="1" x14ac:dyDescent="0.25">
      <c r="A34" s="3537" t="s">
        <v>3698</v>
      </c>
      <c r="B34" s="3517"/>
      <c r="C34" s="3514" t="s">
        <v>2143</v>
      </c>
      <c r="D34" s="3983"/>
      <c r="E34" s="3531"/>
      <c r="F34" s="3581"/>
      <c r="G34" s="3997"/>
      <c r="H34" s="3997"/>
      <c r="I34" s="3587"/>
      <c r="J34" s="3997"/>
      <c r="K34" s="4006"/>
      <c r="L34" s="4009"/>
      <c r="M34" s="4006"/>
      <c r="N34" s="4012"/>
      <c r="O34" s="3590"/>
      <c r="P34" s="3552"/>
      <c r="Q34" s="4003"/>
    </row>
    <row r="35" spans="1:20" s="3548" customFormat="1" x14ac:dyDescent="0.2">
      <c r="A35" s="3537" t="s">
        <v>3699</v>
      </c>
      <c r="B35" s="3553"/>
      <c r="C35" s="3550" t="s">
        <v>2144</v>
      </c>
      <c r="D35" s="3983"/>
      <c r="E35" s="3531"/>
      <c r="F35" s="3581"/>
      <c r="G35" s="3997"/>
      <c r="H35" s="3997"/>
      <c r="I35" s="3587"/>
      <c r="J35" s="3997"/>
      <c r="K35" s="4006"/>
      <c r="L35" s="4009"/>
      <c r="M35" s="4006"/>
      <c r="N35" s="4012"/>
      <c r="O35" s="3511"/>
      <c r="P35" s="3551"/>
      <c r="Q35" s="4003"/>
    </row>
    <row r="36" spans="1:20" s="3548" customFormat="1" x14ac:dyDescent="0.25">
      <c r="A36" s="3537" t="s">
        <v>3700</v>
      </c>
      <c r="B36" s="3517"/>
      <c r="C36" s="3514" t="s">
        <v>2146</v>
      </c>
      <c r="D36" s="3983"/>
      <c r="E36" s="3531"/>
      <c r="F36" s="3581"/>
      <c r="G36" s="3997"/>
      <c r="H36" s="3997"/>
      <c r="I36" s="3587"/>
      <c r="J36" s="3997"/>
      <c r="K36" s="4006"/>
      <c r="L36" s="4009"/>
      <c r="M36" s="4006"/>
      <c r="N36" s="4012"/>
      <c r="O36" s="3591"/>
      <c r="P36" s="3592"/>
      <c r="Q36" s="4003"/>
    </row>
    <row r="37" spans="1:20" s="3548" customFormat="1" x14ac:dyDescent="0.25">
      <c r="A37" s="3537" t="s">
        <v>3701</v>
      </c>
      <c r="B37" s="3517"/>
      <c r="C37" s="3514" t="s">
        <v>2147</v>
      </c>
      <c r="D37" s="3983"/>
      <c r="E37" s="3531"/>
      <c r="F37" s="3581"/>
      <c r="G37" s="3997"/>
      <c r="H37" s="3997"/>
      <c r="I37" s="3587"/>
      <c r="J37" s="3997"/>
      <c r="K37" s="4006"/>
      <c r="L37" s="4009"/>
      <c r="M37" s="4006"/>
      <c r="N37" s="4012"/>
      <c r="O37" s="3588"/>
      <c r="P37" s="3592"/>
      <c r="Q37" s="4003"/>
    </row>
    <row r="38" spans="1:20" s="3548" customFormat="1" x14ac:dyDescent="0.2">
      <c r="A38" s="3537" t="s">
        <v>3702</v>
      </c>
      <c r="B38" s="3553"/>
      <c r="C38" s="3550" t="s">
        <v>673</v>
      </c>
      <c r="D38" s="3983"/>
      <c r="E38" s="3566"/>
      <c r="F38" s="3581"/>
      <c r="G38" s="3997"/>
      <c r="H38" s="3997"/>
      <c r="I38" s="3587"/>
      <c r="J38" s="3997"/>
      <c r="K38" s="4006"/>
      <c r="L38" s="4009"/>
      <c r="M38" s="4006"/>
      <c r="N38" s="4012"/>
      <c r="O38" s="3587"/>
      <c r="P38" s="503"/>
      <c r="Q38" s="4003"/>
    </row>
    <row r="39" spans="1:20" s="3548" customFormat="1" x14ac:dyDescent="0.2">
      <c r="A39" s="3537" t="s">
        <v>3703</v>
      </c>
      <c r="B39" s="3517"/>
      <c r="C39" s="3514" t="s">
        <v>2151</v>
      </c>
      <c r="D39" s="3983"/>
      <c r="E39" s="3531"/>
      <c r="F39" s="3581"/>
      <c r="G39" s="3997"/>
      <c r="H39" s="3997"/>
      <c r="I39" s="3587"/>
      <c r="J39" s="3997"/>
      <c r="K39" s="4006"/>
      <c r="L39" s="4009"/>
      <c r="M39" s="4006"/>
      <c r="N39" s="4012"/>
      <c r="O39" s="3593"/>
      <c r="P39" s="3551"/>
      <c r="Q39" s="4003"/>
    </row>
    <row r="40" spans="1:20" s="3548" customFormat="1" x14ac:dyDescent="0.2">
      <c r="A40" s="3537" t="s">
        <v>3704</v>
      </c>
      <c r="B40" s="3517"/>
      <c r="C40" s="3514" t="s">
        <v>2152</v>
      </c>
      <c r="D40" s="3983"/>
      <c r="E40" s="3531"/>
      <c r="F40" s="3581"/>
      <c r="G40" s="3997"/>
      <c r="H40" s="3997"/>
      <c r="I40" s="3587"/>
      <c r="J40" s="3997"/>
      <c r="K40" s="4006"/>
      <c r="L40" s="4009"/>
      <c r="M40" s="4006"/>
      <c r="N40" s="4012"/>
      <c r="O40" s="3594"/>
      <c r="P40" s="3551"/>
      <c r="Q40" s="4003"/>
    </row>
    <row r="41" spans="1:20" s="3548" customFormat="1" x14ac:dyDescent="0.25">
      <c r="A41" s="3544" t="s">
        <v>3705</v>
      </c>
      <c r="B41" s="3517"/>
      <c r="C41" s="3514" t="s">
        <v>622</v>
      </c>
      <c r="D41" s="3983"/>
      <c r="E41" s="3531"/>
      <c r="F41" s="3581"/>
      <c r="G41" s="3998"/>
      <c r="H41" s="3998"/>
      <c r="I41" s="3587"/>
      <c r="J41" s="3998"/>
      <c r="K41" s="4007"/>
      <c r="L41" s="4010"/>
      <c r="M41" s="4007"/>
      <c r="N41" s="4013"/>
      <c r="O41" s="3595"/>
      <c r="P41" s="3457"/>
      <c r="Q41" s="4004"/>
    </row>
    <row r="42" spans="1:20" s="3548" customFormat="1" x14ac:dyDescent="0.25">
      <c r="A42" s="511" t="s">
        <v>3573</v>
      </c>
      <c r="B42" s="512"/>
      <c r="C42" s="512" t="s">
        <v>2930</v>
      </c>
      <c r="D42" s="512"/>
      <c r="E42" s="513"/>
      <c r="F42" s="3057"/>
      <c r="G42" s="3057"/>
      <c r="H42" s="3057"/>
      <c r="I42" s="3057"/>
      <c r="J42" s="513"/>
      <c r="K42" s="513"/>
      <c r="L42" s="514"/>
      <c r="M42" s="514"/>
      <c r="N42" s="514">
        <f>SUM(N43:N53)</f>
        <v>0</v>
      </c>
      <c r="O42" s="515"/>
      <c r="P42" s="516"/>
      <c r="Q42" s="514">
        <f>SUM(Q43:Q53)</f>
        <v>0</v>
      </c>
      <c r="T42" s="3608">
        <f t="shared" ref="T42:T43" si="5">N42-Q42</f>
        <v>0</v>
      </c>
    </row>
    <row r="43" spans="1:20" s="3548" customFormat="1" x14ac:dyDescent="0.25">
      <c r="A43" s="3537" t="s">
        <v>3706</v>
      </c>
      <c r="B43" s="3517"/>
      <c r="C43" s="3514" t="s">
        <v>2139</v>
      </c>
      <c r="D43" s="3983" t="s">
        <v>4900</v>
      </c>
      <c r="E43" s="3566"/>
      <c r="F43" s="3581"/>
      <c r="G43" s="3984"/>
      <c r="H43" s="3984"/>
      <c r="I43" s="3587"/>
      <c r="J43" s="3984"/>
      <c r="K43" s="4005"/>
      <c r="L43" s="4008"/>
      <c r="M43" s="4005"/>
      <c r="N43" s="4011">
        <f>L43*M43</f>
        <v>0</v>
      </c>
      <c r="O43" s="3591"/>
      <c r="P43" s="3584"/>
      <c r="Q43" s="3990"/>
      <c r="T43" s="3608">
        <f t="shared" si="5"/>
        <v>0</v>
      </c>
    </row>
    <row r="44" spans="1:20" s="3548" customFormat="1" ht="30" x14ac:dyDescent="0.25">
      <c r="A44" s="3537" t="s">
        <v>3707</v>
      </c>
      <c r="B44" s="3517"/>
      <c r="C44" s="3514" t="s">
        <v>2929</v>
      </c>
      <c r="D44" s="3983"/>
      <c r="E44" s="3566"/>
      <c r="F44" s="3581"/>
      <c r="G44" s="3985"/>
      <c r="H44" s="3985"/>
      <c r="I44" s="3587"/>
      <c r="J44" s="3985"/>
      <c r="K44" s="4006"/>
      <c r="L44" s="4009"/>
      <c r="M44" s="4006"/>
      <c r="N44" s="4012"/>
      <c r="O44" s="3591"/>
      <c r="P44" s="3584"/>
      <c r="Q44" s="3991"/>
    </row>
    <row r="45" spans="1:20" s="3548" customFormat="1" x14ac:dyDescent="0.25">
      <c r="A45" s="3537" t="s">
        <v>3708</v>
      </c>
      <c r="B45" s="3517"/>
      <c r="C45" s="3514" t="s">
        <v>2142</v>
      </c>
      <c r="D45" s="3983"/>
      <c r="E45" s="3566"/>
      <c r="F45" s="3581"/>
      <c r="G45" s="3985"/>
      <c r="H45" s="3985"/>
      <c r="I45" s="3587"/>
      <c r="J45" s="3985"/>
      <c r="K45" s="4006"/>
      <c r="L45" s="4009"/>
      <c r="M45" s="4006"/>
      <c r="N45" s="4012"/>
      <c r="O45" s="3591"/>
      <c r="P45" s="3584"/>
      <c r="Q45" s="3991"/>
    </row>
    <row r="46" spans="1:20" s="3548" customFormat="1" x14ac:dyDescent="0.25">
      <c r="A46" s="3537" t="s">
        <v>3709</v>
      </c>
      <c r="B46" s="3517"/>
      <c r="C46" s="3514" t="s">
        <v>2143</v>
      </c>
      <c r="D46" s="3983"/>
      <c r="E46" s="3566"/>
      <c r="F46" s="3581"/>
      <c r="G46" s="3985"/>
      <c r="H46" s="3985"/>
      <c r="I46" s="3587"/>
      <c r="J46" s="3985"/>
      <c r="K46" s="4006"/>
      <c r="L46" s="4009"/>
      <c r="M46" s="4006"/>
      <c r="N46" s="4012"/>
      <c r="O46" s="3591"/>
      <c r="P46" s="3584"/>
      <c r="Q46" s="3991"/>
    </row>
    <row r="47" spans="1:20" s="3548" customFormat="1" x14ac:dyDescent="0.25">
      <c r="A47" s="3537" t="s">
        <v>3710</v>
      </c>
      <c r="B47" s="3517"/>
      <c r="C47" s="3550" t="s">
        <v>2144</v>
      </c>
      <c r="D47" s="3983"/>
      <c r="E47" s="3566"/>
      <c r="F47" s="3581"/>
      <c r="G47" s="3985"/>
      <c r="H47" s="3985"/>
      <c r="I47" s="3587"/>
      <c r="J47" s="3985"/>
      <c r="K47" s="4006"/>
      <c r="L47" s="4009"/>
      <c r="M47" s="4006"/>
      <c r="N47" s="4012"/>
      <c r="O47" s="3591"/>
      <c r="P47" s="3592"/>
      <c r="Q47" s="3991"/>
    </row>
    <row r="48" spans="1:20" s="3548" customFormat="1" x14ac:dyDescent="0.2">
      <c r="A48" s="3537" t="s">
        <v>3711</v>
      </c>
      <c r="B48" s="3517"/>
      <c r="C48" s="3514" t="s">
        <v>2146</v>
      </c>
      <c r="D48" s="3983"/>
      <c r="E48" s="3566"/>
      <c r="F48" s="3581"/>
      <c r="G48" s="3985"/>
      <c r="H48" s="3985"/>
      <c r="I48" s="3587"/>
      <c r="J48" s="3985"/>
      <c r="K48" s="4006"/>
      <c r="L48" s="4009"/>
      <c r="M48" s="4006"/>
      <c r="N48" s="4012"/>
      <c r="O48" s="3591"/>
      <c r="P48" s="503"/>
      <c r="Q48" s="3991"/>
    </row>
    <row r="49" spans="1:20" s="3548" customFormat="1" x14ac:dyDescent="0.25">
      <c r="A49" s="3537" t="s">
        <v>3712</v>
      </c>
      <c r="B49" s="3517"/>
      <c r="C49" s="3514" t="s">
        <v>2147</v>
      </c>
      <c r="D49" s="3983"/>
      <c r="E49" s="3566"/>
      <c r="F49" s="3581"/>
      <c r="G49" s="3985"/>
      <c r="H49" s="3985"/>
      <c r="I49" s="3587"/>
      <c r="J49" s="3985"/>
      <c r="K49" s="4006"/>
      <c r="L49" s="4009"/>
      <c r="M49" s="4006"/>
      <c r="N49" s="4012"/>
      <c r="O49" s="3591"/>
      <c r="P49" s="3592"/>
      <c r="Q49" s="3991"/>
    </row>
    <row r="50" spans="1:20" s="3548" customFormat="1" x14ac:dyDescent="0.25">
      <c r="A50" s="3537" t="s">
        <v>3713</v>
      </c>
      <c r="B50" s="3517"/>
      <c r="C50" s="3550" t="s">
        <v>673</v>
      </c>
      <c r="D50" s="3983"/>
      <c r="E50" s="3566"/>
      <c r="F50" s="3581"/>
      <c r="G50" s="3985"/>
      <c r="H50" s="3985"/>
      <c r="I50" s="3587"/>
      <c r="J50" s="3985"/>
      <c r="K50" s="4006"/>
      <c r="L50" s="4009"/>
      <c r="M50" s="4006"/>
      <c r="N50" s="4012"/>
      <c r="O50" s="3591"/>
      <c r="P50" s="3592"/>
      <c r="Q50" s="3991"/>
    </row>
    <row r="51" spans="1:20" s="3548" customFormat="1" x14ac:dyDescent="0.2">
      <c r="A51" s="3537" t="s">
        <v>3714</v>
      </c>
      <c r="B51" s="3517"/>
      <c r="C51" s="3514" t="s">
        <v>2151</v>
      </c>
      <c r="D51" s="3983"/>
      <c r="E51" s="3566"/>
      <c r="F51" s="3581"/>
      <c r="G51" s="3985"/>
      <c r="H51" s="3985"/>
      <c r="I51" s="3587"/>
      <c r="J51" s="3985"/>
      <c r="K51" s="4006"/>
      <c r="L51" s="4009"/>
      <c r="M51" s="4006"/>
      <c r="N51" s="4012"/>
      <c r="O51" s="3591"/>
      <c r="P51" s="3606"/>
      <c r="Q51" s="3991"/>
    </row>
    <row r="52" spans="1:20" s="3548" customFormat="1" x14ac:dyDescent="0.2">
      <c r="A52" s="3537" t="s">
        <v>3715</v>
      </c>
      <c r="B52" s="3517"/>
      <c r="C52" s="3514" t="s">
        <v>2152</v>
      </c>
      <c r="D52" s="3983"/>
      <c r="E52" s="3566"/>
      <c r="F52" s="3581"/>
      <c r="G52" s="3985"/>
      <c r="H52" s="3985"/>
      <c r="I52" s="3587"/>
      <c r="J52" s="3985"/>
      <c r="K52" s="4006"/>
      <c r="L52" s="4009"/>
      <c r="M52" s="4006"/>
      <c r="N52" s="4012"/>
      <c r="O52" s="3591"/>
      <c r="P52" s="3551"/>
      <c r="Q52" s="3991"/>
    </row>
    <row r="53" spans="1:20" s="3548" customFormat="1" x14ac:dyDescent="0.2">
      <c r="A53" s="3544" t="s">
        <v>3716</v>
      </c>
      <c r="B53" s="3517"/>
      <c r="C53" s="3514" t="s">
        <v>622</v>
      </c>
      <c r="D53" s="3983"/>
      <c r="E53" s="3566"/>
      <c r="F53" s="3596"/>
      <c r="G53" s="3986"/>
      <c r="H53" s="3986"/>
      <c r="I53" s="3587"/>
      <c r="J53" s="3986"/>
      <c r="K53" s="4007"/>
      <c r="L53" s="4010"/>
      <c r="M53" s="4007"/>
      <c r="N53" s="4013"/>
      <c r="O53" s="3591"/>
      <c r="P53" s="503"/>
      <c r="Q53" s="3992"/>
    </row>
    <row r="54" spans="1:20" s="3548" customFormat="1" x14ac:dyDescent="0.25">
      <c r="A54" s="511" t="s">
        <v>3575</v>
      </c>
      <c r="B54" s="512"/>
      <c r="C54" s="512" t="s">
        <v>2931</v>
      </c>
      <c r="D54" s="512"/>
      <c r="E54" s="3057"/>
      <c r="F54" s="3057"/>
      <c r="G54" s="3057"/>
      <c r="H54" s="3057"/>
      <c r="I54" s="3057"/>
      <c r="J54" s="513"/>
      <c r="K54" s="513"/>
      <c r="L54" s="514"/>
      <c r="M54" s="514"/>
      <c r="N54" s="514">
        <f>SUM(N55:N65)</f>
        <v>0</v>
      </c>
      <c r="O54" s="515"/>
      <c r="P54" s="511"/>
      <c r="Q54" s="514">
        <f>SUM(Q55:Q65)</f>
        <v>0</v>
      </c>
      <c r="T54" s="3608">
        <f t="shared" ref="T54:T55" si="6">N54-Q54</f>
        <v>0</v>
      </c>
    </row>
    <row r="55" spans="1:20" s="3548" customFormat="1" x14ac:dyDescent="0.25">
      <c r="A55" s="3537" t="s">
        <v>3717</v>
      </c>
      <c r="B55" s="3517"/>
      <c r="C55" s="3514" t="s">
        <v>2139</v>
      </c>
      <c r="D55" s="3983" t="s">
        <v>4006</v>
      </c>
      <c r="E55" s="3531"/>
      <c r="F55" s="3581"/>
      <c r="G55" s="3984"/>
      <c r="H55" s="3984"/>
      <c r="I55" s="3587"/>
      <c r="J55" s="3984"/>
      <c r="K55" s="4005"/>
      <c r="L55" s="4008"/>
      <c r="M55" s="4005"/>
      <c r="N55" s="4011">
        <f>L55*M55</f>
        <v>0</v>
      </c>
      <c r="O55" s="3591"/>
      <c r="P55" s="3584"/>
      <c r="Q55" s="3993"/>
      <c r="T55" s="3608">
        <f t="shared" si="6"/>
        <v>0</v>
      </c>
    </row>
    <row r="56" spans="1:20" s="3548" customFormat="1" ht="30" x14ac:dyDescent="0.25">
      <c r="A56" s="3537" t="s">
        <v>3718</v>
      </c>
      <c r="B56" s="3517"/>
      <c r="C56" s="3514" t="s">
        <v>2929</v>
      </c>
      <c r="D56" s="3983"/>
      <c r="E56" s="3531"/>
      <c r="F56" s="3581"/>
      <c r="G56" s="3985"/>
      <c r="H56" s="3985"/>
      <c r="I56" s="3587"/>
      <c r="J56" s="3985"/>
      <c r="K56" s="4006"/>
      <c r="L56" s="4009"/>
      <c r="M56" s="4006"/>
      <c r="N56" s="4012"/>
      <c r="O56" s="3591"/>
      <c r="P56" s="3584"/>
      <c r="Q56" s="3994"/>
    </row>
    <row r="57" spans="1:20" s="3548" customFormat="1" x14ac:dyDescent="0.25">
      <c r="A57" s="3537" t="s">
        <v>3719</v>
      </c>
      <c r="B57" s="3518"/>
      <c r="C57" s="3514" t="s">
        <v>2142</v>
      </c>
      <c r="D57" s="3983"/>
      <c r="E57" s="3531"/>
      <c r="F57" s="3581"/>
      <c r="G57" s="3985"/>
      <c r="H57" s="3985"/>
      <c r="I57" s="3587"/>
      <c r="J57" s="3985"/>
      <c r="K57" s="4006"/>
      <c r="L57" s="4009"/>
      <c r="M57" s="4006"/>
      <c r="N57" s="4012"/>
      <c r="O57" s="3591"/>
      <c r="P57" s="3584"/>
      <c r="Q57" s="3994"/>
    </row>
    <row r="58" spans="1:20" s="3548" customFormat="1" x14ac:dyDescent="0.25">
      <c r="A58" s="3537" t="s">
        <v>3720</v>
      </c>
      <c r="B58" s="3517"/>
      <c r="C58" s="3514" t="s">
        <v>2143</v>
      </c>
      <c r="D58" s="3983"/>
      <c r="E58" s="3531"/>
      <c r="F58" s="3581"/>
      <c r="G58" s="3985"/>
      <c r="H58" s="3985"/>
      <c r="I58" s="3587"/>
      <c r="J58" s="3985"/>
      <c r="K58" s="4006"/>
      <c r="L58" s="4009"/>
      <c r="M58" s="4006"/>
      <c r="N58" s="4012"/>
      <c r="O58" s="3591"/>
      <c r="P58" s="3592"/>
      <c r="Q58" s="3994"/>
    </row>
    <row r="59" spans="1:20" s="3548" customFormat="1" x14ac:dyDescent="0.2">
      <c r="A59" s="3537" t="s">
        <v>3721</v>
      </c>
      <c r="B59" s="3517"/>
      <c r="C59" s="3550" t="s">
        <v>2144</v>
      </c>
      <c r="D59" s="3983"/>
      <c r="E59" s="3531"/>
      <c r="F59" s="3596"/>
      <c r="G59" s="3985"/>
      <c r="H59" s="3985"/>
      <c r="I59" s="3587"/>
      <c r="J59" s="3985"/>
      <c r="K59" s="4006"/>
      <c r="L59" s="4009"/>
      <c r="M59" s="4006"/>
      <c r="N59" s="4012"/>
      <c r="O59" s="3591"/>
      <c r="P59" s="517"/>
      <c r="Q59" s="3994"/>
    </row>
    <row r="60" spans="1:20" s="3548" customFormat="1" x14ac:dyDescent="0.2">
      <c r="A60" s="3537" t="s">
        <v>3722</v>
      </c>
      <c r="B60" s="3517"/>
      <c r="C60" s="3514" t="s">
        <v>2146</v>
      </c>
      <c r="D60" s="3983"/>
      <c r="E60" s="3531"/>
      <c r="F60" s="3596"/>
      <c r="G60" s="3985"/>
      <c r="H60" s="3985"/>
      <c r="I60" s="3587"/>
      <c r="J60" s="3985"/>
      <c r="K60" s="4006"/>
      <c r="L60" s="4009"/>
      <c r="M60" s="4006"/>
      <c r="N60" s="4012"/>
      <c r="O60" s="3591"/>
      <c r="P60" s="517"/>
      <c r="Q60" s="3994"/>
    </row>
    <row r="61" spans="1:20" s="3548" customFormat="1" x14ac:dyDescent="0.25">
      <c r="A61" s="3537" t="s">
        <v>3723</v>
      </c>
      <c r="B61" s="3517"/>
      <c r="C61" s="3514" t="s">
        <v>2147</v>
      </c>
      <c r="D61" s="3983"/>
      <c r="E61" s="3531"/>
      <c r="F61" s="3581"/>
      <c r="G61" s="3985"/>
      <c r="H61" s="3985"/>
      <c r="I61" s="3587"/>
      <c r="J61" s="3985"/>
      <c r="K61" s="4006"/>
      <c r="L61" s="4009"/>
      <c r="M61" s="4006"/>
      <c r="N61" s="4012"/>
      <c r="O61" s="3591"/>
      <c r="P61" s="3592"/>
      <c r="Q61" s="3994"/>
    </row>
    <row r="62" spans="1:20" s="3548" customFormat="1" x14ac:dyDescent="0.2">
      <c r="A62" s="3537" t="s">
        <v>3724</v>
      </c>
      <c r="B62" s="3517"/>
      <c r="C62" s="3550" t="s">
        <v>673</v>
      </c>
      <c r="D62" s="3983"/>
      <c r="E62" s="3531"/>
      <c r="F62" s="3581"/>
      <c r="G62" s="3985"/>
      <c r="H62" s="3985"/>
      <c r="I62" s="3587"/>
      <c r="J62" s="3985"/>
      <c r="K62" s="4006"/>
      <c r="L62" s="4009"/>
      <c r="M62" s="4006"/>
      <c r="N62" s="4012"/>
      <c r="O62" s="3591"/>
      <c r="P62" s="517"/>
      <c r="Q62" s="3994"/>
    </row>
    <row r="63" spans="1:20" s="3548" customFormat="1" x14ac:dyDescent="0.2">
      <c r="A63" s="3537" t="s">
        <v>3725</v>
      </c>
      <c r="B63" s="3517"/>
      <c r="C63" s="3514" t="s">
        <v>2151</v>
      </c>
      <c r="D63" s="3983"/>
      <c r="E63" s="3531"/>
      <c r="F63" s="3581"/>
      <c r="G63" s="3985"/>
      <c r="H63" s="3985"/>
      <c r="I63" s="3587"/>
      <c r="J63" s="3985"/>
      <c r="K63" s="4006"/>
      <c r="L63" s="4009"/>
      <c r="M63" s="4006"/>
      <c r="N63" s="4012"/>
      <c r="O63" s="3591"/>
      <c r="P63" s="3551"/>
      <c r="Q63" s="3994"/>
    </row>
    <row r="64" spans="1:20" s="3548" customFormat="1" x14ac:dyDescent="0.2">
      <c r="A64" s="3537" t="s">
        <v>3726</v>
      </c>
      <c r="B64" s="3517"/>
      <c r="C64" s="3514" t="s">
        <v>2152</v>
      </c>
      <c r="D64" s="3983"/>
      <c r="E64" s="3531"/>
      <c r="F64" s="3581"/>
      <c r="G64" s="3985"/>
      <c r="H64" s="3985"/>
      <c r="I64" s="3587"/>
      <c r="J64" s="3985"/>
      <c r="K64" s="4006"/>
      <c r="L64" s="4009"/>
      <c r="M64" s="4006"/>
      <c r="N64" s="4012"/>
      <c r="O64" s="3591"/>
      <c r="P64" s="3551"/>
      <c r="Q64" s="3994"/>
    </row>
    <row r="65" spans="1:20" s="3548" customFormat="1" x14ac:dyDescent="0.2">
      <c r="A65" s="3544" t="s">
        <v>3727</v>
      </c>
      <c r="B65" s="3517"/>
      <c r="C65" s="3514" t="s">
        <v>622</v>
      </c>
      <c r="D65" s="3983"/>
      <c r="E65" s="3566"/>
      <c r="F65" s="3596"/>
      <c r="G65" s="3986"/>
      <c r="H65" s="3986"/>
      <c r="I65" s="3587"/>
      <c r="J65" s="3986"/>
      <c r="K65" s="4007"/>
      <c r="L65" s="4010"/>
      <c r="M65" s="4007"/>
      <c r="N65" s="4013"/>
      <c r="O65" s="3587"/>
      <c r="P65" s="517"/>
      <c r="Q65" s="3995"/>
    </row>
    <row r="66" spans="1:20" s="3548" customFormat="1" ht="30" x14ac:dyDescent="0.25">
      <c r="A66" s="496" t="s">
        <v>3594</v>
      </c>
      <c r="B66" s="497"/>
      <c r="C66" s="497" t="s">
        <v>2932</v>
      </c>
      <c r="D66" s="497"/>
      <c r="E66" s="3058"/>
      <c r="F66" s="3058"/>
      <c r="G66" s="3058"/>
      <c r="H66" s="3058"/>
      <c r="I66" s="3058"/>
      <c r="J66" s="498"/>
      <c r="K66" s="498"/>
      <c r="L66" s="499"/>
      <c r="M66" s="499"/>
      <c r="N66" s="499">
        <f>N67+N79+N91</f>
        <v>0</v>
      </c>
      <c r="O66" s="500"/>
      <c r="P66" s="518"/>
      <c r="Q66" s="499">
        <f>Q67+Q79+Q91</f>
        <v>0</v>
      </c>
      <c r="T66" s="3608">
        <f t="shared" ref="T66:T68" si="7">N66-Q66</f>
        <v>0</v>
      </c>
    </row>
    <row r="67" spans="1:20" s="3548" customFormat="1" ht="30" x14ac:dyDescent="0.25">
      <c r="A67" s="511" t="s">
        <v>3596</v>
      </c>
      <c r="B67" s="512"/>
      <c r="C67" s="512" t="s">
        <v>2933</v>
      </c>
      <c r="D67" s="512"/>
      <c r="E67" s="3057"/>
      <c r="F67" s="3057"/>
      <c r="G67" s="3057"/>
      <c r="H67" s="3057"/>
      <c r="I67" s="3057"/>
      <c r="J67" s="513"/>
      <c r="K67" s="513"/>
      <c r="L67" s="514"/>
      <c r="M67" s="514"/>
      <c r="N67" s="514">
        <f>SUM(N68:N78)</f>
        <v>0</v>
      </c>
      <c r="O67" s="515"/>
      <c r="P67" s="511"/>
      <c r="Q67" s="514">
        <f>SUM(Q68:Q78)</f>
        <v>0</v>
      </c>
      <c r="T67" s="3608">
        <f t="shared" si="7"/>
        <v>0</v>
      </c>
    </row>
    <row r="68" spans="1:20" s="3548" customFormat="1" ht="139.5" customHeight="1" x14ac:dyDescent="0.25">
      <c r="A68" s="3537" t="s">
        <v>3728</v>
      </c>
      <c r="B68" s="3517"/>
      <c r="C68" s="3514" t="s">
        <v>2139</v>
      </c>
      <c r="D68" s="3983" t="s">
        <v>3914</v>
      </c>
      <c r="E68" s="3531"/>
      <c r="F68" s="3569"/>
      <c r="G68" s="3996"/>
      <c r="H68" s="3996"/>
      <c r="I68" s="3567"/>
      <c r="J68" s="3996"/>
      <c r="K68" s="4005"/>
      <c r="L68" s="4008"/>
      <c r="M68" s="4005"/>
      <c r="N68" s="4011">
        <f>L68*M68</f>
        <v>0</v>
      </c>
      <c r="O68" s="3567"/>
      <c r="P68" s="3592"/>
      <c r="Q68" s="4002"/>
      <c r="T68" s="3608">
        <f t="shared" si="7"/>
        <v>0</v>
      </c>
    </row>
    <row r="69" spans="1:20" s="3548" customFormat="1" ht="30" x14ac:dyDescent="0.2">
      <c r="A69" s="3537" t="s">
        <v>3729</v>
      </c>
      <c r="B69" s="3517"/>
      <c r="C69" s="3514" t="s">
        <v>2929</v>
      </c>
      <c r="D69" s="3983"/>
      <c r="E69" s="3566"/>
      <c r="F69" s="3576"/>
      <c r="G69" s="3997"/>
      <c r="H69" s="3997"/>
      <c r="I69" s="3578"/>
      <c r="J69" s="3997"/>
      <c r="K69" s="4006"/>
      <c r="L69" s="4009"/>
      <c r="M69" s="4006"/>
      <c r="N69" s="4012"/>
      <c r="O69" s="3578"/>
      <c r="P69" s="503"/>
      <c r="Q69" s="4003"/>
    </row>
    <row r="70" spans="1:20" s="3548" customFormat="1" x14ac:dyDescent="0.25">
      <c r="A70" s="3537" t="s">
        <v>3730</v>
      </c>
      <c r="B70" s="3517"/>
      <c r="C70" s="3514" t="s">
        <v>2142</v>
      </c>
      <c r="D70" s="3983"/>
      <c r="E70" s="3566"/>
      <c r="F70" s="3596"/>
      <c r="G70" s="3997"/>
      <c r="H70" s="3997"/>
      <c r="I70" s="3587"/>
      <c r="J70" s="3997"/>
      <c r="K70" s="4006"/>
      <c r="L70" s="4009"/>
      <c r="M70" s="4006"/>
      <c r="N70" s="4012"/>
      <c r="O70" s="3582"/>
      <c r="P70" s="3592"/>
      <c r="Q70" s="4003"/>
    </row>
    <row r="71" spans="1:20" s="3548" customFormat="1" ht="118.5" customHeight="1" x14ac:dyDescent="0.25">
      <c r="A71" s="3537" t="s">
        <v>3731</v>
      </c>
      <c r="B71" s="3517"/>
      <c r="C71" s="3514" t="s">
        <v>2143</v>
      </c>
      <c r="D71" s="3983"/>
      <c r="E71" s="3531"/>
      <c r="F71" s="3569"/>
      <c r="G71" s="3997"/>
      <c r="H71" s="3997"/>
      <c r="I71" s="3567"/>
      <c r="J71" s="3997"/>
      <c r="K71" s="4006"/>
      <c r="L71" s="4009"/>
      <c r="M71" s="4006"/>
      <c r="N71" s="4012"/>
      <c r="O71" s="3590"/>
      <c r="P71" s="3592"/>
      <c r="Q71" s="4003"/>
    </row>
    <row r="72" spans="1:20" s="3548" customFormat="1" x14ac:dyDescent="0.2">
      <c r="A72" s="3537" t="s">
        <v>3732</v>
      </c>
      <c r="B72" s="3519"/>
      <c r="C72" s="3550" t="s">
        <v>2144</v>
      </c>
      <c r="D72" s="3983"/>
      <c r="E72" s="3531"/>
      <c r="F72" s="3569"/>
      <c r="G72" s="3997"/>
      <c r="H72" s="3997"/>
      <c r="I72" s="3567"/>
      <c r="J72" s="3997"/>
      <c r="K72" s="4006"/>
      <c r="L72" s="4009"/>
      <c r="M72" s="4006"/>
      <c r="N72" s="4012"/>
      <c r="O72" s="3567"/>
      <c r="P72" s="3551"/>
      <c r="Q72" s="4003"/>
    </row>
    <row r="73" spans="1:20" s="3548" customFormat="1" x14ac:dyDescent="0.2">
      <c r="A73" s="3537" t="s">
        <v>3733</v>
      </c>
      <c r="B73" s="3519"/>
      <c r="C73" s="3514" t="s">
        <v>2146</v>
      </c>
      <c r="D73" s="3983"/>
      <c r="E73" s="3531"/>
      <c r="F73" s="3569"/>
      <c r="G73" s="3997"/>
      <c r="H73" s="3997"/>
      <c r="I73" s="3567"/>
      <c r="J73" s="3997"/>
      <c r="K73" s="4006"/>
      <c r="L73" s="4009"/>
      <c r="M73" s="4006"/>
      <c r="N73" s="4012"/>
      <c r="O73" s="3567"/>
      <c r="P73" s="3586"/>
      <c r="Q73" s="4003"/>
    </row>
    <row r="74" spans="1:20" s="3548" customFormat="1" x14ac:dyDescent="0.25">
      <c r="A74" s="3537" t="s">
        <v>3734</v>
      </c>
      <c r="B74" s="3519"/>
      <c r="C74" s="3514" t="s">
        <v>2147</v>
      </c>
      <c r="D74" s="3983"/>
      <c r="E74" s="3531"/>
      <c r="F74" s="3569"/>
      <c r="G74" s="3997"/>
      <c r="H74" s="3997"/>
      <c r="I74" s="3567"/>
      <c r="J74" s="3997"/>
      <c r="K74" s="4006"/>
      <c r="L74" s="4009"/>
      <c r="M74" s="4006"/>
      <c r="N74" s="4012"/>
      <c r="O74" s="3567"/>
      <c r="P74" s="3592"/>
      <c r="Q74" s="4003"/>
    </row>
    <row r="75" spans="1:20" s="3548" customFormat="1" x14ac:dyDescent="0.25">
      <c r="A75" s="3537" t="s">
        <v>3735</v>
      </c>
      <c r="B75" s="3519"/>
      <c r="C75" s="3550" t="s">
        <v>673</v>
      </c>
      <c r="D75" s="3983"/>
      <c r="E75" s="3531"/>
      <c r="F75" s="3569"/>
      <c r="G75" s="3997"/>
      <c r="H75" s="3997"/>
      <c r="I75" s="3567"/>
      <c r="J75" s="3997"/>
      <c r="K75" s="4006"/>
      <c r="L75" s="4009"/>
      <c r="M75" s="4006"/>
      <c r="N75" s="4012"/>
      <c r="O75" s="3567"/>
      <c r="P75" s="3592"/>
      <c r="Q75" s="4003"/>
    </row>
    <row r="76" spans="1:20" s="3548" customFormat="1" x14ac:dyDescent="0.2">
      <c r="A76" s="3537" t="s">
        <v>3736</v>
      </c>
      <c r="B76" s="3519"/>
      <c r="C76" s="3514" t="s">
        <v>2151</v>
      </c>
      <c r="D76" s="3983"/>
      <c r="E76" s="3531"/>
      <c r="F76" s="3569"/>
      <c r="G76" s="3997"/>
      <c r="H76" s="3997"/>
      <c r="I76" s="3567"/>
      <c r="J76" s="3997"/>
      <c r="K76" s="4006"/>
      <c r="L76" s="4009"/>
      <c r="M76" s="4006"/>
      <c r="N76" s="4012"/>
      <c r="O76" s="3588"/>
      <c r="P76" s="3551"/>
      <c r="Q76" s="4003"/>
    </row>
    <row r="77" spans="1:20" s="3548" customFormat="1" x14ac:dyDescent="0.2">
      <c r="A77" s="3537" t="s">
        <v>3737</v>
      </c>
      <c r="B77" s="3519"/>
      <c r="C77" s="3514" t="s">
        <v>2152</v>
      </c>
      <c r="D77" s="3983"/>
      <c r="E77" s="3531"/>
      <c r="F77" s="3569"/>
      <c r="G77" s="3997"/>
      <c r="H77" s="3997"/>
      <c r="I77" s="3567"/>
      <c r="J77" s="3997"/>
      <c r="K77" s="4006"/>
      <c r="L77" s="4009"/>
      <c r="M77" s="4006"/>
      <c r="N77" s="4012"/>
      <c r="O77" s="3578"/>
      <c r="P77" s="503"/>
      <c r="Q77" s="4003"/>
    </row>
    <row r="78" spans="1:20" s="3548" customFormat="1" x14ac:dyDescent="0.2">
      <c r="A78" s="3544" t="s">
        <v>3738</v>
      </c>
      <c r="B78" s="3519"/>
      <c r="C78" s="3514" t="s">
        <v>622</v>
      </c>
      <c r="D78" s="3983"/>
      <c r="E78" s="3566"/>
      <c r="F78" s="3576"/>
      <c r="G78" s="3998"/>
      <c r="H78" s="3998"/>
      <c r="I78" s="3578"/>
      <c r="J78" s="3998"/>
      <c r="K78" s="4007"/>
      <c r="L78" s="4010"/>
      <c r="M78" s="4007"/>
      <c r="N78" s="4013"/>
      <c r="O78" s="3578"/>
      <c r="P78" s="503"/>
      <c r="Q78" s="4004"/>
    </row>
    <row r="79" spans="1:20" s="3548" customFormat="1" x14ac:dyDescent="0.25">
      <c r="A79" s="511" t="s">
        <v>3598</v>
      </c>
      <c r="B79" s="512"/>
      <c r="C79" s="512" t="s">
        <v>2934</v>
      </c>
      <c r="D79" s="512"/>
      <c r="E79" s="3597"/>
      <c r="F79" s="3598"/>
      <c r="G79" s="3057"/>
      <c r="H79" s="3057"/>
      <c r="I79" s="3597"/>
      <c r="J79" s="513"/>
      <c r="K79" s="513"/>
      <c r="L79" s="514"/>
      <c r="M79" s="514"/>
      <c r="N79" s="514">
        <f>SUM(N80:N90)</f>
        <v>0</v>
      </c>
      <c r="O79" s="3599"/>
      <c r="P79" s="511"/>
      <c r="Q79" s="514">
        <f>SUM(Q80:Q90)</f>
        <v>0</v>
      </c>
      <c r="T79" s="3608">
        <f t="shared" ref="T79:T80" si="8">N79-Q79</f>
        <v>0</v>
      </c>
    </row>
    <row r="80" spans="1:20" s="3548" customFormat="1" x14ac:dyDescent="0.25">
      <c r="A80" s="3537" t="s">
        <v>3739</v>
      </c>
      <c r="B80" s="3517"/>
      <c r="C80" s="3514" t="s">
        <v>2139</v>
      </c>
      <c r="D80" s="3983" t="s">
        <v>4901</v>
      </c>
      <c r="E80" s="3531"/>
      <c r="F80" s="3569"/>
      <c r="G80" s="3984"/>
      <c r="H80" s="3984"/>
      <c r="I80" s="3578"/>
      <c r="J80" s="3984"/>
      <c r="K80" s="4005"/>
      <c r="L80" s="4008"/>
      <c r="M80" s="4005"/>
      <c r="N80" s="4011">
        <f>L80*M80</f>
        <v>0</v>
      </c>
      <c r="O80" s="3567"/>
      <c r="P80" s="3592"/>
      <c r="Q80" s="3990"/>
      <c r="T80" s="3608">
        <f t="shared" si="8"/>
        <v>0</v>
      </c>
    </row>
    <row r="81" spans="1:20" s="3548" customFormat="1" ht="30" x14ac:dyDescent="0.2">
      <c r="A81" s="3537" t="s">
        <v>3740</v>
      </c>
      <c r="B81" s="3517"/>
      <c r="C81" s="3514" t="s">
        <v>2929</v>
      </c>
      <c r="D81" s="3983"/>
      <c r="E81" s="3566"/>
      <c r="F81" s="3569"/>
      <c r="G81" s="3985"/>
      <c r="H81" s="3985"/>
      <c r="I81" s="3578"/>
      <c r="J81" s="3985"/>
      <c r="K81" s="4006"/>
      <c r="L81" s="4009"/>
      <c r="M81" s="4006"/>
      <c r="N81" s="4012"/>
      <c r="O81" s="3567"/>
      <c r="P81" s="503"/>
      <c r="Q81" s="3991"/>
    </row>
    <row r="82" spans="1:20" s="3548" customFormat="1" x14ac:dyDescent="0.2">
      <c r="A82" s="3537" t="s">
        <v>3741</v>
      </c>
      <c r="B82" s="3517"/>
      <c r="C82" s="3514" t="s">
        <v>2142</v>
      </c>
      <c r="D82" s="3983"/>
      <c r="E82" s="3566"/>
      <c r="F82" s="3569"/>
      <c r="G82" s="3985"/>
      <c r="H82" s="3985"/>
      <c r="I82" s="3578"/>
      <c r="J82" s="3985"/>
      <c r="K82" s="4006"/>
      <c r="L82" s="4009"/>
      <c r="M82" s="4006"/>
      <c r="N82" s="4012"/>
      <c r="O82" s="3567"/>
      <c r="P82" s="503"/>
      <c r="Q82" s="3991"/>
    </row>
    <row r="83" spans="1:20" s="3548" customFormat="1" x14ac:dyDescent="0.2">
      <c r="A83" s="3537" t="s">
        <v>3742</v>
      </c>
      <c r="B83" s="3517"/>
      <c r="C83" s="3514" t="s">
        <v>2143</v>
      </c>
      <c r="D83" s="3983"/>
      <c r="E83" s="3531"/>
      <c r="F83" s="3569"/>
      <c r="G83" s="3985"/>
      <c r="H83" s="3985"/>
      <c r="I83" s="3578"/>
      <c r="J83" s="3985"/>
      <c r="K83" s="4006"/>
      <c r="L83" s="4009"/>
      <c r="M83" s="4006"/>
      <c r="N83" s="4012"/>
      <c r="O83" s="3567"/>
      <c r="P83" s="503"/>
      <c r="Q83" s="3991"/>
    </row>
    <row r="84" spans="1:20" s="3548" customFormat="1" x14ac:dyDescent="0.25">
      <c r="A84" s="3537" t="s">
        <v>3743</v>
      </c>
      <c r="B84" s="3517"/>
      <c r="C84" s="3550" t="s">
        <v>2144</v>
      </c>
      <c r="D84" s="3983"/>
      <c r="E84" s="3531"/>
      <c r="F84" s="3569"/>
      <c r="G84" s="3985"/>
      <c r="H84" s="3985"/>
      <c r="I84" s="3578"/>
      <c r="J84" s="3985"/>
      <c r="K84" s="4006"/>
      <c r="L84" s="4009"/>
      <c r="M84" s="4006"/>
      <c r="N84" s="4012"/>
      <c r="O84" s="3591"/>
      <c r="P84" s="3592"/>
      <c r="Q84" s="3991"/>
    </row>
    <row r="85" spans="1:20" s="3548" customFormat="1" x14ac:dyDescent="0.25">
      <c r="A85" s="3537" t="s">
        <v>3744</v>
      </c>
      <c r="B85" s="3517"/>
      <c r="C85" s="3514" t="s">
        <v>2146</v>
      </c>
      <c r="D85" s="3983"/>
      <c r="E85" s="3531"/>
      <c r="F85" s="3569"/>
      <c r="G85" s="3985"/>
      <c r="H85" s="3985"/>
      <c r="I85" s="3578"/>
      <c r="J85" s="3985"/>
      <c r="K85" s="4006"/>
      <c r="L85" s="4009"/>
      <c r="M85" s="4006"/>
      <c r="N85" s="4012"/>
      <c r="O85" s="3591"/>
      <c r="P85" s="3592"/>
      <c r="Q85" s="3991"/>
    </row>
    <row r="86" spans="1:20" s="3548" customFormat="1" x14ac:dyDescent="0.25">
      <c r="A86" s="3537" t="s">
        <v>3745</v>
      </c>
      <c r="B86" s="3517"/>
      <c r="C86" s="3514" t="s">
        <v>2147</v>
      </c>
      <c r="D86" s="3983"/>
      <c r="E86" s="3531"/>
      <c r="F86" s="3569"/>
      <c r="G86" s="3985"/>
      <c r="H86" s="3985"/>
      <c r="I86" s="3578"/>
      <c r="J86" s="3985"/>
      <c r="K86" s="4006"/>
      <c r="L86" s="4009"/>
      <c r="M86" s="4006"/>
      <c r="N86" s="4012"/>
      <c r="O86" s="3567"/>
      <c r="P86" s="3592"/>
      <c r="Q86" s="3991"/>
    </row>
    <row r="87" spans="1:20" s="3548" customFormat="1" x14ac:dyDescent="0.2">
      <c r="A87" s="3537" t="s">
        <v>3746</v>
      </c>
      <c r="B87" s="3517"/>
      <c r="C87" s="3550" t="s">
        <v>673</v>
      </c>
      <c r="D87" s="3983"/>
      <c r="E87" s="3531"/>
      <c r="F87" s="3569"/>
      <c r="G87" s="3985"/>
      <c r="H87" s="3985"/>
      <c r="I87" s="3578"/>
      <c r="J87" s="3985"/>
      <c r="K87" s="4006"/>
      <c r="L87" s="4009"/>
      <c r="M87" s="4006"/>
      <c r="N87" s="4012"/>
      <c r="O87" s="3567"/>
      <c r="P87" s="503"/>
      <c r="Q87" s="3991"/>
    </row>
    <row r="88" spans="1:20" s="3548" customFormat="1" x14ac:dyDescent="0.2">
      <c r="A88" s="3537" t="s">
        <v>3747</v>
      </c>
      <c r="B88" s="3517"/>
      <c r="C88" s="3514" t="s">
        <v>2151</v>
      </c>
      <c r="D88" s="3983"/>
      <c r="E88" s="3531"/>
      <c r="F88" s="3569"/>
      <c r="G88" s="3985"/>
      <c r="H88" s="3985"/>
      <c r="I88" s="3578"/>
      <c r="J88" s="3985"/>
      <c r="K88" s="4006"/>
      <c r="L88" s="4009"/>
      <c r="M88" s="4006"/>
      <c r="N88" s="4012"/>
      <c r="O88" s="3591"/>
      <c r="P88" s="3551"/>
      <c r="Q88" s="3991"/>
    </row>
    <row r="89" spans="1:20" s="3548" customFormat="1" x14ac:dyDescent="0.2">
      <c r="A89" s="3537" t="s">
        <v>3748</v>
      </c>
      <c r="B89" s="3517"/>
      <c r="C89" s="3514" t="s">
        <v>2152</v>
      </c>
      <c r="D89" s="3983"/>
      <c r="E89" s="3531"/>
      <c r="F89" s="3569"/>
      <c r="G89" s="3985"/>
      <c r="H89" s="3985"/>
      <c r="I89" s="3578"/>
      <c r="J89" s="3985"/>
      <c r="K89" s="4006"/>
      <c r="L89" s="4009"/>
      <c r="M89" s="4006"/>
      <c r="N89" s="4012"/>
      <c r="O89" s="3567"/>
      <c r="P89" s="3551"/>
      <c r="Q89" s="3991"/>
    </row>
    <row r="90" spans="1:20" s="3548" customFormat="1" x14ac:dyDescent="0.2">
      <c r="A90" s="3544" t="s">
        <v>3749</v>
      </c>
      <c r="B90" s="3517"/>
      <c r="C90" s="3514" t="s">
        <v>622</v>
      </c>
      <c r="D90" s="3983"/>
      <c r="E90" s="3531"/>
      <c r="F90" s="3569"/>
      <c r="G90" s="3986"/>
      <c r="H90" s="3986"/>
      <c r="I90" s="3578"/>
      <c r="J90" s="3986"/>
      <c r="K90" s="4007"/>
      <c r="L90" s="4010"/>
      <c r="M90" s="4007"/>
      <c r="N90" s="4013"/>
      <c r="O90" s="3567"/>
      <c r="P90" s="503"/>
      <c r="Q90" s="3992"/>
    </row>
    <row r="91" spans="1:20" s="3548" customFormat="1" x14ac:dyDescent="0.25">
      <c r="A91" s="511" t="s">
        <v>3600</v>
      </c>
      <c r="B91" s="512"/>
      <c r="C91" s="512" t="s">
        <v>2935</v>
      </c>
      <c r="D91" s="512"/>
      <c r="E91" s="3597"/>
      <c r="F91" s="3598"/>
      <c r="G91" s="3057"/>
      <c r="H91" s="3057"/>
      <c r="I91" s="3597"/>
      <c r="J91" s="513"/>
      <c r="K91" s="513"/>
      <c r="L91" s="514"/>
      <c r="M91" s="514"/>
      <c r="N91" s="514">
        <f>SUM(N92:N102)</f>
        <v>0</v>
      </c>
      <c r="O91" s="3600"/>
      <c r="P91" s="511"/>
      <c r="Q91" s="514">
        <f>SUM(Q92:Q102)</f>
        <v>0</v>
      </c>
      <c r="T91" s="3608">
        <f t="shared" ref="T91:T92" si="9">N91-Q91</f>
        <v>0</v>
      </c>
    </row>
    <row r="92" spans="1:20" s="3548" customFormat="1" x14ac:dyDescent="0.25">
      <c r="A92" s="3537" t="s">
        <v>3750</v>
      </c>
      <c r="B92" s="3517"/>
      <c r="C92" s="3514" t="s">
        <v>2139</v>
      </c>
      <c r="D92" s="3983" t="s">
        <v>4007</v>
      </c>
      <c r="E92" s="3531"/>
      <c r="F92" s="3569"/>
      <c r="G92" s="3984"/>
      <c r="H92" s="3984"/>
      <c r="I92" s="3578"/>
      <c r="J92" s="3984"/>
      <c r="K92" s="4005"/>
      <c r="L92" s="4008"/>
      <c r="M92" s="4005"/>
      <c r="N92" s="4011">
        <f>L92*M92</f>
        <v>0</v>
      </c>
      <c r="O92" s="3567"/>
      <c r="P92" s="3592"/>
      <c r="Q92" s="3990"/>
      <c r="T92" s="3608">
        <f t="shared" si="9"/>
        <v>0</v>
      </c>
    </row>
    <row r="93" spans="1:20" s="3548" customFormat="1" ht="30" x14ac:dyDescent="0.25">
      <c r="A93" s="3537" t="s">
        <v>3751</v>
      </c>
      <c r="B93" s="3517"/>
      <c r="C93" s="3514" t="s">
        <v>2929</v>
      </c>
      <c r="D93" s="3983"/>
      <c r="E93" s="3531"/>
      <c r="F93" s="3569"/>
      <c r="G93" s="3985"/>
      <c r="H93" s="3985"/>
      <c r="I93" s="3578"/>
      <c r="J93" s="3985"/>
      <c r="K93" s="4006"/>
      <c r="L93" s="4009"/>
      <c r="M93" s="4006"/>
      <c r="N93" s="4012"/>
      <c r="O93" s="3601"/>
      <c r="P93" s="3592"/>
      <c r="Q93" s="3991"/>
    </row>
    <row r="94" spans="1:20" s="3548" customFormat="1" x14ac:dyDescent="0.25">
      <c r="A94" s="3537" t="s">
        <v>3752</v>
      </c>
      <c r="B94" s="3518"/>
      <c r="C94" s="3514" t="s">
        <v>2142</v>
      </c>
      <c r="D94" s="3983"/>
      <c r="E94" s="3566"/>
      <c r="F94" s="3569"/>
      <c r="G94" s="3985"/>
      <c r="H94" s="3985"/>
      <c r="I94" s="3578"/>
      <c r="J94" s="3985"/>
      <c r="K94" s="4006"/>
      <c r="L94" s="4009"/>
      <c r="M94" s="4006"/>
      <c r="N94" s="4012"/>
      <c r="O94" s="3567"/>
      <c r="P94" s="503"/>
      <c r="Q94" s="3991"/>
    </row>
    <row r="95" spans="1:20" s="3548" customFormat="1" x14ac:dyDescent="0.25">
      <c r="A95" s="3537" t="s">
        <v>3753</v>
      </c>
      <c r="B95" s="3517"/>
      <c r="C95" s="3514" t="s">
        <v>2143</v>
      </c>
      <c r="D95" s="3983"/>
      <c r="E95" s="3531"/>
      <c r="F95" s="3569"/>
      <c r="G95" s="3985"/>
      <c r="H95" s="3985"/>
      <c r="I95" s="3578"/>
      <c r="J95" s="3985"/>
      <c r="K95" s="4006"/>
      <c r="L95" s="4009"/>
      <c r="M95" s="4006"/>
      <c r="N95" s="4012"/>
      <c r="O95" s="3567"/>
      <c r="P95" s="3592"/>
      <c r="Q95" s="3991"/>
    </row>
    <row r="96" spans="1:20" s="3548" customFormat="1" x14ac:dyDescent="0.2">
      <c r="A96" s="3537" t="s">
        <v>3754</v>
      </c>
      <c r="B96" s="3517"/>
      <c r="C96" s="3550" t="s">
        <v>2144</v>
      </c>
      <c r="D96" s="3983"/>
      <c r="E96" s="3566"/>
      <c r="F96" s="3569"/>
      <c r="G96" s="3985"/>
      <c r="H96" s="3985"/>
      <c r="I96" s="3578"/>
      <c r="J96" s="3985"/>
      <c r="K96" s="4006"/>
      <c r="L96" s="4009"/>
      <c r="M96" s="4006"/>
      <c r="N96" s="4012"/>
      <c r="O96" s="3567"/>
      <c r="P96" s="503"/>
      <c r="Q96" s="3991"/>
    </row>
    <row r="97" spans="1:20" s="3548" customFormat="1" x14ac:dyDescent="0.2">
      <c r="A97" s="3537" t="s">
        <v>3755</v>
      </c>
      <c r="B97" s="3517"/>
      <c r="C97" s="3514" t="s">
        <v>2146</v>
      </c>
      <c r="D97" s="3983"/>
      <c r="E97" s="3566"/>
      <c r="F97" s="3569"/>
      <c r="G97" s="3985"/>
      <c r="H97" s="3985"/>
      <c r="I97" s="3578"/>
      <c r="J97" s="3985"/>
      <c r="K97" s="4006"/>
      <c r="L97" s="4009"/>
      <c r="M97" s="4006"/>
      <c r="N97" s="4012"/>
      <c r="O97" s="3567"/>
      <c r="P97" s="503"/>
      <c r="Q97" s="3991"/>
    </row>
    <row r="98" spans="1:20" s="3548" customFormat="1" x14ac:dyDescent="0.2">
      <c r="A98" s="3537" t="s">
        <v>3756</v>
      </c>
      <c r="B98" s="3517"/>
      <c r="C98" s="3514" t="s">
        <v>2147</v>
      </c>
      <c r="D98" s="3983"/>
      <c r="E98" s="3566"/>
      <c r="F98" s="3569"/>
      <c r="G98" s="3985"/>
      <c r="H98" s="3985"/>
      <c r="I98" s="3578"/>
      <c r="J98" s="3985"/>
      <c r="K98" s="4006"/>
      <c r="L98" s="4009"/>
      <c r="M98" s="4006"/>
      <c r="N98" s="4012"/>
      <c r="O98" s="3567"/>
      <c r="P98" s="503"/>
      <c r="Q98" s="3991"/>
    </row>
    <row r="99" spans="1:20" s="3548" customFormat="1" x14ac:dyDescent="0.2">
      <c r="A99" s="3537" t="s">
        <v>3757</v>
      </c>
      <c r="B99" s="3517"/>
      <c r="C99" s="3550" t="s">
        <v>673</v>
      </c>
      <c r="D99" s="3983"/>
      <c r="E99" s="3566"/>
      <c r="F99" s="3569"/>
      <c r="G99" s="3985"/>
      <c r="H99" s="3985"/>
      <c r="I99" s="3578"/>
      <c r="J99" s="3985"/>
      <c r="K99" s="4006"/>
      <c r="L99" s="4009"/>
      <c r="M99" s="4006"/>
      <c r="N99" s="4012"/>
      <c r="O99" s="3567"/>
      <c r="P99" s="503"/>
      <c r="Q99" s="3991"/>
    </row>
    <row r="100" spans="1:20" s="3548" customFormat="1" x14ac:dyDescent="0.2">
      <c r="A100" s="3537" t="s">
        <v>3758</v>
      </c>
      <c r="B100" s="3517"/>
      <c r="C100" s="3514" t="s">
        <v>2151</v>
      </c>
      <c r="D100" s="3983"/>
      <c r="E100" s="3531"/>
      <c r="F100" s="3569"/>
      <c r="G100" s="3985"/>
      <c r="H100" s="3985"/>
      <c r="I100" s="3578"/>
      <c r="J100" s="3985"/>
      <c r="K100" s="4006"/>
      <c r="L100" s="4009"/>
      <c r="M100" s="4006"/>
      <c r="N100" s="4012"/>
      <c r="O100" s="3601"/>
      <c r="P100" s="3551"/>
      <c r="Q100" s="3991"/>
    </row>
    <row r="101" spans="1:20" s="3548" customFormat="1" x14ac:dyDescent="0.2">
      <c r="A101" s="3537" t="s">
        <v>3759</v>
      </c>
      <c r="B101" s="3517"/>
      <c r="C101" s="3514" t="s">
        <v>2152</v>
      </c>
      <c r="D101" s="3983"/>
      <c r="E101" s="3566"/>
      <c r="F101" s="3569"/>
      <c r="G101" s="3985"/>
      <c r="H101" s="3985"/>
      <c r="I101" s="3578"/>
      <c r="J101" s="3985"/>
      <c r="K101" s="4006"/>
      <c r="L101" s="4009"/>
      <c r="M101" s="4006"/>
      <c r="N101" s="4012"/>
      <c r="O101" s="3578"/>
      <c r="P101" s="503"/>
      <c r="Q101" s="3991"/>
    </row>
    <row r="102" spans="1:20" s="3548" customFormat="1" x14ac:dyDescent="0.2">
      <c r="A102" s="3544" t="s">
        <v>3760</v>
      </c>
      <c r="B102" s="3517"/>
      <c r="C102" s="3514" t="s">
        <v>622</v>
      </c>
      <c r="D102" s="3983"/>
      <c r="E102" s="3566"/>
      <c r="F102" s="3569"/>
      <c r="G102" s="3986"/>
      <c r="H102" s="3986"/>
      <c r="I102" s="3578"/>
      <c r="J102" s="3986"/>
      <c r="K102" s="4007"/>
      <c r="L102" s="4010"/>
      <c r="M102" s="4007"/>
      <c r="N102" s="4013"/>
      <c r="O102" s="3578"/>
      <c r="P102" s="503"/>
      <c r="Q102" s="3992"/>
    </row>
    <row r="103" spans="1:20" s="3548" customFormat="1" ht="30" x14ac:dyDescent="0.25">
      <c r="A103" s="496" t="s">
        <v>3614</v>
      </c>
      <c r="B103" s="497"/>
      <c r="C103" s="497" t="s">
        <v>2155</v>
      </c>
      <c r="D103" s="497"/>
      <c r="E103" s="3058"/>
      <c r="F103" s="3058"/>
      <c r="G103" s="3058"/>
      <c r="H103" s="3058"/>
      <c r="I103" s="3058"/>
      <c r="J103" s="498"/>
      <c r="K103" s="498"/>
      <c r="L103" s="499"/>
      <c r="M103" s="499"/>
      <c r="N103" s="499">
        <f>N104+N116+N128</f>
        <v>0</v>
      </c>
      <c r="O103" s="500"/>
      <c r="P103" s="496"/>
      <c r="Q103" s="499">
        <f>Q104+Q116+Q128</f>
        <v>0</v>
      </c>
      <c r="T103" s="3608">
        <f t="shared" ref="T103:T105" si="10">N103-Q103</f>
        <v>0</v>
      </c>
    </row>
    <row r="104" spans="1:20" s="3548" customFormat="1" ht="30" x14ac:dyDescent="0.25">
      <c r="A104" s="511" t="s">
        <v>3616</v>
      </c>
      <c r="B104" s="512"/>
      <c r="C104" s="512" t="s">
        <v>2936</v>
      </c>
      <c r="D104" s="512"/>
      <c r="E104" s="3057"/>
      <c r="F104" s="3057"/>
      <c r="G104" s="3057"/>
      <c r="H104" s="3057"/>
      <c r="I104" s="3057"/>
      <c r="J104" s="513"/>
      <c r="K104" s="513"/>
      <c r="L104" s="514"/>
      <c r="M104" s="514"/>
      <c r="N104" s="514">
        <f>SUM(N105:N115)</f>
        <v>0</v>
      </c>
      <c r="O104" s="515"/>
      <c r="P104" s="516"/>
      <c r="Q104" s="514">
        <f>SUM(Q105:Q115)</f>
        <v>0</v>
      </c>
      <c r="T104" s="3608">
        <f t="shared" si="10"/>
        <v>0</v>
      </c>
    </row>
    <row r="105" spans="1:20" s="3548" customFormat="1" x14ac:dyDescent="0.25">
      <c r="A105" s="3537" t="s">
        <v>3761</v>
      </c>
      <c r="B105" s="3517"/>
      <c r="C105" s="3514" t="s">
        <v>2153</v>
      </c>
      <c r="D105" s="3983" t="s">
        <v>3916</v>
      </c>
      <c r="E105" s="3566"/>
      <c r="F105" s="3576"/>
      <c r="G105" s="3984"/>
      <c r="H105" s="3984"/>
      <c r="I105" s="3578"/>
      <c r="J105" s="3984"/>
      <c r="K105" s="4005"/>
      <c r="L105" s="4008"/>
      <c r="M105" s="4005"/>
      <c r="N105" s="4011">
        <f>L105*M105</f>
        <v>0</v>
      </c>
      <c r="O105" s="3578"/>
      <c r="P105" s="503"/>
      <c r="Q105" s="3990"/>
      <c r="T105" s="3608">
        <f t="shared" si="10"/>
        <v>0</v>
      </c>
    </row>
    <row r="106" spans="1:20" s="3548" customFormat="1" ht="30" x14ac:dyDescent="0.2">
      <c r="A106" s="3537" t="s">
        <v>3762</v>
      </c>
      <c r="B106" s="3517"/>
      <c r="C106" s="3514" t="s">
        <v>2937</v>
      </c>
      <c r="D106" s="3983"/>
      <c r="E106" s="3566"/>
      <c r="F106" s="3576"/>
      <c r="G106" s="3985"/>
      <c r="H106" s="3985"/>
      <c r="I106" s="3578"/>
      <c r="J106" s="3985"/>
      <c r="K106" s="4006"/>
      <c r="L106" s="4009"/>
      <c r="M106" s="4006"/>
      <c r="N106" s="4012"/>
      <c r="O106" s="3578"/>
      <c r="P106" s="503"/>
      <c r="Q106" s="3991"/>
    </row>
    <row r="107" spans="1:20" s="3548" customFormat="1" x14ac:dyDescent="0.2">
      <c r="A107" s="3537" t="s">
        <v>3763</v>
      </c>
      <c r="B107" s="3517"/>
      <c r="C107" s="3514" t="s">
        <v>2142</v>
      </c>
      <c r="D107" s="3983"/>
      <c r="E107" s="3566"/>
      <c r="F107" s="3576"/>
      <c r="G107" s="3985"/>
      <c r="H107" s="3985"/>
      <c r="I107" s="3578"/>
      <c r="J107" s="3985"/>
      <c r="K107" s="4006"/>
      <c r="L107" s="4009"/>
      <c r="M107" s="4006"/>
      <c r="N107" s="4012"/>
      <c r="O107" s="3578"/>
      <c r="P107" s="503"/>
      <c r="Q107" s="3991"/>
    </row>
    <row r="108" spans="1:20" s="3548" customFormat="1" x14ac:dyDescent="0.2">
      <c r="A108" s="3537" t="s">
        <v>3764</v>
      </c>
      <c r="B108" s="3517"/>
      <c r="C108" s="3514" t="s">
        <v>2143</v>
      </c>
      <c r="D108" s="3983"/>
      <c r="E108" s="3566"/>
      <c r="F108" s="3576"/>
      <c r="G108" s="3985"/>
      <c r="H108" s="3985"/>
      <c r="I108" s="3578"/>
      <c r="J108" s="3985"/>
      <c r="K108" s="4006"/>
      <c r="L108" s="4009"/>
      <c r="M108" s="4006"/>
      <c r="N108" s="4012"/>
      <c r="O108" s="3578"/>
      <c r="P108" s="503"/>
      <c r="Q108" s="3991"/>
    </row>
    <row r="109" spans="1:20" s="3548" customFormat="1" x14ac:dyDescent="0.2">
      <c r="A109" s="3537" t="s">
        <v>3765</v>
      </c>
      <c r="B109" s="3517"/>
      <c r="C109" s="3550" t="s">
        <v>2156</v>
      </c>
      <c r="D109" s="3983"/>
      <c r="E109" s="3566"/>
      <c r="F109" s="3576"/>
      <c r="G109" s="3985"/>
      <c r="H109" s="3985"/>
      <c r="I109" s="3578"/>
      <c r="J109" s="3985"/>
      <c r="K109" s="4006"/>
      <c r="L109" s="4009"/>
      <c r="M109" s="4006"/>
      <c r="N109" s="4012"/>
      <c r="O109" s="3578"/>
      <c r="P109" s="503"/>
      <c r="Q109" s="3991"/>
    </row>
    <row r="110" spans="1:20" s="3548" customFormat="1" x14ac:dyDescent="0.2">
      <c r="A110" s="3537" t="s">
        <v>3766</v>
      </c>
      <c r="B110" s="3517"/>
      <c r="C110" s="3514" t="s">
        <v>2146</v>
      </c>
      <c r="D110" s="3983"/>
      <c r="E110" s="3566"/>
      <c r="F110" s="3576"/>
      <c r="G110" s="3985"/>
      <c r="H110" s="3985"/>
      <c r="I110" s="3578"/>
      <c r="J110" s="3985"/>
      <c r="K110" s="4006"/>
      <c r="L110" s="4009"/>
      <c r="M110" s="4006"/>
      <c r="N110" s="4012"/>
      <c r="O110" s="3578"/>
      <c r="P110" s="503"/>
      <c r="Q110" s="3991"/>
    </row>
    <row r="111" spans="1:20" s="3548" customFormat="1" x14ac:dyDescent="0.25">
      <c r="A111" s="3537" t="s">
        <v>3767</v>
      </c>
      <c r="B111" s="3517"/>
      <c r="C111" s="3514" t="s">
        <v>2147</v>
      </c>
      <c r="D111" s="3983"/>
      <c r="E111" s="3531"/>
      <c r="F111" s="3569"/>
      <c r="G111" s="3985"/>
      <c r="H111" s="3985"/>
      <c r="I111" s="3578"/>
      <c r="J111" s="3985"/>
      <c r="K111" s="4006"/>
      <c r="L111" s="4009"/>
      <c r="M111" s="4006"/>
      <c r="N111" s="4012"/>
      <c r="O111" s="3567"/>
      <c r="P111" s="3592"/>
      <c r="Q111" s="3991"/>
    </row>
    <row r="112" spans="1:20" s="3548" customFormat="1" x14ac:dyDescent="0.2">
      <c r="A112" s="3537" t="s">
        <v>3768</v>
      </c>
      <c r="B112" s="3517"/>
      <c r="C112" s="3550" t="s">
        <v>673</v>
      </c>
      <c r="D112" s="3983"/>
      <c r="E112" s="3531"/>
      <c r="F112" s="3569"/>
      <c r="G112" s="3985"/>
      <c r="H112" s="3985"/>
      <c r="I112" s="3578"/>
      <c r="J112" s="3985"/>
      <c r="K112" s="4006"/>
      <c r="L112" s="4009"/>
      <c r="M112" s="4006"/>
      <c r="N112" s="4012"/>
      <c r="O112" s="3578"/>
      <c r="P112" s="503"/>
      <c r="Q112" s="3991"/>
    </row>
    <row r="113" spans="1:20" s="3548" customFormat="1" x14ac:dyDescent="0.2">
      <c r="A113" s="3537" t="s">
        <v>3769</v>
      </c>
      <c r="B113" s="3530"/>
      <c r="C113" s="3514" t="s">
        <v>2151</v>
      </c>
      <c r="D113" s="3983"/>
      <c r="E113" s="3531"/>
      <c r="F113" s="3569"/>
      <c r="G113" s="3985"/>
      <c r="H113" s="3985"/>
      <c r="I113" s="3578"/>
      <c r="J113" s="3985"/>
      <c r="K113" s="4006"/>
      <c r="L113" s="4009"/>
      <c r="M113" s="4006"/>
      <c r="N113" s="4012"/>
      <c r="O113" s="3567"/>
      <c r="P113" s="3551"/>
      <c r="Q113" s="3991"/>
    </row>
    <row r="114" spans="1:20" s="3548" customFormat="1" x14ac:dyDescent="0.2">
      <c r="A114" s="3537" t="s">
        <v>3770</v>
      </c>
      <c r="B114" s="3517"/>
      <c r="C114" s="3514" t="s">
        <v>2154</v>
      </c>
      <c r="D114" s="3983"/>
      <c r="E114" s="3566"/>
      <c r="F114" s="3576"/>
      <c r="G114" s="3985"/>
      <c r="H114" s="3985"/>
      <c r="I114" s="3578"/>
      <c r="J114" s="3985"/>
      <c r="K114" s="4006"/>
      <c r="L114" s="4009"/>
      <c r="M114" s="4006"/>
      <c r="N114" s="4012"/>
      <c r="O114" s="3578"/>
      <c r="P114" s="503"/>
      <c r="Q114" s="3991"/>
    </row>
    <row r="115" spans="1:20" s="3548" customFormat="1" x14ac:dyDescent="0.2">
      <c r="A115" s="3544" t="s">
        <v>3771</v>
      </c>
      <c r="B115" s="3517"/>
      <c r="C115" s="3514" t="s">
        <v>622</v>
      </c>
      <c r="D115" s="3983"/>
      <c r="E115" s="3566"/>
      <c r="F115" s="3576"/>
      <c r="G115" s="3986"/>
      <c r="H115" s="3986"/>
      <c r="I115" s="3578"/>
      <c r="J115" s="3986"/>
      <c r="K115" s="4007"/>
      <c r="L115" s="4010"/>
      <c r="M115" s="4007"/>
      <c r="N115" s="4013"/>
      <c r="O115" s="3578"/>
      <c r="P115" s="503"/>
      <c r="Q115" s="3992"/>
    </row>
    <row r="116" spans="1:20" s="3548" customFormat="1" x14ac:dyDescent="0.25">
      <c r="A116" s="511" t="s">
        <v>3772</v>
      </c>
      <c r="B116" s="512"/>
      <c r="C116" s="512" t="s">
        <v>2938</v>
      </c>
      <c r="D116" s="512"/>
      <c r="E116" s="3597"/>
      <c r="F116" s="3598"/>
      <c r="G116" s="3057"/>
      <c r="H116" s="3057"/>
      <c r="I116" s="3597"/>
      <c r="J116" s="513"/>
      <c r="K116" s="513"/>
      <c r="L116" s="514"/>
      <c r="M116" s="514"/>
      <c r="N116" s="514">
        <f>SUM(N117:N127)</f>
        <v>0</v>
      </c>
      <c r="O116" s="3599"/>
      <c r="P116" s="516"/>
      <c r="Q116" s="514">
        <f>SUM(Q117:Q127)</f>
        <v>0</v>
      </c>
      <c r="T116" s="3608">
        <f t="shared" ref="T116:T117" si="11">N116-Q116</f>
        <v>0</v>
      </c>
    </row>
    <row r="117" spans="1:20" s="3548" customFormat="1" x14ac:dyDescent="0.25">
      <c r="A117" s="3537" t="s">
        <v>3773</v>
      </c>
      <c r="B117" s="3517"/>
      <c r="C117" s="3514" t="s">
        <v>2139</v>
      </c>
      <c r="D117" s="3983" t="s">
        <v>4902</v>
      </c>
      <c r="E117" s="3566"/>
      <c r="F117" s="3576"/>
      <c r="G117" s="3984"/>
      <c r="H117" s="3984"/>
      <c r="I117" s="3578"/>
      <c r="J117" s="3984"/>
      <c r="K117" s="4005"/>
      <c r="L117" s="4008"/>
      <c r="M117" s="4005"/>
      <c r="N117" s="4011">
        <f>L117*M117</f>
        <v>0</v>
      </c>
      <c r="O117" s="3578"/>
      <c r="P117" s="503"/>
      <c r="Q117" s="3990"/>
      <c r="T117" s="3608">
        <f t="shared" si="11"/>
        <v>0</v>
      </c>
    </row>
    <row r="118" spans="1:20" s="3548" customFormat="1" ht="30" x14ac:dyDescent="0.2">
      <c r="A118" s="3537" t="s">
        <v>3774</v>
      </c>
      <c r="B118" s="3517"/>
      <c r="C118" s="3514" t="s">
        <v>2929</v>
      </c>
      <c r="D118" s="3983"/>
      <c r="E118" s="3566"/>
      <c r="F118" s="3576"/>
      <c r="G118" s="3985"/>
      <c r="H118" s="3985"/>
      <c r="I118" s="3578"/>
      <c r="J118" s="3985"/>
      <c r="K118" s="4006"/>
      <c r="L118" s="4009"/>
      <c r="M118" s="4006"/>
      <c r="N118" s="4012"/>
      <c r="O118" s="3578"/>
      <c r="P118" s="503"/>
      <c r="Q118" s="3991"/>
    </row>
    <row r="119" spans="1:20" s="3548" customFormat="1" x14ac:dyDescent="0.2">
      <c r="A119" s="3537" t="s">
        <v>3775</v>
      </c>
      <c r="B119" s="3517"/>
      <c r="C119" s="3514" t="s">
        <v>2142</v>
      </c>
      <c r="D119" s="3983"/>
      <c r="E119" s="3566"/>
      <c r="F119" s="3576"/>
      <c r="G119" s="3985"/>
      <c r="H119" s="3985"/>
      <c r="I119" s="3578"/>
      <c r="J119" s="3985"/>
      <c r="K119" s="4006"/>
      <c r="L119" s="4009"/>
      <c r="M119" s="4006"/>
      <c r="N119" s="4012"/>
      <c r="O119" s="3578"/>
      <c r="P119" s="503"/>
      <c r="Q119" s="3991"/>
    </row>
    <row r="120" spans="1:20" s="3548" customFormat="1" x14ac:dyDescent="0.2">
      <c r="A120" s="3537" t="s">
        <v>3776</v>
      </c>
      <c r="B120" s="3517"/>
      <c r="C120" s="3514" t="s">
        <v>2143</v>
      </c>
      <c r="D120" s="3983"/>
      <c r="E120" s="3531"/>
      <c r="F120" s="3576"/>
      <c r="G120" s="3985"/>
      <c r="H120" s="3985"/>
      <c r="I120" s="3578"/>
      <c r="J120" s="3985"/>
      <c r="K120" s="4006"/>
      <c r="L120" s="4009"/>
      <c r="M120" s="4006"/>
      <c r="N120" s="4012"/>
      <c r="O120" s="3567"/>
      <c r="P120" s="503"/>
      <c r="Q120" s="3991"/>
    </row>
    <row r="121" spans="1:20" s="3548" customFormat="1" x14ac:dyDescent="0.2">
      <c r="A121" s="3537" t="s">
        <v>3777</v>
      </c>
      <c r="B121" s="3517"/>
      <c r="C121" s="3550" t="s">
        <v>2144</v>
      </c>
      <c r="D121" s="3983"/>
      <c r="E121" s="3531"/>
      <c r="F121" s="3576"/>
      <c r="G121" s="3985"/>
      <c r="H121" s="3985"/>
      <c r="I121" s="3578"/>
      <c r="J121" s="3985"/>
      <c r="K121" s="4006"/>
      <c r="L121" s="4009"/>
      <c r="M121" s="4006"/>
      <c r="N121" s="4012"/>
      <c r="O121" s="3578"/>
      <c r="P121" s="503"/>
      <c r="Q121" s="3991"/>
    </row>
    <row r="122" spans="1:20" s="3548" customFormat="1" x14ac:dyDescent="0.25">
      <c r="A122" s="3537" t="s">
        <v>3778</v>
      </c>
      <c r="B122" s="3517"/>
      <c r="C122" s="3514" t="s">
        <v>2146</v>
      </c>
      <c r="D122" s="3983"/>
      <c r="E122" s="3531"/>
      <c r="F122" s="3569"/>
      <c r="G122" s="3985"/>
      <c r="H122" s="3985"/>
      <c r="I122" s="3578"/>
      <c r="J122" s="3985"/>
      <c r="K122" s="4006"/>
      <c r="L122" s="4009"/>
      <c r="M122" s="4006"/>
      <c r="N122" s="4012"/>
      <c r="O122" s="3567"/>
      <c r="P122" s="3592"/>
      <c r="Q122" s="3991"/>
    </row>
    <row r="123" spans="1:20" s="3548" customFormat="1" x14ac:dyDescent="0.2">
      <c r="A123" s="3537" t="s">
        <v>3779</v>
      </c>
      <c r="B123" s="3517"/>
      <c r="C123" s="3514" t="s">
        <v>2147</v>
      </c>
      <c r="D123" s="3983"/>
      <c r="E123" s="494"/>
      <c r="F123" s="3060"/>
      <c r="G123" s="3985"/>
      <c r="H123" s="3985"/>
      <c r="I123" s="3060"/>
      <c r="J123" s="3985"/>
      <c r="K123" s="4006"/>
      <c r="L123" s="4009"/>
      <c r="M123" s="4006"/>
      <c r="N123" s="4012"/>
      <c r="O123" s="3541"/>
      <c r="P123" s="503"/>
      <c r="Q123" s="3991"/>
    </row>
    <row r="124" spans="1:20" s="3548" customFormat="1" x14ac:dyDescent="0.2">
      <c r="A124" s="3537" t="s">
        <v>3780</v>
      </c>
      <c r="B124" s="3517"/>
      <c r="C124" s="3550" t="s">
        <v>673</v>
      </c>
      <c r="D124" s="3983"/>
      <c r="E124" s="494"/>
      <c r="F124" s="3060"/>
      <c r="G124" s="3985"/>
      <c r="H124" s="3985"/>
      <c r="I124" s="3060"/>
      <c r="J124" s="3985"/>
      <c r="K124" s="4006"/>
      <c r="L124" s="4009"/>
      <c r="M124" s="4006"/>
      <c r="N124" s="4012"/>
      <c r="O124" s="3541"/>
      <c r="P124" s="503"/>
      <c r="Q124" s="3991"/>
    </row>
    <row r="125" spans="1:20" s="3548" customFormat="1" x14ac:dyDescent="0.2">
      <c r="A125" s="3537" t="s">
        <v>3781</v>
      </c>
      <c r="B125" s="3517"/>
      <c r="C125" s="3514" t="s">
        <v>2151</v>
      </c>
      <c r="D125" s="3983"/>
      <c r="E125" s="494"/>
      <c r="F125" s="3060"/>
      <c r="G125" s="3985"/>
      <c r="H125" s="3985"/>
      <c r="I125" s="3060"/>
      <c r="J125" s="3985"/>
      <c r="K125" s="4006"/>
      <c r="L125" s="4009"/>
      <c r="M125" s="4006"/>
      <c r="N125" s="4012"/>
      <c r="O125" s="3541"/>
      <c r="P125" s="503"/>
      <c r="Q125" s="3991"/>
    </row>
    <row r="126" spans="1:20" s="3548" customFormat="1" x14ac:dyDescent="0.2">
      <c r="A126" s="3537" t="s">
        <v>3782</v>
      </c>
      <c r="B126" s="3517"/>
      <c r="C126" s="3514" t="s">
        <v>2152</v>
      </c>
      <c r="D126" s="3983"/>
      <c r="E126" s="494"/>
      <c r="F126" s="3060"/>
      <c r="G126" s="3985"/>
      <c r="H126" s="3985"/>
      <c r="I126" s="3060"/>
      <c r="J126" s="3985"/>
      <c r="K126" s="4006"/>
      <c r="L126" s="4009"/>
      <c r="M126" s="4006"/>
      <c r="N126" s="4012"/>
      <c r="O126" s="3541"/>
      <c r="P126" s="503"/>
      <c r="Q126" s="3991"/>
    </row>
    <row r="127" spans="1:20" s="3548" customFormat="1" x14ac:dyDescent="0.2">
      <c r="A127" s="3544" t="s">
        <v>3783</v>
      </c>
      <c r="B127" s="3517"/>
      <c r="C127" s="3514" t="s">
        <v>622</v>
      </c>
      <c r="D127" s="3983"/>
      <c r="E127" s="494"/>
      <c r="F127" s="3060"/>
      <c r="G127" s="3986"/>
      <c r="H127" s="3986"/>
      <c r="I127" s="3060"/>
      <c r="J127" s="3986"/>
      <c r="K127" s="4007"/>
      <c r="L127" s="4010"/>
      <c r="M127" s="4007"/>
      <c r="N127" s="4013"/>
      <c r="O127" s="3541"/>
      <c r="P127" s="503"/>
      <c r="Q127" s="3992"/>
    </row>
    <row r="128" spans="1:20" s="3548" customFormat="1" x14ac:dyDescent="0.2">
      <c r="A128" s="511" t="s">
        <v>3784</v>
      </c>
      <c r="B128" s="512"/>
      <c r="C128" s="512" t="s">
        <v>2939</v>
      </c>
      <c r="D128" s="512"/>
      <c r="E128" s="3057"/>
      <c r="F128" s="3057"/>
      <c r="G128" s="3057"/>
      <c r="H128" s="3057"/>
      <c r="I128" s="3057"/>
      <c r="J128" s="513"/>
      <c r="K128" s="513"/>
      <c r="L128" s="514"/>
      <c r="M128" s="514"/>
      <c r="N128" s="514">
        <f>SUM(N129:N139)</f>
        <v>0</v>
      </c>
      <c r="O128" s="515"/>
      <c r="P128" s="516"/>
      <c r="Q128" s="514">
        <f>SUM(Q129:Q139)</f>
        <v>0</v>
      </c>
    </row>
    <row r="129" spans="1:20" s="3548" customFormat="1" x14ac:dyDescent="0.2">
      <c r="A129" s="3537" t="s">
        <v>3785</v>
      </c>
      <c r="B129" s="3517"/>
      <c r="C129" s="3514" t="s">
        <v>2139</v>
      </c>
      <c r="D129" s="3983" t="s">
        <v>4008</v>
      </c>
      <c r="E129" s="494"/>
      <c r="F129" s="3060"/>
      <c r="G129" s="3984"/>
      <c r="H129" s="3984"/>
      <c r="I129" s="3060"/>
      <c r="J129" s="3984"/>
      <c r="K129" s="4005"/>
      <c r="L129" s="4008"/>
      <c r="M129" s="4005"/>
      <c r="N129" s="4011">
        <f>L129*M129</f>
        <v>0</v>
      </c>
      <c r="O129" s="3541"/>
      <c r="P129" s="503"/>
      <c r="Q129" s="3990"/>
    </row>
    <row r="130" spans="1:20" s="3548" customFormat="1" ht="30" x14ac:dyDescent="0.2">
      <c r="A130" s="3537" t="s">
        <v>3786</v>
      </c>
      <c r="B130" s="3517"/>
      <c r="C130" s="3514" t="s">
        <v>2929</v>
      </c>
      <c r="D130" s="3983"/>
      <c r="E130" s="494"/>
      <c r="F130" s="3060"/>
      <c r="G130" s="3985"/>
      <c r="H130" s="3985"/>
      <c r="I130" s="3060"/>
      <c r="J130" s="3985"/>
      <c r="K130" s="4006"/>
      <c r="L130" s="4009"/>
      <c r="M130" s="4006"/>
      <c r="N130" s="4012"/>
      <c r="O130" s="3541"/>
      <c r="P130" s="503"/>
      <c r="Q130" s="3991"/>
    </row>
    <row r="131" spans="1:20" s="3548" customFormat="1" x14ac:dyDescent="0.25">
      <c r="A131" s="3537" t="s">
        <v>3787</v>
      </c>
      <c r="B131" s="3518"/>
      <c r="C131" s="3514" t="s">
        <v>2142</v>
      </c>
      <c r="D131" s="3983"/>
      <c r="E131" s="494"/>
      <c r="F131" s="3060"/>
      <c r="G131" s="3985"/>
      <c r="H131" s="3985"/>
      <c r="I131" s="3060"/>
      <c r="J131" s="3985"/>
      <c r="K131" s="4006"/>
      <c r="L131" s="4009"/>
      <c r="M131" s="4006"/>
      <c r="N131" s="4012"/>
      <c r="O131" s="3541"/>
      <c r="P131" s="503"/>
      <c r="Q131" s="3991"/>
    </row>
    <row r="132" spans="1:20" s="3548" customFormat="1" x14ac:dyDescent="0.2">
      <c r="A132" s="3537" t="s">
        <v>3788</v>
      </c>
      <c r="B132" s="3517"/>
      <c r="C132" s="3514" t="s">
        <v>2143</v>
      </c>
      <c r="D132" s="3983"/>
      <c r="E132" s="494"/>
      <c r="F132" s="3060"/>
      <c r="G132" s="3985"/>
      <c r="H132" s="3985"/>
      <c r="I132" s="3060"/>
      <c r="J132" s="3985"/>
      <c r="K132" s="4006"/>
      <c r="L132" s="4009"/>
      <c r="M132" s="4006"/>
      <c r="N132" s="4012"/>
      <c r="O132" s="3541"/>
      <c r="P132" s="503"/>
      <c r="Q132" s="3991"/>
    </row>
    <row r="133" spans="1:20" s="3548" customFormat="1" x14ac:dyDescent="0.2">
      <c r="A133" s="3537" t="s">
        <v>3789</v>
      </c>
      <c r="B133" s="3517"/>
      <c r="C133" s="3550" t="s">
        <v>2144</v>
      </c>
      <c r="D133" s="3983"/>
      <c r="E133" s="494"/>
      <c r="F133" s="3060"/>
      <c r="G133" s="3985"/>
      <c r="H133" s="3985"/>
      <c r="I133" s="3060"/>
      <c r="J133" s="3985"/>
      <c r="K133" s="4006"/>
      <c r="L133" s="4009"/>
      <c r="M133" s="4006"/>
      <c r="N133" s="4012"/>
      <c r="O133" s="3541"/>
      <c r="P133" s="503"/>
      <c r="Q133" s="3991"/>
    </row>
    <row r="134" spans="1:20" s="3548" customFormat="1" x14ac:dyDescent="0.2">
      <c r="A134" s="3537" t="s">
        <v>3790</v>
      </c>
      <c r="B134" s="3517"/>
      <c r="C134" s="3514" t="s">
        <v>2146</v>
      </c>
      <c r="D134" s="3983"/>
      <c r="E134" s="494"/>
      <c r="F134" s="3060"/>
      <c r="G134" s="3985"/>
      <c r="H134" s="3985"/>
      <c r="I134" s="3060"/>
      <c r="J134" s="3985"/>
      <c r="K134" s="4006"/>
      <c r="L134" s="4009"/>
      <c r="M134" s="4006"/>
      <c r="N134" s="4012"/>
      <c r="O134" s="3541"/>
      <c r="P134" s="503"/>
      <c r="Q134" s="3991"/>
    </row>
    <row r="135" spans="1:20" s="3548" customFormat="1" x14ac:dyDescent="0.2">
      <c r="A135" s="3537" t="s">
        <v>3791</v>
      </c>
      <c r="B135" s="3517"/>
      <c r="C135" s="3514" t="s">
        <v>2147</v>
      </c>
      <c r="D135" s="3983"/>
      <c r="E135" s="494"/>
      <c r="F135" s="3060"/>
      <c r="G135" s="3985"/>
      <c r="H135" s="3985"/>
      <c r="I135" s="3060"/>
      <c r="J135" s="3985"/>
      <c r="K135" s="4006"/>
      <c r="L135" s="4009"/>
      <c r="M135" s="4006"/>
      <c r="N135" s="4012"/>
      <c r="O135" s="3541"/>
      <c r="P135" s="503"/>
      <c r="Q135" s="3991"/>
    </row>
    <row r="136" spans="1:20" s="3548" customFormat="1" x14ac:dyDescent="0.2">
      <c r="A136" s="3537" t="s">
        <v>3792</v>
      </c>
      <c r="B136" s="3517"/>
      <c r="C136" s="3550" t="s">
        <v>673</v>
      </c>
      <c r="D136" s="3983"/>
      <c r="E136" s="494"/>
      <c r="F136" s="3060"/>
      <c r="G136" s="3985"/>
      <c r="H136" s="3985"/>
      <c r="I136" s="3060"/>
      <c r="J136" s="3985"/>
      <c r="K136" s="4006"/>
      <c r="L136" s="4009"/>
      <c r="M136" s="4006"/>
      <c r="N136" s="4012"/>
      <c r="O136" s="3541"/>
      <c r="P136" s="503"/>
      <c r="Q136" s="3991"/>
    </row>
    <row r="137" spans="1:20" s="3548" customFormat="1" x14ac:dyDescent="0.2">
      <c r="A137" s="3537" t="s">
        <v>3793</v>
      </c>
      <c r="B137" s="3517"/>
      <c r="C137" s="3514" t="s">
        <v>2151</v>
      </c>
      <c r="D137" s="3983"/>
      <c r="E137" s="494"/>
      <c r="F137" s="3060"/>
      <c r="G137" s="3985"/>
      <c r="H137" s="3985"/>
      <c r="I137" s="3060"/>
      <c r="J137" s="3985"/>
      <c r="K137" s="4006"/>
      <c r="L137" s="4009"/>
      <c r="M137" s="4006"/>
      <c r="N137" s="4012"/>
      <c r="O137" s="3541"/>
      <c r="P137" s="503"/>
      <c r="Q137" s="3991"/>
    </row>
    <row r="138" spans="1:20" s="3548" customFormat="1" x14ac:dyDescent="0.2">
      <c r="A138" s="3537" t="s">
        <v>3794</v>
      </c>
      <c r="B138" s="3517"/>
      <c r="C138" s="3514" t="s">
        <v>2152</v>
      </c>
      <c r="D138" s="3983"/>
      <c r="E138" s="494"/>
      <c r="F138" s="3060"/>
      <c r="G138" s="3985"/>
      <c r="H138" s="3985"/>
      <c r="I138" s="3060"/>
      <c r="J138" s="3985"/>
      <c r="K138" s="4006"/>
      <c r="L138" s="4009"/>
      <c r="M138" s="4006"/>
      <c r="N138" s="4012"/>
      <c r="O138" s="3541"/>
      <c r="P138" s="503"/>
      <c r="Q138" s="3991"/>
    </row>
    <row r="139" spans="1:20" s="3548" customFormat="1" x14ac:dyDescent="0.2">
      <c r="A139" s="3544" t="s">
        <v>3795</v>
      </c>
      <c r="B139" s="3517"/>
      <c r="C139" s="3514" t="s">
        <v>622</v>
      </c>
      <c r="D139" s="3983"/>
      <c r="E139" s="494"/>
      <c r="F139" s="3060"/>
      <c r="G139" s="3986"/>
      <c r="H139" s="3986"/>
      <c r="I139" s="3060"/>
      <c r="J139" s="3986"/>
      <c r="K139" s="4007"/>
      <c r="L139" s="4010"/>
      <c r="M139" s="4007"/>
      <c r="N139" s="4013"/>
      <c r="O139" s="3541"/>
      <c r="P139" s="503"/>
      <c r="Q139" s="3992"/>
    </row>
    <row r="140" spans="1:20" s="3548" customFormat="1" ht="30" x14ac:dyDescent="0.25">
      <c r="A140" s="496" t="s">
        <v>3796</v>
      </c>
      <c r="B140" s="497"/>
      <c r="C140" s="497" t="s">
        <v>3919</v>
      </c>
      <c r="D140" s="497"/>
      <c r="E140" s="498"/>
      <c r="F140" s="3602"/>
      <c r="G140" s="3603"/>
      <c r="H140" s="3603"/>
      <c r="I140" s="3603"/>
      <c r="J140" s="498"/>
      <c r="K140" s="3604"/>
      <c r="L140" s="3554"/>
      <c r="M140" s="498"/>
      <c r="N140" s="3555">
        <f>L140*M140</f>
        <v>0</v>
      </c>
      <c r="O140" s="500"/>
      <c r="P140" s="3458"/>
      <c r="Q140" s="1793"/>
      <c r="T140" s="3608">
        <f t="shared" ref="T140:T142" si="12">N140-Q140</f>
        <v>0</v>
      </c>
    </row>
    <row r="141" spans="1:20" s="3548" customFormat="1" ht="45" x14ac:dyDescent="0.25">
      <c r="A141" s="496" t="s">
        <v>3797</v>
      </c>
      <c r="B141" s="497"/>
      <c r="C141" s="497" t="s">
        <v>718</v>
      </c>
      <c r="D141" s="497"/>
      <c r="E141" s="498"/>
      <c r="F141" s="3602"/>
      <c r="G141" s="3603"/>
      <c r="H141" s="3605"/>
      <c r="I141" s="3603"/>
      <c r="J141" s="498"/>
      <c r="K141" s="3604"/>
      <c r="L141" s="3554"/>
      <c r="M141" s="498"/>
      <c r="N141" s="3555">
        <f>L141*M141</f>
        <v>0</v>
      </c>
      <c r="O141" s="500"/>
      <c r="P141" s="3458"/>
      <c r="Q141" s="1793"/>
      <c r="T141" s="3608">
        <f t="shared" si="12"/>
        <v>0</v>
      </c>
    </row>
    <row r="142" spans="1:20" s="3548" customFormat="1" x14ac:dyDescent="0.25">
      <c r="A142" s="496" t="s">
        <v>5685</v>
      </c>
      <c r="B142" s="497"/>
      <c r="C142" s="497" t="s">
        <v>5686</v>
      </c>
      <c r="D142" s="497"/>
      <c r="E142" s="498"/>
      <c r="F142" s="498"/>
      <c r="G142" s="498"/>
      <c r="H142" s="498"/>
      <c r="I142" s="498"/>
      <c r="J142" s="498"/>
      <c r="K142" s="3556"/>
      <c r="L142" s="3554"/>
      <c r="M142" s="3556"/>
      <c r="N142" s="3555">
        <f>L142*M142</f>
        <v>0</v>
      </c>
      <c r="O142" s="500"/>
      <c r="P142" s="1792"/>
      <c r="Q142" s="1793"/>
      <c r="T142" s="3608">
        <f t="shared" si="12"/>
        <v>0</v>
      </c>
    </row>
    <row r="145" spans="13:14" x14ac:dyDescent="0.25">
      <c r="M145" s="178"/>
      <c r="N145" s="3536"/>
    </row>
    <row r="146" spans="13:14" x14ac:dyDescent="0.25">
      <c r="M146" s="178"/>
    </row>
  </sheetData>
  <sheetProtection formatCells="0" formatColumns="0" formatRows="0" autoFilter="0"/>
  <autoFilter ref="A6:Q142"/>
  <mergeCells count="100">
    <mergeCell ref="L129:L139"/>
    <mergeCell ref="M129:M139"/>
    <mergeCell ref="N129:N139"/>
    <mergeCell ref="M105:M115"/>
    <mergeCell ref="N105:N115"/>
    <mergeCell ref="J117:J127"/>
    <mergeCell ref="K117:K127"/>
    <mergeCell ref="L117:L127"/>
    <mergeCell ref="M117:M127"/>
    <mergeCell ref="N117:N127"/>
    <mergeCell ref="M80:M90"/>
    <mergeCell ref="N80:N90"/>
    <mergeCell ref="J92:J102"/>
    <mergeCell ref="K92:K102"/>
    <mergeCell ref="L92:L102"/>
    <mergeCell ref="M92:M102"/>
    <mergeCell ref="N92:N102"/>
    <mergeCell ref="M55:M65"/>
    <mergeCell ref="N55:N65"/>
    <mergeCell ref="J68:J78"/>
    <mergeCell ref="K68:K78"/>
    <mergeCell ref="L68:L78"/>
    <mergeCell ref="M68:M78"/>
    <mergeCell ref="N68:N78"/>
    <mergeCell ref="M30:M41"/>
    <mergeCell ref="N30:N41"/>
    <mergeCell ref="J43:J53"/>
    <mergeCell ref="K43:K53"/>
    <mergeCell ref="L43:L53"/>
    <mergeCell ref="M43:M53"/>
    <mergeCell ref="N43:N53"/>
    <mergeCell ref="G129:G139"/>
    <mergeCell ref="H129:H139"/>
    <mergeCell ref="J30:J41"/>
    <mergeCell ref="K30:K41"/>
    <mergeCell ref="L30:L41"/>
    <mergeCell ref="J55:J65"/>
    <mergeCell ref="K55:K65"/>
    <mergeCell ref="L55:L65"/>
    <mergeCell ref="J80:J90"/>
    <mergeCell ref="K80:K90"/>
    <mergeCell ref="L80:L90"/>
    <mergeCell ref="J105:J115"/>
    <mergeCell ref="K105:K115"/>
    <mergeCell ref="L105:L115"/>
    <mergeCell ref="J129:J139"/>
    <mergeCell ref="K129:K139"/>
    <mergeCell ref="BD1:BD2"/>
    <mergeCell ref="D9:D12"/>
    <mergeCell ref="Q105:Q115"/>
    <mergeCell ref="Q92:Q102"/>
    <mergeCell ref="Q80:Q90"/>
    <mergeCell ref="Q68:Q78"/>
    <mergeCell ref="P5:Q5"/>
    <mergeCell ref="O1:AH1"/>
    <mergeCell ref="AI1:AO1"/>
    <mergeCell ref="AP1:BA1"/>
    <mergeCell ref="BB1:BB2"/>
    <mergeCell ref="BC1:BC2"/>
    <mergeCell ref="Q30:Q41"/>
    <mergeCell ref="J5:O5"/>
    <mergeCell ref="D55:D65"/>
    <mergeCell ref="D68:D78"/>
    <mergeCell ref="F1:N1"/>
    <mergeCell ref="D5:D6"/>
    <mergeCell ref="A1:C1"/>
    <mergeCell ref="Q129:Q139"/>
    <mergeCell ref="Q117:Q127"/>
    <mergeCell ref="Q43:Q53"/>
    <mergeCell ref="Q55:Q65"/>
    <mergeCell ref="E5:I5"/>
    <mergeCell ref="G30:G41"/>
    <mergeCell ref="H30:H41"/>
    <mergeCell ref="G43:G53"/>
    <mergeCell ref="H43:H53"/>
    <mergeCell ref="G55:G65"/>
    <mergeCell ref="H55:H65"/>
    <mergeCell ref="G68:G78"/>
    <mergeCell ref="H68:H78"/>
    <mergeCell ref="A5:A6"/>
    <mergeCell ref="B5:B6"/>
    <mergeCell ref="C5:C6"/>
    <mergeCell ref="A2:A4"/>
    <mergeCell ref="E1:E2"/>
    <mergeCell ref="P9:P12"/>
    <mergeCell ref="D117:D127"/>
    <mergeCell ref="D129:D139"/>
    <mergeCell ref="D80:D90"/>
    <mergeCell ref="D92:D102"/>
    <mergeCell ref="D105:D115"/>
    <mergeCell ref="D30:D41"/>
    <mergeCell ref="D43:D53"/>
    <mergeCell ref="G80:G90"/>
    <mergeCell ref="H80:H90"/>
    <mergeCell ref="G92:G102"/>
    <mergeCell ref="H92:H102"/>
    <mergeCell ref="G105:G115"/>
    <mergeCell ref="H105:H115"/>
    <mergeCell ref="G117:G127"/>
    <mergeCell ref="H117:H127"/>
  </mergeCells>
  <phoneticPr fontId="57" type="noConversion"/>
  <pageMargins left="0.7" right="0.7" top="0.75" bottom="0.75" header="0.3" footer="0.3"/>
  <pageSetup orientation="portrait"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BD182"/>
  <sheetViews>
    <sheetView zoomScale="80" zoomScaleNormal="80" workbookViewId="0">
      <pane xSplit="7" ySplit="6" topLeftCell="M133" activePane="bottomRight" state="frozen"/>
      <selection pane="topRight" activeCell="H1" sqref="H1"/>
      <selection pane="bottomLeft" activeCell="A6" sqref="A6"/>
      <selection pane="bottomRight" activeCell="S145" sqref="S145"/>
    </sheetView>
  </sheetViews>
  <sheetFormatPr defaultColWidth="9.140625" defaultRowHeight="15" x14ac:dyDescent="0.2"/>
  <cols>
    <col min="1" max="1" width="13.140625" style="1800" customWidth="1"/>
    <col min="2" max="2" width="16.7109375" style="1807" customWidth="1"/>
    <col min="3" max="3" width="19.85546875" style="1807" hidden="1" customWidth="1"/>
    <col min="4" max="4" width="11.42578125" style="1808" hidden="1" customWidth="1"/>
    <col min="5" max="5" width="38.42578125" style="1809" customWidth="1"/>
    <col min="6" max="6" width="8.140625" style="1810" customWidth="1"/>
    <col min="7" max="7" width="22.42578125" style="1810" customWidth="1"/>
    <col min="8" max="8" width="19.85546875" style="1810" customWidth="1"/>
    <col min="9" max="9" width="21.5703125" style="1800" customWidth="1"/>
    <col min="10" max="10" width="15" style="1800" customWidth="1"/>
    <col min="11" max="11" width="14.42578125" style="1800" customWidth="1"/>
    <col min="12" max="12" width="15.140625" style="1800" customWidth="1"/>
    <col min="13" max="13" width="17.42578125" style="1800" customWidth="1"/>
    <col min="14" max="14" width="12.7109375" style="1810" customWidth="1"/>
    <col min="15" max="15" width="14.42578125" style="1811" customWidth="1"/>
    <col min="16" max="16" width="16.85546875" style="1812" customWidth="1"/>
    <col min="17" max="17" width="12.85546875" style="1811" customWidth="1"/>
    <col min="18" max="18" width="36.7109375" style="1813" customWidth="1"/>
    <col min="19" max="19" width="44.5703125" style="1809" customWidth="1"/>
    <col min="20" max="20" width="19.85546875" style="1814" customWidth="1"/>
    <col min="21" max="21" width="22.85546875" style="1489" customWidth="1"/>
    <col min="22" max="16384" width="9.140625" style="1801"/>
  </cols>
  <sheetData>
    <row r="1" spans="1:56" s="1087" customFormat="1" ht="14.45" customHeight="1" x14ac:dyDescent="0.2">
      <c r="A1" s="3904" t="s">
        <v>5185</v>
      </c>
      <c r="B1" s="3905"/>
      <c r="C1" s="3905"/>
      <c r="D1" s="3906"/>
      <c r="F1" s="958"/>
      <c r="G1" s="1795" t="s">
        <v>3853</v>
      </c>
      <c r="H1" s="1422" t="s">
        <v>70</v>
      </c>
      <c r="I1" s="1796" t="s">
        <v>4366</v>
      </c>
      <c r="J1" s="890" t="s">
        <v>85</v>
      </c>
      <c r="K1" s="1094"/>
      <c r="L1" s="1094"/>
      <c r="M1" s="1094"/>
      <c r="N1" s="1094"/>
      <c r="O1" s="1094"/>
      <c r="P1" s="1094"/>
      <c r="Q1" s="1094"/>
      <c r="R1" s="1094"/>
      <c r="S1" s="1094"/>
      <c r="T1" s="1094"/>
      <c r="U1" s="1499"/>
      <c r="V1" s="1094"/>
      <c r="W1" s="1094"/>
      <c r="X1" s="1094"/>
      <c r="Y1" s="1094"/>
      <c r="Z1" s="1094"/>
      <c r="AA1" s="1094"/>
      <c r="AB1" s="1094"/>
      <c r="AC1" s="1094"/>
      <c r="AD1" s="1094"/>
      <c r="AE1" s="1094"/>
      <c r="AF1" s="1094"/>
      <c r="AG1" s="1094"/>
      <c r="AH1" s="1094"/>
      <c r="AI1" s="1094"/>
      <c r="AJ1" s="1094"/>
      <c r="AK1" s="1094"/>
      <c r="AL1" s="1094"/>
      <c r="AM1" s="1094"/>
      <c r="AN1" s="1094"/>
      <c r="AO1" s="1094"/>
      <c r="AP1" s="1094"/>
      <c r="AQ1" s="1095"/>
      <c r="AR1" s="1095"/>
      <c r="AS1" s="1095"/>
      <c r="AT1" s="1095"/>
      <c r="AU1" s="1095"/>
      <c r="AV1" s="1095"/>
      <c r="AW1" s="1095"/>
      <c r="AX1" s="1306"/>
      <c r="AY1" s="1306"/>
      <c r="AZ1" s="1306"/>
      <c r="BA1" s="1306"/>
      <c r="BB1" s="1306"/>
      <c r="BC1" s="1306"/>
      <c r="BD1" s="1306"/>
    </row>
    <row r="2" spans="1:56" s="828" customFormat="1" ht="14.45" customHeight="1" x14ac:dyDescent="0.25">
      <c r="A2" s="1797" t="str">
        <f>HYPERLINK("#Index!A4", "Index Pg")</f>
        <v>Index Pg</v>
      </c>
      <c r="B2" s="831" t="str">
        <f>HYPERLINK("#'Budget Summary I'!A1:AL1", "Budget Summary I")</f>
        <v>Budget Summary I</v>
      </c>
      <c r="C2" s="831" t="str">
        <f>HYPERLINK("#'Budget Summary II'!A3:B5", "Budget Summary II")</f>
        <v>Budget Summary II</v>
      </c>
      <c r="D2" s="1308" t="str">
        <f>HYPERLINK("#'Summary of Abstracts'!A2", "Summary of Abst.")</f>
        <v>Summary of Abst.</v>
      </c>
      <c r="F2" s="958"/>
      <c r="G2" s="893">
        <f>Q12+Q13+Q14+Q15+Q16+Q17+Q22+Q23+Q24+Q25+Q26+Q27+Q28+Q34+Q35+Q36+Q51+Q71+Q74+Q75+Q95+Q96+Q101+Q112+Q113+Q121+Q147+Q164</f>
        <v>0</v>
      </c>
      <c r="H2" s="177">
        <f>Q9+Q10+Q11+Q19+Q29+Q30+Q31+Q32+Q49+Q52+Q53+Q54+Q66+Q67+Q70+Q72+Q73+Q90+Q93+Q97+Q98+Q99+Q110+Q114+Q115+Q116+Q123+Q137+Q150+Q151+Q165+Q166+Q167+Q178</f>
        <v>0</v>
      </c>
      <c r="I2" s="893">
        <f>Q37+Q38+Q39+Q40+Q41+Q42+Q46+Q48+Q55+Q56+Q57+Q58+Q59+Q60+Q63+Q65+Q76+Q77+Q78+Q79+Q80+Q81+Q82+Q83+Q84+Q85+Q89+Q92+Q102+Q103+Q104+Q105+Q106+Q118+Q122+Q125+Q126+Q127+Q128+Q129+Q130+Q134+Q135+Q139+Q140+Q141+Q152+Q154+Q155+Q156+Q157+Q161+Q162+Q168+Q169+Q170</f>
        <v>0</v>
      </c>
      <c r="J2" s="893">
        <f>Q18+Q33+Q43+Q44+Q45+Q47+Q61+Q62+Q64+Q87+Q88+Q100+Q107+Q108+Q109+Q124+Q131+Q132+Q133+Q138+Q142+Q143+Q144+Q145+Q159+Q160+Q171+Q172+Q174+Q176+Q177</f>
        <v>57</v>
      </c>
      <c r="K2" s="3500">
        <f>SUM(G2:J2)</f>
        <v>57</v>
      </c>
      <c r="L2" s="1101"/>
      <c r="M2" s="1101"/>
      <c r="N2" s="1101"/>
      <c r="O2" s="1102"/>
      <c r="P2" s="1102"/>
      <c r="Q2" s="1102"/>
      <c r="R2" s="1103"/>
      <c r="S2" s="1103"/>
      <c r="T2" s="1103"/>
      <c r="U2" s="1103"/>
      <c r="V2" s="1103"/>
      <c r="W2" s="1103"/>
      <c r="X2" s="1103"/>
      <c r="Y2" s="1103"/>
      <c r="Z2" s="1103"/>
      <c r="AA2" s="1103"/>
      <c r="AB2" s="1103"/>
      <c r="AC2" s="1103"/>
      <c r="AD2" s="1103"/>
      <c r="AE2" s="1103"/>
      <c r="AF2" s="1103"/>
      <c r="AG2" s="1103"/>
      <c r="AH2" s="1103"/>
      <c r="AI2" s="1103"/>
      <c r="AJ2" s="1103"/>
      <c r="AK2" s="1103"/>
      <c r="AL2" s="1103"/>
      <c r="AM2" s="1100"/>
      <c r="AN2" s="1100"/>
      <c r="AO2" s="1100"/>
      <c r="AP2" s="1100"/>
      <c r="AQ2" s="1100"/>
      <c r="AR2" s="1100"/>
      <c r="AS2" s="1100"/>
      <c r="AT2" s="1100"/>
      <c r="AU2" s="1100"/>
      <c r="AV2" s="1100"/>
      <c r="AW2" s="1100"/>
      <c r="AX2" s="1309"/>
      <c r="AY2" s="1309"/>
      <c r="AZ2" s="1309"/>
      <c r="BA2" s="1309"/>
      <c r="BB2" s="1309"/>
      <c r="BC2" s="1309"/>
      <c r="BD2" s="1309"/>
    </row>
    <row r="3" spans="1:56" s="828" customFormat="1" ht="14.45" customHeight="1" x14ac:dyDescent="0.25">
      <c r="A3" s="3495"/>
      <c r="B3" s="3496"/>
      <c r="C3" s="3497"/>
      <c r="D3" s="3498"/>
      <c r="F3" s="1866"/>
      <c r="G3" s="3499">
        <f>U12+U13+U14+U15+U16+U17+U22+U23+U24+U25+U26+U27+U28+U34+U35+U36+U51+U71+U74+U75+U95+U96+U101+U112+U113+U121+U147+U164</f>
        <v>0</v>
      </c>
      <c r="H3" s="177">
        <f>U9+U10+U11+U19+U29+U30+U31+U32+U49+U52+U53+U54+U66+U67+U70+U72+U73+U90+U93+U97+U98+U99+U110+U114+U115+U116+U123+U137+U150+U151+U165+U166+U167+U178</f>
        <v>0</v>
      </c>
      <c r="I3" s="893">
        <f>U37+U38+U39+U40+U41+U42+U46+U48+U55+U56+U57+U58+U59+U60+U63+U65+U76+U77+U78+U79+U80+U81+U82+U83+U84+U85+U89+U92+U102+U103+U104+U105+U106+U118+U122+U125+U126+U127+U128+U129+U130+U134+U135+U139+U140+U141+U152+U154+U155+U156+U157+U161+U162+U168+U169+U170</f>
        <v>0</v>
      </c>
      <c r="J3" s="893">
        <f>U18+U33+U43+U44+U45+U47+U61+U62+U64+U87+U88+U100+U107+U108+U109+U124+U131+U132+U133+U138+U142+U143+U144+U145+U159+U160+U171+U172+U174+U176+U177</f>
        <v>0</v>
      </c>
      <c r="K3" s="3500">
        <f>SUM(G3:J3)</f>
        <v>0</v>
      </c>
      <c r="L3" s="1101"/>
      <c r="M3" s="1101"/>
      <c r="N3" s="1101"/>
      <c r="O3" s="1102"/>
      <c r="P3" s="1102"/>
      <c r="Q3" s="1102"/>
      <c r="R3" s="1103"/>
      <c r="S3" s="1103"/>
      <c r="T3" s="1103"/>
      <c r="U3" s="1103"/>
      <c r="V3" s="1103"/>
      <c r="W3" s="1103"/>
      <c r="X3" s="1103"/>
      <c r="Y3" s="1103"/>
      <c r="Z3" s="1103"/>
      <c r="AA3" s="1103"/>
      <c r="AB3" s="1103"/>
      <c r="AC3" s="1103"/>
      <c r="AD3" s="1103"/>
      <c r="AE3" s="1103"/>
      <c r="AF3" s="1103"/>
      <c r="AG3" s="1103"/>
      <c r="AH3" s="1103"/>
      <c r="AI3" s="1103"/>
      <c r="AJ3" s="1103"/>
      <c r="AK3" s="1103"/>
      <c r="AL3" s="1103"/>
      <c r="AM3" s="1100"/>
      <c r="AN3" s="1100"/>
      <c r="AO3" s="1100"/>
      <c r="AP3" s="1100"/>
      <c r="AQ3" s="1100"/>
      <c r="AR3" s="1100"/>
      <c r="AS3" s="1100"/>
      <c r="AT3" s="1100"/>
      <c r="AU3" s="1100"/>
      <c r="AV3" s="1100"/>
      <c r="AW3" s="1100"/>
      <c r="AX3" s="1309"/>
      <c r="AY3" s="1309"/>
      <c r="AZ3" s="1309"/>
      <c r="BA3" s="1309"/>
      <c r="BB3" s="1309"/>
      <c r="BC3" s="1309"/>
      <c r="BD3" s="1309"/>
    </row>
    <row r="4" spans="1:56" s="1798" customFormat="1" ht="12.75" customHeight="1" thickBot="1" x14ac:dyDescent="0.25">
      <c r="A4" s="3814" t="s">
        <v>4828</v>
      </c>
      <c r="B4" s="4019" t="s">
        <v>54</v>
      </c>
      <c r="C4" s="4020"/>
      <c r="D4" s="4021"/>
      <c r="E4" s="3814" t="s">
        <v>55</v>
      </c>
      <c r="F4" s="3814" t="s">
        <v>56</v>
      </c>
      <c r="G4" s="3814" t="s">
        <v>57</v>
      </c>
      <c r="H4" s="3876" t="s">
        <v>4629</v>
      </c>
      <c r="I4" s="3876"/>
      <c r="J4" s="3876"/>
      <c r="K4" s="3876"/>
      <c r="L4" s="3876"/>
      <c r="M4" s="3877" t="s">
        <v>4640</v>
      </c>
      <c r="N4" s="3888"/>
      <c r="O4" s="3888"/>
      <c r="P4" s="3888"/>
      <c r="Q4" s="3888"/>
      <c r="R4" s="3889"/>
      <c r="S4" s="3907" t="s">
        <v>4670</v>
      </c>
      <c r="T4" s="4017"/>
      <c r="U4" s="4018"/>
    </row>
    <row r="5" spans="1:56" s="1800" customFormat="1" ht="57.95" customHeight="1" x14ac:dyDescent="0.2">
      <c r="A5" s="3815"/>
      <c r="B5" s="4022"/>
      <c r="C5" s="4023"/>
      <c r="D5" s="4024"/>
      <c r="E5" s="3815"/>
      <c r="F5" s="3815"/>
      <c r="G5" s="3815"/>
      <c r="H5" s="896" t="s">
        <v>4630</v>
      </c>
      <c r="I5" s="896" t="s">
        <v>4638</v>
      </c>
      <c r="J5" s="896" t="s">
        <v>4631</v>
      </c>
      <c r="K5" s="896" t="s">
        <v>4639</v>
      </c>
      <c r="L5" s="896" t="s">
        <v>2538</v>
      </c>
      <c r="M5" s="897" t="s">
        <v>58</v>
      </c>
      <c r="N5" s="897" t="s">
        <v>59</v>
      </c>
      <c r="O5" s="898" t="s">
        <v>60</v>
      </c>
      <c r="P5" s="897" t="s">
        <v>61</v>
      </c>
      <c r="Q5" s="898" t="s">
        <v>62</v>
      </c>
      <c r="R5" s="897" t="s">
        <v>5547</v>
      </c>
      <c r="S5" s="1799" t="s">
        <v>2540</v>
      </c>
      <c r="T5" s="1198" t="s">
        <v>4671</v>
      </c>
      <c r="U5" s="1686" t="s">
        <v>4684</v>
      </c>
      <c r="V5" s="3453" t="s">
        <v>4724</v>
      </c>
    </row>
    <row r="6" spans="1:56" x14ac:dyDescent="0.2">
      <c r="B6" s="520">
        <v>16.100000000000001</v>
      </c>
      <c r="C6" s="520">
        <v>16</v>
      </c>
      <c r="D6" s="521"/>
      <c r="E6" s="520" t="s">
        <v>2158</v>
      </c>
      <c r="F6" s="522"/>
      <c r="G6" s="522"/>
      <c r="H6" s="522"/>
      <c r="I6" s="522"/>
      <c r="J6" s="176"/>
      <c r="K6" s="176"/>
      <c r="L6" s="176"/>
      <c r="M6" s="522"/>
      <c r="N6" s="522"/>
      <c r="O6" s="176"/>
      <c r="P6" s="522"/>
      <c r="Q6" s="176">
        <f>Q7+Q20+Q68+Q119+Q148</f>
        <v>57</v>
      </c>
      <c r="R6" s="176"/>
      <c r="S6" s="967"/>
      <c r="T6" s="702">
        <f>T7</f>
        <v>0</v>
      </c>
      <c r="U6" s="968">
        <f>U7+U20+U68+U119+U148</f>
        <v>0</v>
      </c>
      <c r="V6" s="3501">
        <f>Q6-U6</f>
        <v>57</v>
      </c>
    </row>
    <row r="7" spans="1:56" x14ac:dyDescent="0.2">
      <c r="A7" s="1800" t="s">
        <v>4358</v>
      </c>
      <c r="B7" s="523" t="s">
        <v>3374</v>
      </c>
      <c r="C7" s="523">
        <v>16.100000000000001</v>
      </c>
      <c r="D7" s="524"/>
      <c r="E7" s="523" t="s">
        <v>2159</v>
      </c>
      <c r="F7" s="525"/>
      <c r="G7" s="525"/>
      <c r="H7" s="525"/>
      <c r="I7" s="525"/>
      <c r="J7" s="528"/>
      <c r="K7" s="528"/>
      <c r="L7" s="528"/>
      <c r="M7" s="525"/>
      <c r="N7" s="525"/>
      <c r="O7" s="527"/>
      <c r="P7" s="525"/>
      <c r="Q7" s="528">
        <f>Q8+SUM(Q12:Q19)</f>
        <v>0</v>
      </c>
      <c r="R7" s="528"/>
      <c r="S7" s="1502"/>
      <c r="T7" s="4014">
        <f>'Budget Summary II'!D68</f>
        <v>0</v>
      </c>
      <c r="U7" s="972">
        <f>U8+SUM(U12:U19)</f>
        <v>0</v>
      </c>
      <c r="V7" s="3501">
        <f>Q7-U7</f>
        <v>0</v>
      </c>
    </row>
    <row r="8" spans="1:56" x14ac:dyDescent="0.2">
      <c r="A8" s="1800">
        <v>1</v>
      </c>
      <c r="B8" s="529" t="s">
        <v>3375</v>
      </c>
      <c r="C8" s="529" t="s">
        <v>3374</v>
      </c>
      <c r="D8" s="529"/>
      <c r="E8" s="529" t="s">
        <v>2160</v>
      </c>
      <c r="F8" s="530"/>
      <c r="G8" s="530"/>
      <c r="H8" s="531"/>
      <c r="I8" s="531"/>
      <c r="J8" s="531"/>
      <c r="K8" s="531"/>
      <c r="L8" s="531"/>
      <c r="M8" s="531"/>
      <c r="N8" s="531"/>
      <c r="O8" s="177"/>
      <c r="P8" s="531"/>
      <c r="Q8" s="177">
        <f>SUM(Q9:Q11)</f>
        <v>0</v>
      </c>
      <c r="R8" s="177"/>
      <c r="S8" s="1513"/>
      <c r="T8" s="4015"/>
      <c r="U8" s="1802">
        <f>SUM(U9:U11)</f>
        <v>0</v>
      </c>
    </row>
    <row r="9" spans="1:56" x14ac:dyDescent="0.2">
      <c r="A9" s="1800" t="s">
        <v>4941</v>
      </c>
      <c r="B9" s="529" t="s">
        <v>3376</v>
      </c>
      <c r="C9" s="529" t="s">
        <v>3375</v>
      </c>
      <c r="D9" s="532" t="s">
        <v>2161</v>
      </c>
      <c r="E9" s="532" t="s">
        <v>2162</v>
      </c>
      <c r="F9" s="886" t="s">
        <v>70</v>
      </c>
      <c r="G9" s="586" t="s">
        <v>3338</v>
      </c>
      <c r="H9" s="2715"/>
      <c r="I9" s="2715"/>
      <c r="J9" s="2715"/>
      <c r="K9" s="2715"/>
      <c r="L9" s="2715"/>
      <c r="M9" s="2715"/>
      <c r="N9" s="2716"/>
      <c r="O9" s="534"/>
      <c r="P9" s="2715"/>
      <c r="Q9" s="535">
        <f>O9*P9</f>
        <v>0</v>
      </c>
      <c r="R9" s="535"/>
      <c r="S9" s="1364"/>
      <c r="T9" s="4015"/>
      <c r="U9" s="1256"/>
    </row>
    <row r="10" spans="1:56" ht="30" x14ac:dyDescent="0.2">
      <c r="A10" s="1800" t="s">
        <v>4942</v>
      </c>
      <c r="B10" s="529" t="s">
        <v>3377</v>
      </c>
      <c r="C10" s="529" t="s">
        <v>3378</v>
      </c>
      <c r="D10" s="532" t="s">
        <v>2163</v>
      </c>
      <c r="E10" s="532" t="s">
        <v>4469</v>
      </c>
      <c r="F10" s="886" t="s">
        <v>70</v>
      </c>
      <c r="G10" s="586" t="s">
        <v>3338</v>
      </c>
      <c r="H10" s="2715"/>
      <c r="I10" s="2715"/>
      <c r="J10" s="2715"/>
      <c r="K10" s="2715"/>
      <c r="L10" s="2715"/>
      <c r="M10" s="2715"/>
      <c r="N10" s="2716"/>
      <c r="O10" s="534"/>
      <c r="P10" s="2715"/>
      <c r="Q10" s="535">
        <f t="shared" ref="Q10:Q19" si="0">O10*P10</f>
        <v>0</v>
      </c>
      <c r="R10" s="535"/>
      <c r="S10" s="987"/>
      <c r="T10" s="4015"/>
      <c r="U10" s="1256"/>
    </row>
    <row r="11" spans="1:56" x14ac:dyDescent="0.2">
      <c r="A11" s="1800" t="s">
        <v>4825</v>
      </c>
      <c r="B11" s="529" t="s">
        <v>3379</v>
      </c>
      <c r="C11" s="529" t="s">
        <v>3380</v>
      </c>
      <c r="D11" s="532" t="s">
        <v>2164</v>
      </c>
      <c r="E11" s="532" t="s">
        <v>2165</v>
      </c>
      <c r="F11" s="886" t="s">
        <v>70</v>
      </c>
      <c r="G11" s="586" t="s">
        <v>3338</v>
      </c>
      <c r="H11" s="2715"/>
      <c r="I11" s="2715"/>
      <c r="J11" s="2715"/>
      <c r="K11" s="2715"/>
      <c r="L11" s="2715"/>
      <c r="M11" s="2715"/>
      <c r="N11" s="2716"/>
      <c r="O11" s="534"/>
      <c r="P11" s="2715"/>
      <c r="Q11" s="535">
        <f t="shared" si="0"/>
        <v>0</v>
      </c>
      <c r="R11" s="535"/>
      <c r="S11" s="987"/>
      <c r="T11" s="4015"/>
      <c r="U11" s="1256"/>
    </row>
    <row r="12" spans="1:56" ht="75" x14ac:dyDescent="0.2">
      <c r="A12" s="1800">
        <v>2</v>
      </c>
      <c r="B12" s="529" t="s">
        <v>3378</v>
      </c>
      <c r="C12" s="529" t="s">
        <v>3381</v>
      </c>
      <c r="D12" s="537" t="s">
        <v>829</v>
      </c>
      <c r="E12" s="532" t="s">
        <v>830</v>
      </c>
      <c r="F12" s="538" t="s">
        <v>90</v>
      </c>
      <c r="G12" s="586" t="s">
        <v>3341</v>
      </c>
      <c r="H12" s="2715"/>
      <c r="I12" s="2715"/>
      <c r="J12" s="2715"/>
      <c r="K12" s="2715"/>
      <c r="L12" s="2715"/>
      <c r="M12" s="2715"/>
      <c r="N12" s="2716"/>
      <c r="O12" s="534"/>
      <c r="P12" s="2715"/>
      <c r="Q12" s="535">
        <f t="shared" si="0"/>
        <v>0</v>
      </c>
      <c r="R12" s="535"/>
      <c r="S12" s="985">
        <f>'Ab1. RMNCH+A'!Q448</f>
        <v>0</v>
      </c>
      <c r="T12" s="4015"/>
      <c r="U12" s="1692">
        <f>'Ab1. RMNCH+A'!R448</f>
        <v>0</v>
      </c>
    </row>
    <row r="13" spans="1:56" ht="29.1" customHeight="1" x14ac:dyDescent="0.2">
      <c r="A13" s="1800">
        <v>3</v>
      </c>
      <c r="B13" s="529" t="s">
        <v>3380</v>
      </c>
      <c r="C13" s="529" t="s">
        <v>3382</v>
      </c>
      <c r="D13" s="532" t="s">
        <v>1500</v>
      </c>
      <c r="E13" s="532" t="s">
        <v>1501</v>
      </c>
      <c r="F13" s="538" t="s">
        <v>90</v>
      </c>
      <c r="G13" s="586" t="s">
        <v>3669</v>
      </c>
      <c r="H13" s="2715"/>
      <c r="I13" s="2715"/>
      <c r="J13" s="2715"/>
      <c r="K13" s="2715"/>
      <c r="L13" s="2715"/>
      <c r="M13" s="2715"/>
      <c r="N13" s="2716"/>
      <c r="O13" s="534"/>
      <c r="P13" s="2715"/>
      <c r="Q13" s="535">
        <f t="shared" si="0"/>
        <v>0</v>
      </c>
      <c r="R13" s="535"/>
      <c r="S13" s="985">
        <f>'Ab1. RMNCH+A'!Q449</f>
        <v>0</v>
      </c>
      <c r="T13" s="4015"/>
      <c r="U13" s="1692">
        <f>'Ab1. RMNCH+A'!R449</f>
        <v>0</v>
      </c>
    </row>
    <row r="14" spans="1:56" ht="45" x14ac:dyDescent="0.2">
      <c r="A14" s="1800">
        <v>4</v>
      </c>
      <c r="B14" s="529" t="s">
        <v>3383</v>
      </c>
      <c r="C14" s="529" t="s">
        <v>3384</v>
      </c>
      <c r="D14" s="532" t="s">
        <v>2166</v>
      </c>
      <c r="E14" s="532" t="s">
        <v>2167</v>
      </c>
      <c r="F14" s="538" t="s">
        <v>90</v>
      </c>
      <c r="G14" s="586" t="s">
        <v>3669</v>
      </c>
      <c r="H14" s="2715"/>
      <c r="I14" s="2715"/>
      <c r="J14" s="2715"/>
      <c r="K14" s="2715"/>
      <c r="L14" s="2715"/>
      <c r="M14" s="2715"/>
      <c r="N14" s="2716"/>
      <c r="O14" s="534"/>
      <c r="P14" s="2715"/>
      <c r="Q14" s="535">
        <f t="shared" si="0"/>
        <v>0</v>
      </c>
      <c r="R14" s="535"/>
      <c r="S14" s="985">
        <f>'Ab1. RMNCH+A'!Q450</f>
        <v>0</v>
      </c>
      <c r="T14" s="4015"/>
      <c r="U14" s="1692">
        <f>'Ab1. RMNCH+A'!R450</f>
        <v>0</v>
      </c>
    </row>
    <row r="15" spans="1:56" ht="30" x14ac:dyDescent="0.2">
      <c r="A15" s="1800">
        <v>5</v>
      </c>
      <c r="B15" s="529" t="s">
        <v>3385</v>
      </c>
      <c r="C15" s="529" t="s">
        <v>3386</v>
      </c>
      <c r="D15" s="532" t="s">
        <v>2168</v>
      </c>
      <c r="E15" s="532" t="s">
        <v>2169</v>
      </c>
      <c r="F15" s="538" t="s">
        <v>90</v>
      </c>
      <c r="G15" s="586" t="s">
        <v>3670</v>
      </c>
      <c r="H15" s="2715"/>
      <c r="I15" s="2715"/>
      <c r="J15" s="2715"/>
      <c r="K15" s="2715"/>
      <c r="L15" s="2715"/>
      <c r="M15" s="2715"/>
      <c r="N15" s="2716"/>
      <c r="O15" s="534"/>
      <c r="P15" s="2715"/>
      <c r="Q15" s="535">
        <f t="shared" si="0"/>
        <v>0</v>
      </c>
      <c r="R15" s="535"/>
      <c r="S15" s="985">
        <f>'Ab1. RMNCH+A'!Q451</f>
        <v>0</v>
      </c>
      <c r="T15" s="4015"/>
      <c r="U15" s="1692">
        <f>'Ab1. RMNCH+A'!R451</f>
        <v>0</v>
      </c>
    </row>
    <row r="16" spans="1:56" ht="30" x14ac:dyDescent="0.2">
      <c r="A16" s="1800">
        <v>6</v>
      </c>
      <c r="B16" s="529" t="s">
        <v>3387</v>
      </c>
      <c r="C16" s="529" t="s">
        <v>3388</v>
      </c>
      <c r="D16" s="532" t="s">
        <v>2170</v>
      </c>
      <c r="E16" s="532" t="s">
        <v>4124</v>
      </c>
      <c r="F16" s="538" t="s">
        <v>90</v>
      </c>
      <c r="G16" s="586" t="s">
        <v>3671</v>
      </c>
      <c r="H16" s="2715"/>
      <c r="I16" s="2715"/>
      <c r="J16" s="2717"/>
      <c r="K16" s="2715"/>
      <c r="L16" s="2715"/>
      <c r="M16" s="2716"/>
      <c r="N16" s="2715"/>
      <c r="O16" s="534"/>
      <c r="P16" s="2715"/>
      <c r="Q16" s="535">
        <f t="shared" si="0"/>
        <v>0</v>
      </c>
      <c r="R16" s="535"/>
      <c r="S16" s="985">
        <f>'Ab1. RMNCH+A'!Q452</f>
        <v>0</v>
      </c>
      <c r="T16" s="4015"/>
      <c r="U16" s="1692">
        <f>'Ab1. RMNCH+A'!R452</f>
        <v>0</v>
      </c>
      <c r="V16" s="3501">
        <f t="shared" ref="V16:V17" si="1">Q16-U16</f>
        <v>0</v>
      </c>
    </row>
    <row r="17" spans="1:22" ht="30" x14ac:dyDescent="0.2">
      <c r="A17" s="1800">
        <v>7</v>
      </c>
      <c r="B17" s="529" t="s">
        <v>3389</v>
      </c>
      <c r="C17" s="529" t="s">
        <v>3390</v>
      </c>
      <c r="D17" s="532" t="s">
        <v>2171</v>
      </c>
      <c r="E17" s="532" t="s">
        <v>2172</v>
      </c>
      <c r="F17" s="538" t="s">
        <v>90</v>
      </c>
      <c r="G17" s="586" t="s">
        <v>3671</v>
      </c>
      <c r="H17" s="2715"/>
      <c r="I17" s="2715"/>
      <c r="J17" s="2717"/>
      <c r="K17" s="2715"/>
      <c r="L17" s="2715"/>
      <c r="M17" s="2716"/>
      <c r="N17" s="2715"/>
      <c r="O17" s="534"/>
      <c r="P17" s="2715"/>
      <c r="Q17" s="535">
        <f t="shared" si="0"/>
        <v>0</v>
      </c>
      <c r="R17" s="535"/>
      <c r="S17" s="985">
        <f>'Ab1. RMNCH+A'!Q453</f>
        <v>0</v>
      </c>
      <c r="T17" s="4015"/>
      <c r="U17" s="1692">
        <f>'Ab1. RMNCH+A'!R453</f>
        <v>0</v>
      </c>
      <c r="V17" s="3501">
        <f t="shared" si="1"/>
        <v>0</v>
      </c>
    </row>
    <row r="18" spans="1:22" ht="30" x14ac:dyDescent="0.2">
      <c r="A18" s="1800">
        <v>8</v>
      </c>
      <c r="B18" s="529" t="s">
        <v>3391</v>
      </c>
      <c r="C18" s="529" t="s">
        <v>3392</v>
      </c>
      <c r="D18" s="539" t="s">
        <v>396</v>
      </c>
      <c r="E18" s="539" t="s">
        <v>2173</v>
      </c>
      <c r="F18" s="1559" t="s">
        <v>85</v>
      </c>
      <c r="G18" s="586" t="s">
        <v>3672</v>
      </c>
      <c r="H18" s="2715"/>
      <c r="I18" s="2715"/>
      <c r="J18" s="2715"/>
      <c r="K18" s="2715"/>
      <c r="L18" s="2715"/>
      <c r="M18" s="2715"/>
      <c r="N18" s="2716"/>
      <c r="O18" s="534"/>
      <c r="P18" s="2715"/>
      <c r="Q18" s="535">
        <f t="shared" si="0"/>
        <v>0</v>
      </c>
      <c r="R18" s="535"/>
      <c r="S18" s="985">
        <f>'Abs16. NMHP'!Q30</f>
        <v>0</v>
      </c>
      <c r="T18" s="4015"/>
      <c r="U18" s="1508">
        <f>'Abs16. NMHP'!R30</f>
        <v>0</v>
      </c>
    </row>
    <row r="19" spans="1:22" x14ac:dyDescent="0.2">
      <c r="A19" s="1800">
        <v>9</v>
      </c>
      <c r="B19" s="529" t="s">
        <v>3393</v>
      </c>
      <c r="C19" s="529" t="s">
        <v>3394</v>
      </c>
      <c r="D19" s="540"/>
      <c r="E19" s="541" t="s">
        <v>307</v>
      </c>
      <c r="F19" s="886" t="s">
        <v>70</v>
      </c>
      <c r="G19" s="586" t="s">
        <v>3338</v>
      </c>
      <c r="H19" s="2718"/>
      <c r="I19" s="2718"/>
      <c r="J19" s="2718"/>
      <c r="K19" s="2719"/>
      <c r="L19" s="2719"/>
      <c r="M19" s="2718"/>
      <c r="N19" s="2720"/>
      <c r="O19" s="534"/>
      <c r="P19" s="2718"/>
      <c r="Q19" s="544">
        <f t="shared" si="0"/>
        <v>0</v>
      </c>
      <c r="R19" s="544"/>
      <c r="S19" s="987"/>
      <c r="T19" s="4015"/>
      <c r="U19" s="1256"/>
    </row>
    <row r="20" spans="1:22" ht="12.95" customHeight="1" x14ac:dyDescent="0.2">
      <c r="A20" s="1800" t="s">
        <v>4359</v>
      </c>
      <c r="B20" s="523" t="s">
        <v>3381</v>
      </c>
      <c r="C20" s="523">
        <v>16.2</v>
      </c>
      <c r="D20" s="524"/>
      <c r="E20" s="523" t="s">
        <v>2940</v>
      </c>
      <c r="F20" s="525"/>
      <c r="G20" s="525"/>
      <c r="H20" s="526"/>
      <c r="I20" s="526"/>
      <c r="J20" s="528"/>
      <c r="K20" s="528"/>
      <c r="L20" s="528"/>
      <c r="M20" s="526"/>
      <c r="N20" s="526"/>
      <c r="O20" s="527"/>
      <c r="P20" s="526"/>
      <c r="Q20" s="528">
        <f>Q21+Q50</f>
        <v>0</v>
      </c>
      <c r="R20" s="528"/>
      <c r="S20" s="1502"/>
      <c r="T20" s="4015"/>
      <c r="U20" s="972">
        <f>U21+U50</f>
        <v>0</v>
      </c>
      <c r="V20" s="3501">
        <f t="shared" ref="V20:V21" si="2">Q20-U20</f>
        <v>0</v>
      </c>
    </row>
    <row r="21" spans="1:22" ht="12.95" customHeight="1" x14ac:dyDescent="0.2">
      <c r="A21" s="1800">
        <v>1</v>
      </c>
      <c r="B21" s="529" t="s">
        <v>3395</v>
      </c>
      <c r="C21" s="529" t="s">
        <v>3396</v>
      </c>
      <c r="D21" s="529"/>
      <c r="E21" s="529" t="s">
        <v>2174</v>
      </c>
      <c r="F21" s="530"/>
      <c r="G21" s="530"/>
      <c r="H21" s="531"/>
      <c r="I21" s="531"/>
      <c r="J21" s="177"/>
      <c r="K21" s="177"/>
      <c r="L21" s="177"/>
      <c r="M21" s="531"/>
      <c r="N21" s="531"/>
      <c r="O21" s="177"/>
      <c r="P21" s="531"/>
      <c r="Q21" s="177">
        <f>SUM(Q22:Q49)</f>
        <v>0</v>
      </c>
      <c r="R21" s="177"/>
      <c r="S21" s="1513"/>
      <c r="T21" s="4015"/>
      <c r="U21" s="1802">
        <f>SUM(U22:U49)</f>
        <v>0</v>
      </c>
      <c r="V21" s="3501">
        <f t="shared" si="2"/>
        <v>0</v>
      </c>
    </row>
    <row r="22" spans="1:22" ht="30" x14ac:dyDescent="0.2">
      <c r="A22" s="1800" t="s">
        <v>4941</v>
      </c>
      <c r="B22" s="529" t="s">
        <v>3397</v>
      </c>
      <c r="C22" s="529" t="s">
        <v>3398</v>
      </c>
      <c r="D22" s="532" t="s">
        <v>838</v>
      </c>
      <c r="E22" s="532" t="s">
        <v>2175</v>
      </c>
      <c r="F22" s="538" t="s">
        <v>90</v>
      </c>
      <c r="G22" s="586" t="s">
        <v>3341</v>
      </c>
      <c r="H22" s="2715"/>
      <c r="I22" s="2723"/>
      <c r="J22" s="2723"/>
      <c r="K22" s="2723"/>
      <c r="L22" s="2723"/>
      <c r="M22" s="2723"/>
      <c r="N22" s="2723"/>
      <c r="O22" s="534"/>
      <c r="P22" s="2715"/>
      <c r="Q22" s="535">
        <f t="shared" ref="Q22:Q40" si="3">O22*P22</f>
        <v>0</v>
      </c>
      <c r="R22" s="535"/>
      <c r="S22" s="985">
        <f>'Ab1. RMNCH+A'!Q454</f>
        <v>0</v>
      </c>
      <c r="T22" s="4015"/>
      <c r="U22" s="1803">
        <f>'Ab1. RMNCH+A'!R454</f>
        <v>0</v>
      </c>
    </row>
    <row r="23" spans="1:22" x14ac:dyDescent="0.2">
      <c r="A23" s="1800" t="s">
        <v>4942</v>
      </c>
      <c r="B23" s="529" t="s">
        <v>3399</v>
      </c>
      <c r="C23" s="529" t="s">
        <v>3400</v>
      </c>
      <c r="D23" s="541"/>
      <c r="E23" s="532" t="s">
        <v>2477</v>
      </c>
      <c r="F23" s="538" t="s">
        <v>90</v>
      </c>
      <c r="G23" s="586" t="s">
        <v>3341</v>
      </c>
      <c r="H23" s="2715"/>
      <c r="I23" s="2721"/>
      <c r="J23" s="2721"/>
      <c r="K23" s="2721"/>
      <c r="L23" s="2721"/>
      <c r="M23" s="2721"/>
      <c r="N23" s="2724"/>
      <c r="O23" s="534"/>
      <c r="P23" s="2715"/>
      <c r="Q23" s="535">
        <f t="shared" si="3"/>
        <v>0</v>
      </c>
      <c r="R23" s="535"/>
      <c r="S23" s="985">
        <f>'Ab1. RMNCH+A'!Q455</f>
        <v>0</v>
      </c>
      <c r="T23" s="4015"/>
      <c r="U23" s="1803">
        <f>'Ab1. RMNCH+A'!R455</f>
        <v>0</v>
      </c>
    </row>
    <row r="24" spans="1:22" ht="30" x14ac:dyDescent="0.2">
      <c r="A24" s="1800" t="s">
        <v>4825</v>
      </c>
      <c r="B24" s="529" t="s">
        <v>3401</v>
      </c>
      <c r="C24" s="529" t="s">
        <v>3402</v>
      </c>
      <c r="D24" s="541"/>
      <c r="E24" s="541" t="s">
        <v>3673</v>
      </c>
      <c r="F24" s="538" t="s">
        <v>90</v>
      </c>
      <c r="G24" s="586" t="s">
        <v>3341</v>
      </c>
      <c r="H24" s="2715"/>
      <c r="I24" s="2721"/>
      <c r="J24" s="2721"/>
      <c r="K24" s="2721"/>
      <c r="L24" s="2721"/>
      <c r="M24" s="2721"/>
      <c r="N24" s="2723"/>
      <c r="O24" s="534"/>
      <c r="P24" s="2715"/>
      <c r="Q24" s="535">
        <f t="shared" si="3"/>
        <v>0</v>
      </c>
      <c r="R24" s="535"/>
      <c r="S24" s="985">
        <f>'Ab1. RMNCH+A'!Q456</f>
        <v>0</v>
      </c>
      <c r="T24" s="4015"/>
      <c r="U24" s="1803">
        <f>'Ab1. RMNCH+A'!R456</f>
        <v>0</v>
      </c>
    </row>
    <row r="25" spans="1:22" ht="60" x14ac:dyDescent="0.2">
      <c r="A25" s="1800" t="s">
        <v>4944</v>
      </c>
      <c r="B25" s="529" t="s">
        <v>3403</v>
      </c>
      <c r="C25" s="529" t="s">
        <v>3404</v>
      </c>
      <c r="D25" s="532" t="s">
        <v>888</v>
      </c>
      <c r="E25" s="532" t="s">
        <v>2496</v>
      </c>
      <c r="F25" s="538" t="s">
        <v>90</v>
      </c>
      <c r="G25" s="586" t="s">
        <v>3674</v>
      </c>
      <c r="H25" s="2715"/>
      <c r="I25" s="2718"/>
      <c r="J25" s="2725"/>
      <c r="K25" s="2718"/>
      <c r="L25" s="2718"/>
      <c r="M25" s="2716"/>
      <c r="N25" s="2715"/>
      <c r="O25" s="534"/>
      <c r="P25" s="2715"/>
      <c r="Q25" s="535">
        <f t="shared" si="3"/>
        <v>0</v>
      </c>
      <c r="R25" s="535"/>
      <c r="S25" s="985">
        <f>'Ab1. RMNCH+A'!Q457</f>
        <v>0</v>
      </c>
      <c r="T25" s="4015"/>
      <c r="U25" s="1803">
        <f>'Ab1. RMNCH+A'!R457</f>
        <v>0</v>
      </c>
      <c r="V25" s="3501">
        <f t="shared" ref="V25:V26" si="4">Q25-U25</f>
        <v>0</v>
      </c>
    </row>
    <row r="26" spans="1:22" ht="30" x14ac:dyDescent="0.2">
      <c r="A26" s="1800" t="s">
        <v>4943</v>
      </c>
      <c r="B26" s="529" t="s">
        <v>3405</v>
      </c>
      <c r="C26" s="529" t="s">
        <v>3406</v>
      </c>
      <c r="D26" s="537" t="s">
        <v>2176</v>
      </c>
      <c r="E26" s="532" t="s">
        <v>2497</v>
      </c>
      <c r="F26" s="538" t="s">
        <v>90</v>
      </c>
      <c r="G26" s="586" t="s">
        <v>3674</v>
      </c>
      <c r="H26" s="2715"/>
      <c r="I26" s="2718"/>
      <c r="J26" s="2726"/>
      <c r="K26" s="2718"/>
      <c r="L26" s="2718"/>
      <c r="M26" s="2716"/>
      <c r="N26" s="2715"/>
      <c r="O26" s="534"/>
      <c r="P26" s="2715"/>
      <c r="Q26" s="535">
        <f t="shared" si="3"/>
        <v>0</v>
      </c>
      <c r="R26" s="535"/>
      <c r="S26" s="985">
        <f>'Ab1. RMNCH+A'!Q458</f>
        <v>0</v>
      </c>
      <c r="T26" s="4015"/>
      <c r="U26" s="1803">
        <f>'Ab1. RMNCH+A'!R458</f>
        <v>0</v>
      </c>
      <c r="V26" s="3501">
        <f t="shared" si="4"/>
        <v>0</v>
      </c>
    </row>
    <row r="27" spans="1:22" ht="30" x14ac:dyDescent="0.2">
      <c r="A27" s="1800" t="s">
        <v>5030</v>
      </c>
      <c r="B27" s="529" t="s">
        <v>3407</v>
      </c>
      <c r="C27" s="529" t="s">
        <v>3408</v>
      </c>
      <c r="D27" s="532" t="s">
        <v>957</v>
      </c>
      <c r="E27" s="532" t="s">
        <v>2177</v>
      </c>
      <c r="F27" s="538" t="s">
        <v>90</v>
      </c>
      <c r="G27" s="586" t="s">
        <v>3675</v>
      </c>
      <c r="H27" s="2715"/>
      <c r="I27" s="2715"/>
      <c r="J27" s="2726"/>
      <c r="K27" s="2715"/>
      <c r="L27" s="2715"/>
      <c r="M27" s="2716"/>
      <c r="N27" s="2715"/>
      <c r="O27" s="534"/>
      <c r="P27" s="2715"/>
      <c r="Q27" s="535">
        <f t="shared" si="3"/>
        <v>0</v>
      </c>
      <c r="R27" s="535"/>
      <c r="S27" s="985">
        <f>'Ab1. RMNCH+A'!Q459</f>
        <v>0</v>
      </c>
      <c r="T27" s="4015"/>
      <c r="U27" s="1803">
        <f>'Ab1. RMNCH+A'!R459</f>
        <v>0</v>
      </c>
    </row>
    <row r="28" spans="1:22" x14ac:dyDescent="0.2">
      <c r="A28" s="1800" t="s">
        <v>5031</v>
      </c>
      <c r="B28" s="529" t="s">
        <v>3409</v>
      </c>
      <c r="C28" s="529" t="s">
        <v>3410</v>
      </c>
      <c r="D28" s="532" t="s">
        <v>2166</v>
      </c>
      <c r="E28" s="532" t="s">
        <v>2178</v>
      </c>
      <c r="F28" s="538" t="s">
        <v>90</v>
      </c>
      <c r="G28" s="586" t="s">
        <v>3669</v>
      </c>
      <c r="H28" s="2715"/>
      <c r="I28" s="2715"/>
      <c r="J28" s="2715"/>
      <c r="K28" s="2715"/>
      <c r="L28" s="2715"/>
      <c r="M28" s="2715"/>
      <c r="N28" s="2716"/>
      <c r="O28" s="534"/>
      <c r="P28" s="2715"/>
      <c r="Q28" s="535">
        <f t="shared" si="3"/>
        <v>0</v>
      </c>
      <c r="R28" s="535"/>
      <c r="S28" s="985">
        <f>'Ab1. RMNCH+A'!Q460</f>
        <v>0</v>
      </c>
      <c r="T28" s="4015"/>
      <c r="U28" s="1803">
        <f>'Ab1. RMNCH+A'!R460</f>
        <v>0</v>
      </c>
    </row>
    <row r="29" spans="1:22" x14ac:dyDescent="0.2">
      <c r="A29" s="1800" t="s">
        <v>5032</v>
      </c>
      <c r="B29" s="529" t="s">
        <v>3411</v>
      </c>
      <c r="C29" s="529" t="s">
        <v>3412</v>
      </c>
      <c r="D29" s="532" t="s">
        <v>2179</v>
      </c>
      <c r="E29" s="532" t="s">
        <v>2180</v>
      </c>
      <c r="F29" s="886" t="s">
        <v>70</v>
      </c>
      <c r="G29" s="586" t="s">
        <v>3683</v>
      </c>
      <c r="H29" s="2715"/>
      <c r="I29" s="2715"/>
      <c r="J29" s="2726"/>
      <c r="K29" s="2715"/>
      <c r="L29" s="2715"/>
      <c r="M29" s="2716"/>
      <c r="N29" s="2715"/>
      <c r="O29" s="534"/>
      <c r="P29" s="2715"/>
      <c r="Q29" s="535">
        <f t="shared" si="3"/>
        <v>0</v>
      </c>
      <c r="R29" s="535"/>
      <c r="S29" s="987"/>
      <c r="T29" s="4015"/>
      <c r="U29" s="1256"/>
      <c r="V29" s="3501">
        <f>Q29-U29</f>
        <v>0</v>
      </c>
    </row>
    <row r="30" spans="1:22" ht="45" x14ac:dyDescent="0.2">
      <c r="A30" s="1800" t="s">
        <v>5186</v>
      </c>
      <c r="B30" s="529" t="s">
        <v>3413</v>
      </c>
      <c r="C30" s="529" t="s">
        <v>3414</v>
      </c>
      <c r="D30" s="532" t="s">
        <v>2181</v>
      </c>
      <c r="E30" s="532" t="s">
        <v>2182</v>
      </c>
      <c r="F30" s="886" t="s">
        <v>70</v>
      </c>
      <c r="G30" s="586" t="s">
        <v>5193</v>
      </c>
      <c r="H30" s="2715"/>
      <c r="I30" s="2715"/>
      <c r="J30" s="2715"/>
      <c r="K30" s="2715"/>
      <c r="L30" s="2715"/>
      <c r="M30" s="2715"/>
      <c r="N30" s="2716"/>
      <c r="O30" s="534"/>
      <c r="P30" s="2715"/>
      <c r="Q30" s="535">
        <f t="shared" si="3"/>
        <v>0</v>
      </c>
      <c r="R30" s="535"/>
      <c r="S30" s="985">
        <f>'Ab3. ASHA'!Q104</f>
        <v>0</v>
      </c>
      <c r="T30" s="4015"/>
      <c r="U30" s="1252">
        <f>'Ab3. ASHA'!R104</f>
        <v>0</v>
      </c>
    </row>
    <row r="31" spans="1:22" ht="30" x14ac:dyDescent="0.2">
      <c r="A31" s="1800" t="s">
        <v>5033</v>
      </c>
      <c r="B31" s="529" t="s">
        <v>3415</v>
      </c>
      <c r="C31" s="529" t="s">
        <v>3416</v>
      </c>
      <c r="D31" s="532" t="s">
        <v>2183</v>
      </c>
      <c r="E31" s="532" t="s">
        <v>2184</v>
      </c>
      <c r="F31" s="886" t="s">
        <v>70</v>
      </c>
      <c r="G31" s="586" t="s">
        <v>3338</v>
      </c>
      <c r="H31" s="2727"/>
      <c r="I31" s="2715"/>
      <c r="J31" s="2726"/>
      <c r="K31" s="2715"/>
      <c r="L31" s="2715"/>
      <c r="M31" s="2716"/>
      <c r="N31" s="2715"/>
      <c r="O31" s="534"/>
      <c r="P31" s="2727"/>
      <c r="Q31" s="535">
        <f t="shared" si="3"/>
        <v>0</v>
      </c>
      <c r="R31" s="535"/>
      <c r="S31" s="987"/>
      <c r="T31" s="4015"/>
      <c r="U31" s="1256"/>
      <c r="V31" s="3501">
        <f t="shared" ref="V31:V37" si="5">Q31-U31</f>
        <v>0</v>
      </c>
    </row>
    <row r="32" spans="1:22" ht="30" x14ac:dyDescent="0.2">
      <c r="A32" s="1800" t="s">
        <v>5034</v>
      </c>
      <c r="B32" s="529" t="s">
        <v>3417</v>
      </c>
      <c r="C32" s="529" t="s">
        <v>3418</v>
      </c>
      <c r="D32" s="532" t="s">
        <v>2185</v>
      </c>
      <c r="E32" s="532" t="s">
        <v>2186</v>
      </c>
      <c r="F32" s="886" t="s">
        <v>70</v>
      </c>
      <c r="G32" s="586" t="s">
        <v>3338</v>
      </c>
      <c r="H32" s="2727"/>
      <c r="I32" s="2715"/>
      <c r="J32" s="2726"/>
      <c r="K32" s="2715"/>
      <c r="L32" s="2715"/>
      <c r="M32" s="2716"/>
      <c r="N32" s="2715"/>
      <c r="O32" s="534"/>
      <c r="P32" s="2727"/>
      <c r="Q32" s="535">
        <f t="shared" si="3"/>
        <v>0</v>
      </c>
      <c r="R32" s="535"/>
      <c r="S32" s="987"/>
      <c r="T32" s="4015"/>
      <c r="U32" s="1256"/>
      <c r="V32" s="3501">
        <f t="shared" si="5"/>
        <v>0</v>
      </c>
    </row>
    <row r="33" spans="1:22" ht="30" x14ac:dyDescent="0.2">
      <c r="A33" s="1800" t="s">
        <v>4865</v>
      </c>
      <c r="B33" s="529" t="s">
        <v>3419</v>
      </c>
      <c r="C33" s="529" t="s">
        <v>3420</v>
      </c>
      <c r="D33" s="532" t="s">
        <v>2187</v>
      </c>
      <c r="E33" s="532" t="s">
        <v>2188</v>
      </c>
      <c r="F33" s="891" t="s">
        <v>85</v>
      </c>
      <c r="G33" s="586" t="s">
        <v>4781</v>
      </c>
      <c r="H33" s="2727"/>
      <c r="I33" s="2715"/>
      <c r="J33" s="2726"/>
      <c r="K33" s="2715"/>
      <c r="L33" s="2715"/>
      <c r="M33" s="2716"/>
      <c r="N33" s="2715"/>
      <c r="O33" s="534"/>
      <c r="P33" s="2727"/>
      <c r="Q33" s="535">
        <f t="shared" si="3"/>
        <v>0</v>
      </c>
      <c r="R33" s="535"/>
      <c r="S33" s="985">
        <f>'Abs23. NPPCF'!Q20</f>
        <v>0</v>
      </c>
      <c r="T33" s="4015"/>
      <c r="U33" s="1252">
        <f>'Abs23. NPPCF'!R20</f>
        <v>0</v>
      </c>
      <c r="V33" s="3501">
        <f t="shared" si="5"/>
        <v>0</v>
      </c>
    </row>
    <row r="34" spans="1:22" ht="30" x14ac:dyDescent="0.2">
      <c r="A34" s="1800" t="s">
        <v>5035</v>
      </c>
      <c r="B34" s="529" t="s">
        <v>3421</v>
      </c>
      <c r="C34" s="529" t="s">
        <v>3422</v>
      </c>
      <c r="D34" s="532" t="s">
        <v>2189</v>
      </c>
      <c r="E34" s="532" t="s">
        <v>2190</v>
      </c>
      <c r="F34" s="538" t="s">
        <v>90</v>
      </c>
      <c r="G34" s="586" t="s">
        <v>3671</v>
      </c>
      <c r="H34" s="2728"/>
      <c r="I34" s="2729"/>
      <c r="J34" s="2730"/>
      <c r="K34" s="2729"/>
      <c r="L34" s="2729"/>
      <c r="M34" s="2731"/>
      <c r="N34" s="2729"/>
      <c r="O34" s="534"/>
      <c r="P34" s="2728"/>
      <c r="Q34" s="535">
        <f t="shared" si="3"/>
        <v>0</v>
      </c>
      <c r="R34" s="535"/>
      <c r="S34" s="985">
        <f>'Ab1. RMNCH+A'!Q461</f>
        <v>0</v>
      </c>
      <c r="T34" s="4015"/>
      <c r="U34" s="1692">
        <f>'Ab1. RMNCH+A'!R461</f>
        <v>0</v>
      </c>
      <c r="V34" s="3501">
        <f t="shared" si="5"/>
        <v>0</v>
      </c>
    </row>
    <row r="35" spans="1:22" ht="45" x14ac:dyDescent="0.2">
      <c r="A35" s="1800" t="s">
        <v>4837</v>
      </c>
      <c r="B35" s="529" t="s">
        <v>3423</v>
      </c>
      <c r="C35" s="529" t="s">
        <v>3424</v>
      </c>
      <c r="D35" s="532" t="s">
        <v>2191</v>
      </c>
      <c r="E35" s="532" t="s">
        <v>2192</v>
      </c>
      <c r="F35" s="538" t="s">
        <v>90</v>
      </c>
      <c r="G35" s="586" t="s">
        <v>3671</v>
      </c>
      <c r="H35" s="2728"/>
      <c r="I35" s="2729"/>
      <c r="J35" s="2730"/>
      <c r="K35" s="2729"/>
      <c r="L35" s="2729"/>
      <c r="M35" s="2731"/>
      <c r="N35" s="2729"/>
      <c r="O35" s="534"/>
      <c r="P35" s="2728"/>
      <c r="Q35" s="535">
        <f t="shared" si="3"/>
        <v>0</v>
      </c>
      <c r="R35" s="535"/>
      <c r="S35" s="985">
        <f>'Ab1. RMNCH+A'!Q462</f>
        <v>0</v>
      </c>
      <c r="T35" s="4015"/>
      <c r="U35" s="1692">
        <f>'Ab1. RMNCH+A'!R462</f>
        <v>0</v>
      </c>
      <c r="V35" s="3501">
        <f t="shared" si="5"/>
        <v>0</v>
      </c>
    </row>
    <row r="36" spans="1:22" ht="30" x14ac:dyDescent="0.2">
      <c r="A36" s="1800" t="s">
        <v>4835</v>
      </c>
      <c r="B36" s="529" t="s">
        <v>3425</v>
      </c>
      <c r="C36" s="529" t="s">
        <v>3426</v>
      </c>
      <c r="D36" s="532" t="s">
        <v>2193</v>
      </c>
      <c r="E36" s="532" t="s">
        <v>2194</v>
      </c>
      <c r="F36" s="538" t="s">
        <v>90</v>
      </c>
      <c r="G36" s="586" t="s">
        <v>3671</v>
      </c>
      <c r="H36" s="2728"/>
      <c r="I36" s="2729"/>
      <c r="J36" s="2730"/>
      <c r="K36" s="2729"/>
      <c r="L36" s="2729"/>
      <c r="M36" s="2731"/>
      <c r="N36" s="2729"/>
      <c r="O36" s="534"/>
      <c r="P36" s="2728"/>
      <c r="Q36" s="535">
        <f t="shared" si="3"/>
        <v>0</v>
      </c>
      <c r="R36" s="535"/>
      <c r="S36" s="985">
        <f>'Ab1. RMNCH+A'!Q463</f>
        <v>0</v>
      </c>
      <c r="T36" s="4015"/>
      <c r="U36" s="1692">
        <f>'Ab1. RMNCH+A'!R463</f>
        <v>0</v>
      </c>
      <c r="V36" s="3501">
        <f t="shared" si="5"/>
        <v>0</v>
      </c>
    </row>
    <row r="37" spans="1:22" x14ac:dyDescent="0.2">
      <c r="A37" s="1800" t="s">
        <v>5036</v>
      </c>
      <c r="B37" s="529" t="s">
        <v>3427</v>
      </c>
      <c r="C37" s="529" t="s">
        <v>3428</v>
      </c>
      <c r="D37" s="539" t="s">
        <v>2195</v>
      </c>
      <c r="E37" s="539" t="s">
        <v>2196</v>
      </c>
      <c r="F37" s="980" t="s">
        <v>4366</v>
      </c>
      <c r="G37" s="586" t="s">
        <v>3677</v>
      </c>
      <c r="H37" s="2727"/>
      <c r="I37" s="2715"/>
      <c r="J37" s="2726"/>
      <c r="K37" s="2715"/>
      <c r="L37" s="2715"/>
      <c r="M37" s="2716"/>
      <c r="N37" s="2715"/>
      <c r="O37" s="534"/>
      <c r="P37" s="2727"/>
      <c r="Q37" s="535">
        <f t="shared" si="3"/>
        <v>0</v>
      </c>
      <c r="R37" s="535"/>
      <c r="S37" s="985">
        <f>'Abs8. IDSP'!Q30</f>
        <v>0</v>
      </c>
      <c r="T37" s="4015"/>
      <c r="U37" s="1252">
        <f>'Abs8. IDSP'!R30</f>
        <v>0</v>
      </c>
      <c r="V37" s="3501">
        <f t="shared" si="5"/>
        <v>0</v>
      </c>
    </row>
    <row r="38" spans="1:22" ht="60" x14ac:dyDescent="0.2">
      <c r="A38" s="1800" t="s">
        <v>5037</v>
      </c>
      <c r="B38" s="529" t="s">
        <v>3429</v>
      </c>
      <c r="C38" s="529" t="s">
        <v>3430</v>
      </c>
      <c r="D38" s="539" t="s">
        <v>1544</v>
      </c>
      <c r="E38" s="539" t="s">
        <v>2197</v>
      </c>
      <c r="F38" s="980" t="s">
        <v>4366</v>
      </c>
      <c r="G38" s="586" t="s">
        <v>4987</v>
      </c>
      <c r="H38" s="2715"/>
      <c r="I38" s="2715"/>
      <c r="J38" s="2715"/>
      <c r="K38" s="2715"/>
      <c r="L38" s="2715"/>
      <c r="M38" s="2715"/>
      <c r="N38" s="2716"/>
      <c r="O38" s="534"/>
      <c r="P38" s="2715"/>
      <c r="Q38" s="535">
        <f t="shared" si="3"/>
        <v>0</v>
      </c>
      <c r="R38" s="535"/>
      <c r="S38" s="985">
        <f>'Abs9. NVBDCP'!Q109</f>
        <v>0</v>
      </c>
      <c r="T38" s="4015"/>
      <c r="U38" s="1252">
        <f>'Abs9. NVBDCP'!R109</f>
        <v>0</v>
      </c>
    </row>
    <row r="39" spans="1:22" s="1804" customFormat="1" ht="90" x14ac:dyDescent="0.2">
      <c r="A39" s="1798" t="s">
        <v>5038</v>
      </c>
      <c r="B39" s="529" t="s">
        <v>3431</v>
      </c>
      <c r="C39" s="529"/>
      <c r="D39" s="545"/>
      <c r="E39" s="545" t="s">
        <v>4437</v>
      </c>
      <c r="F39" s="980" t="s">
        <v>4366</v>
      </c>
      <c r="G39" s="587" t="s">
        <v>4987</v>
      </c>
      <c r="H39" s="2718"/>
      <c r="I39" s="2718"/>
      <c r="J39" s="2718"/>
      <c r="K39" s="2718"/>
      <c r="L39" s="2718"/>
      <c r="M39" s="2720"/>
      <c r="N39" s="2720"/>
      <c r="O39" s="534"/>
      <c r="P39" s="2718"/>
      <c r="Q39" s="544">
        <f t="shared" si="3"/>
        <v>0</v>
      </c>
      <c r="R39" s="544"/>
      <c r="S39" s="985">
        <f>'Abs9. NVBDCP'!Q110</f>
        <v>0</v>
      </c>
      <c r="T39" s="4015"/>
      <c r="U39" s="1252">
        <f>'Abs9. NVBDCP'!R110</f>
        <v>0</v>
      </c>
      <c r="V39" s="3501">
        <f>Q39-U39</f>
        <v>0</v>
      </c>
    </row>
    <row r="40" spans="1:22" ht="30" x14ac:dyDescent="0.2">
      <c r="A40" s="1800" t="s">
        <v>5039</v>
      </c>
      <c r="B40" s="529" t="s">
        <v>3433</v>
      </c>
      <c r="C40" s="529" t="s">
        <v>3432</v>
      </c>
      <c r="D40" s="539" t="s">
        <v>2198</v>
      </c>
      <c r="E40" s="539" t="s">
        <v>2199</v>
      </c>
      <c r="F40" s="980" t="s">
        <v>4366</v>
      </c>
      <c r="G40" s="586" t="s">
        <v>4988</v>
      </c>
      <c r="H40" s="2715"/>
      <c r="I40" s="2715"/>
      <c r="J40" s="2715"/>
      <c r="K40" s="2715"/>
      <c r="L40" s="2715"/>
      <c r="M40" s="2715"/>
      <c r="N40" s="2716"/>
      <c r="O40" s="534"/>
      <c r="P40" s="2715"/>
      <c r="Q40" s="535">
        <f t="shared" si="3"/>
        <v>0</v>
      </c>
      <c r="R40" s="535"/>
      <c r="S40" s="985">
        <f>'Abs9. NVBDCP'!Q111</f>
        <v>0</v>
      </c>
      <c r="T40" s="4015"/>
      <c r="U40" s="1252">
        <f>'Abs9. NVBDCP'!R111</f>
        <v>0</v>
      </c>
    </row>
    <row r="41" spans="1:22" x14ac:dyDescent="0.2">
      <c r="A41" s="1800" t="s">
        <v>4836</v>
      </c>
      <c r="B41" s="529" t="s">
        <v>3435</v>
      </c>
      <c r="C41" s="529" t="s">
        <v>3434</v>
      </c>
      <c r="D41" s="539" t="s">
        <v>2200</v>
      </c>
      <c r="E41" s="539" t="s">
        <v>2201</v>
      </c>
      <c r="F41" s="980" t="s">
        <v>4366</v>
      </c>
      <c r="G41" s="586" t="s">
        <v>3679</v>
      </c>
      <c r="H41" s="2728"/>
      <c r="I41" s="2729"/>
      <c r="J41" s="2732"/>
      <c r="K41" s="2733"/>
      <c r="L41" s="2729"/>
      <c r="M41" s="2731"/>
      <c r="N41" s="2729"/>
      <c r="O41" s="534"/>
      <c r="P41" s="2728"/>
      <c r="Q41" s="534">
        <f t="shared" ref="Q41:Q49" si="6">O41*P41</f>
        <v>0</v>
      </c>
      <c r="R41" s="534"/>
      <c r="S41" s="985">
        <f>'Abs10. NLEP'!Q38</f>
        <v>0</v>
      </c>
      <c r="T41" s="4015"/>
      <c r="U41" s="1547">
        <f>'Abs10. NLEP'!R38</f>
        <v>0</v>
      </c>
      <c r="V41" s="3501">
        <f t="shared" ref="V41:V42" si="7">Q41-U41</f>
        <v>0</v>
      </c>
    </row>
    <row r="42" spans="1:22" x14ac:dyDescent="0.2">
      <c r="A42" s="1800" t="s">
        <v>5040</v>
      </c>
      <c r="B42" s="529" t="s">
        <v>3437</v>
      </c>
      <c r="C42" s="529" t="s">
        <v>3436</v>
      </c>
      <c r="D42" s="539" t="s">
        <v>1088</v>
      </c>
      <c r="E42" s="539" t="s">
        <v>2202</v>
      </c>
      <c r="F42" s="980" t="s">
        <v>4366</v>
      </c>
      <c r="G42" s="586" t="s">
        <v>4682</v>
      </c>
      <c r="H42" s="2727"/>
      <c r="I42" s="2715"/>
      <c r="J42" s="2726"/>
      <c r="K42" s="2715"/>
      <c r="L42" s="2715"/>
      <c r="M42" s="2716"/>
      <c r="N42" s="2715"/>
      <c r="O42" s="534"/>
      <c r="P42" s="2727"/>
      <c r="Q42" s="535">
        <f t="shared" si="6"/>
        <v>0</v>
      </c>
      <c r="R42" s="535"/>
      <c r="S42" s="985">
        <f>'Abs11. NTEP'!Q57</f>
        <v>0</v>
      </c>
      <c r="T42" s="4015"/>
      <c r="U42" s="1508">
        <f>'Abs11. NTEP'!R57</f>
        <v>0</v>
      </c>
      <c r="V42" s="3501">
        <f t="shared" si="7"/>
        <v>0</v>
      </c>
    </row>
    <row r="43" spans="1:22" ht="30" x14ac:dyDescent="0.2">
      <c r="A43" s="1800" t="s">
        <v>5041</v>
      </c>
      <c r="B43" s="529" t="s">
        <v>4011</v>
      </c>
      <c r="C43" s="529" t="s">
        <v>3438</v>
      </c>
      <c r="D43" s="548" t="s">
        <v>2203</v>
      </c>
      <c r="E43" s="539" t="s">
        <v>5279</v>
      </c>
      <c r="F43" s="1559" t="s">
        <v>85</v>
      </c>
      <c r="G43" s="586" t="s">
        <v>3680</v>
      </c>
      <c r="H43" s="2715"/>
      <c r="I43" s="2715"/>
      <c r="J43" s="2715"/>
      <c r="K43" s="2715"/>
      <c r="L43" s="2715"/>
      <c r="M43" s="2715"/>
      <c r="N43" s="2716"/>
      <c r="O43" s="534"/>
      <c r="P43" s="2715"/>
      <c r="Q43" s="535">
        <f t="shared" si="6"/>
        <v>0</v>
      </c>
      <c r="R43" s="535"/>
      <c r="S43" s="985">
        <f>'Abs18. NTCP'!Q29</f>
        <v>0</v>
      </c>
      <c r="T43" s="4015"/>
      <c r="U43" s="1508">
        <f>'Abs18. NTCP'!R29</f>
        <v>0</v>
      </c>
    </row>
    <row r="44" spans="1:22" ht="30" x14ac:dyDescent="0.2">
      <c r="A44" s="1800" t="s">
        <v>5042</v>
      </c>
      <c r="B44" s="529" t="s">
        <v>3819</v>
      </c>
      <c r="C44" s="529"/>
      <c r="D44" s="541"/>
      <c r="E44" s="532" t="s">
        <v>4009</v>
      </c>
      <c r="F44" s="1559" t="s">
        <v>85</v>
      </c>
      <c r="G44" s="586" t="s">
        <v>4510</v>
      </c>
      <c r="H44" s="2715"/>
      <c r="I44" s="2715"/>
      <c r="J44" s="2715"/>
      <c r="K44" s="2715"/>
      <c r="L44" s="2715"/>
      <c r="M44" s="2715"/>
      <c r="N44" s="2716"/>
      <c r="O44" s="534"/>
      <c r="P44" s="2715"/>
      <c r="Q44" s="535">
        <f t="shared" si="6"/>
        <v>0</v>
      </c>
      <c r="R44" s="535"/>
      <c r="S44" s="985">
        <f>'Abs21. NPCCHH'!Q20</f>
        <v>0</v>
      </c>
      <c r="T44" s="4015"/>
      <c r="U44" s="1252">
        <f>'Abs21. NPCCHH'!R20</f>
        <v>0</v>
      </c>
      <c r="V44" s="3501">
        <f t="shared" ref="V44:V45" si="8">Q44-U44</f>
        <v>0</v>
      </c>
    </row>
    <row r="45" spans="1:22" ht="45" x14ac:dyDescent="0.2">
      <c r="A45" s="1800" t="s">
        <v>5043</v>
      </c>
      <c r="B45" s="529" t="s">
        <v>4013</v>
      </c>
      <c r="C45" s="529"/>
      <c r="D45" s="541"/>
      <c r="E45" s="532" t="s">
        <v>4012</v>
      </c>
      <c r="F45" s="1559" t="s">
        <v>85</v>
      </c>
      <c r="G45" s="586" t="s">
        <v>4510</v>
      </c>
      <c r="H45" s="2715"/>
      <c r="I45" s="2715"/>
      <c r="J45" s="2715"/>
      <c r="K45" s="2715"/>
      <c r="L45" s="2715"/>
      <c r="M45" s="2715"/>
      <c r="N45" s="2716"/>
      <c r="O45" s="534"/>
      <c r="P45" s="2715"/>
      <c r="Q45" s="535">
        <f t="shared" si="6"/>
        <v>0</v>
      </c>
      <c r="R45" s="535"/>
      <c r="S45" s="985">
        <f>'Abs21. NPCCHH'!Q21</f>
        <v>0</v>
      </c>
      <c r="T45" s="4015"/>
      <c r="U45" s="1252">
        <f>'Abs21. NPCCHH'!R21</f>
        <v>0</v>
      </c>
      <c r="V45" s="3501">
        <f t="shared" si="8"/>
        <v>0</v>
      </c>
    </row>
    <row r="46" spans="1:22" s="1804" customFormat="1" x14ac:dyDescent="0.2">
      <c r="A46" s="1798" t="s">
        <v>4845</v>
      </c>
      <c r="B46" s="529" t="s">
        <v>4419</v>
      </c>
      <c r="C46" s="529"/>
      <c r="D46" s="541"/>
      <c r="E46" s="541" t="s">
        <v>4420</v>
      </c>
      <c r="F46" s="980" t="s">
        <v>4366</v>
      </c>
      <c r="G46" s="587" t="s">
        <v>3345</v>
      </c>
      <c r="H46" s="2718"/>
      <c r="I46" s="2718"/>
      <c r="J46" s="2718"/>
      <c r="K46" s="2718"/>
      <c r="L46" s="2718"/>
      <c r="M46" s="2718"/>
      <c r="N46" s="2720"/>
      <c r="O46" s="534"/>
      <c r="P46" s="2718"/>
      <c r="Q46" s="544">
        <f t="shared" si="6"/>
        <v>0</v>
      </c>
      <c r="R46" s="544"/>
      <c r="S46" s="985">
        <f>'Abs12. NVHCP'!Q41</f>
        <v>0</v>
      </c>
      <c r="T46" s="4015"/>
      <c r="U46" s="1508">
        <f>'Abs12. NVHCP'!R41</f>
        <v>0</v>
      </c>
    </row>
    <row r="47" spans="1:22" s="1804" customFormat="1" ht="30" x14ac:dyDescent="0.2">
      <c r="A47" s="1798" t="s">
        <v>5044</v>
      </c>
      <c r="B47" s="529" t="s">
        <v>4433</v>
      </c>
      <c r="C47" s="529"/>
      <c r="D47" s="541"/>
      <c r="E47" s="541" t="s">
        <v>4434</v>
      </c>
      <c r="F47" s="1559" t="s">
        <v>85</v>
      </c>
      <c r="G47" s="587" t="s">
        <v>4435</v>
      </c>
      <c r="H47" s="2718"/>
      <c r="I47" s="2718"/>
      <c r="J47" s="2718"/>
      <c r="K47" s="2718"/>
      <c r="L47" s="2718"/>
      <c r="M47" s="2718"/>
      <c r="N47" s="2720"/>
      <c r="O47" s="534"/>
      <c r="P47" s="2718"/>
      <c r="Q47" s="544">
        <f t="shared" si="6"/>
        <v>0</v>
      </c>
      <c r="R47" s="544"/>
      <c r="S47" s="985">
        <f>'Abs17. NPHCE'!Q33</f>
        <v>0</v>
      </c>
      <c r="T47" s="4015"/>
      <c r="U47" s="1252">
        <f>'Abs17. NPHCE'!R33</f>
        <v>0</v>
      </c>
    </row>
    <row r="48" spans="1:22" s="1804" customFormat="1" ht="30" x14ac:dyDescent="0.2">
      <c r="A48" s="1798" t="s">
        <v>5045</v>
      </c>
      <c r="B48" s="529" t="s">
        <v>4436</v>
      </c>
      <c r="C48" s="529"/>
      <c r="D48" s="541"/>
      <c r="E48" s="541" t="s">
        <v>4498</v>
      </c>
      <c r="F48" s="888" t="s">
        <v>4366</v>
      </c>
      <c r="G48" s="587" t="s">
        <v>4499</v>
      </c>
      <c r="H48" s="2718"/>
      <c r="I48" s="2718"/>
      <c r="J48" s="2718"/>
      <c r="K48" s="2718"/>
      <c r="L48" s="2718"/>
      <c r="M48" s="2718"/>
      <c r="N48" s="2720"/>
      <c r="O48" s="534"/>
      <c r="P48" s="2718"/>
      <c r="Q48" s="544">
        <f t="shared" si="6"/>
        <v>0</v>
      </c>
      <c r="R48" s="544"/>
      <c r="S48" s="985">
        <f>'Abs14. PPCL'!Q16</f>
        <v>0</v>
      </c>
      <c r="T48" s="4015"/>
      <c r="U48" s="1252">
        <f>'Abs14. PPCL'!R16</f>
        <v>0</v>
      </c>
    </row>
    <row r="49" spans="1:22" x14ac:dyDescent="0.2">
      <c r="A49" s="1800" t="s">
        <v>5046</v>
      </c>
      <c r="B49" s="529" t="s">
        <v>4497</v>
      </c>
      <c r="C49" s="529" t="s">
        <v>3820</v>
      </c>
      <c r="D49" s="540"/>
      <c r="E49" s="549" t="s">
        <v>307</v>
      </c>
      <c r="F49" s="886" t="s">
        <v>70</v>
      </c>
      <c r="G49" s="586" t="s">
        <v>3338</v>
      </c>
      <c r="H49" s="2718"/>
      <c r="I49" s="2718"/>
      <c r="J49" s="2718"/>
      <c r="K49" s="2718"/>
      <c r="L49" s="2718"/>
      <c r="M49" s="2718"/>
      <c r="N49" s="2720"/>
      <c r="O49" s="534"/>
      <c r="P49" s="2718"/>
      <c r="Q49" s="544">
        <f t="shared" si="6"/>
        <v>0</v>
      </c>
      <c r="R49" s="544"/>
      <c r="S49" s="987"/>
      <c r="T49" s="4015"/>
      <c r="U49" s="1256"/>
    </row>
    <row r="50" spans="1:22" ht="12.95" customHeight="1" x14ac:dyDescent="0.2">
      <c r="A50" s="2734">
        <v>2</v>
      </c>
      <c r="B50" s="2735" t="s">
        <v>3439</v>
      </c>
      <c r="C50" s="2735" t="s">
        <v>3440</v>
      </c>
      <c r="D50" s="2735"/>
      <c r="E50" s="2735" t="s">
        <v>2204</v>
      </c>
      <c r="F50" s="2736"/>
      <c r="G50" s="2736"/>
      <c r="H50" s="2737"/>
      <c r="I50" s="2737"/>
      <c r="J50" s="2738"/>
      <c r="K50" s="2738"/>
      <c r="L50" s="2738"/>
      <c r="M50" s="2737"/>
      <c r="N50" s="2737"/>
      <c r="O50" s="2738"/>
      <c r="P50" s="2737"/>
      <c r="Q50" s="2738">
        <f>SUM(Q51:Q67)</f>
        <v>0</v>
      </c>
      <c r="R50" s="2738"/>
      <c r="S50" s="2739"/>
      <c r="T50" s="4015"/>
      <c r="U50" s="1802">
        <f>SUM(U51:U67)</f>
        <v>0</v>
      </c>
      <c r="V50" s="3501">
        <f>Q50-U50</f>
        <v>0</v>
      </c>
    </row>
    <row r="51" spans="1:22" ht="30" x14ac:dyDescent="0.2">
      <c r="A51" s="1800" t="s">
        <v>4941</v>
      </c>
      <c r="B51" s="529" t="s">
        <v>3441</v>
      </c>
      <c r="C51" s="529" t="s">
        <v>3442</v>
      </c>
      <c r="D51" s="537" t="s">
        <v>2205</v>
      </c>
      <c r="E51" s="532" t="s">
        <v>2206</v>
      </c>
      <c r="F51" s="538" t="s">
        <v>90</v>
      </c>
      <c r="G51" s="586" t="s">
        <v>3341</v>
      </c>
      <c r="H51" s="2715"/>
      <c r="I51" s="2715"/>
      <c r="J51" s="2715"/>
      <c r="K51" s="2715"/>
      <c r="L51" s="2715"/>
      <c r="M51" s="2715"/>
      <c r="N51" s="2716"/>
      <c r="O51" s="534"/>
      <c r="P51" s="2715"/>
      <c r="Q51" s="535">
        <f t="shared" ref="Q51:Q56" si="9">O51*P51</f>
        <v>0</v>
      </c>
      <c r="R51" s="535"/>
      <c r="S51" s="985">
        <f>'Ab1. RMNCH+A'!Q464</f>
        <v>0</v>
      </c>
      <c r="T51" s="4015"/>
      <c r="U51" s="1692">
        <f>'Ab1. RMNCH+A'!R464</f>
        <v>0</v>
      </c>
    </row>
    <row r="52" spans="1:22" x14ac:dyDescent="0.2">
      <c r="A52" s="1800" t="s">
        <v>4942</v>
      </c>
      <c r="B52" s="529" t="s">
        <v>3443</v>
      </c>
      <c r="C52" s="529" t="s">
        <v>3444</v>
      </c>
      <c r="D52" s="532" t="s">
        <v>2207</v>
      </c>
      <c r="E52" s="532" t="s">
        <v>2208</v>
      </c>
      <c r="F52" s="886" t="s">
        <v>70</v>
      </c>
      <c r="G52" s="586" t="s">
        <v>3681</v>
      </c>
      <c r="H52" s="2715"/>
      <c r="I52" s="2715"/>
      <c r="J52" s="2715"/>
      <c r="K52" s="2715"/>
      <c r="L52" s="2715"/>
      <c r="M52" s="2715"/>
      <c r="N52" s="2716"/>
      <c r="O52" s="534"/>
      <c r="P52" s="2715"/>
      <c r="Q52" s="535">
        <f t="shared" si="9"/>
        <v>0</v>
      </c>
      <c r="R52" s="535"/>
      <c r="S52" s="987"/>
      <c r="T52" s="4015"/>
      <c r="U52" s="1256"/>
    </row>
    <row r="53" spans="1:22" ht="30" x14ac:dyDescent="0.2">
      <c r="A53" s="1800" t="s">
        <v>4825</v>
      </c>
      <c r="B53" s="529" t="s">
        <v>3445</v>
      </c>
      <c r="C53" s="529" t="s">
        <v>3446</v>
      </c>
      <c r="D53" s="532" t="s">
        <v>2183</v>
      </c>
      <c r="E53" s="532" t="s">
        <v>4051</v>
      </c>
      <c r="F53" s="886" t="s">
        <v>70</v>
      </c>
      <c r="G53" s="586" t="s">
        <v>3338</v>
      </c>
      <c r="H53" s="2715"/>
      <c r="I53" s="2718"/>
      <c r="J53" s="2726"/>
      <c r="K53" s="2718"/>
      <c r="L53" s="2718"/>
      <c r="M53" s="2716"/>
      <c r="N53" s="2715"/>
      <c r="O53" s="534"/>
      <c r="P53" s="2715"/>
      <c r="Q53" s="535">
        <f t="shared" si="9"/>
        <v>0</v>
      </c>
      <c r="R53" s="535"/>
      <c r="S53" s="987"/>
      <c r="T53" s="4015"/>
      <c r="U53" s="1256"/>
    </row>
    <row r="54" spans="1:22" ht="45" x14ac:dyDescent="0.2">
      <c r="A54" s="1800" t="s">
        <v>4944</v>
      </c>
      <c r="B54" s="529" t="s">
        <v>3447</v>
      </c>
      <c r="C54" s="529" t="s">
        <v>3448</v>
      </c>
      <c r="D54" s="550" t="s">
        <v>2041</v>
      </c>
      <c r="E54" s="532" t="s">
        <v>2425</v>
      </c>
      <c r="F54" s="886" t="s">
        <v>70</v>
      </c>
      <c r="G54" s="586" t="s">
        <v>3338</v>
      </c>
      <c r="H54" s="2715"/>
      <c r="I54" s="2718"/>
      <c r="J54" s="2726"/>
      <c r="K54" s="2718"/>
      <c r="L54" s="2718"/>
      <c r="M54" s="2716"/>
      <c r="N54" s="2715"/>
      <c r="O54" s="534"/>
      <c r="P54" s="2715"/>
      <c r="Q54" s="535">
        <f t="shared" si="9"/>
        <v>0</v>
      </c>
      <c r="R54" s="535"/>
      <c r="S54" s="987"/>
      <c r="T54" s="4015"/>
      <c r="U54" s="1256"/>
      <c r="V54" s="3501">
        <f t="shared" ref="V54:V57" si="10">Q54-U54</f>
        <v>0</v>
      </c>
    </row>
    <row r="55" spans="1:22" ht="30" x14ac:dyDescent="0.2">
      <c r="A55" s="1800" t="s">
        <v>4943</v>
      </c>
      <c r="B55" s="529" t="s">
        <v>3449</v>
      </c>
      <c r="C55" s="529" t="s">
        <v>3451</v>
      </c>
      <c r="D55" s="532" t="s">
        <v>2209</v>
      </c>
      <c r="E55" s="532" t="s">
        <v>2210</v>
      </c>
      <c r="F55" s="980" t="s">
        <v>4366</v>
      </c>
      <c r="G55" s="586" t="s">
        <v>4987</v>
      </c>
      <c r="H55" s="2727"/>
      <c r="I55" s="2718"/>
      <c r="J55" s="2726"/>
      <c r="K55" s="2718"/>
      <c r="L55" s="2718"/>
      <c r="M55" s="2716"/>
      <c r="N55" s="2715"/>
      <c r="O55" s="534"/>
      <c r="P55" s="2727"/>
      <c r="Q55" s="535">
        <f t="shared" si="9"/>
        <v>0</v>
      </c>
      <c r="R55" s="535"/>
      <c r="S55" s="985">
        <f>'Abs9. NVBDCP'!Q112</f>
        <v>0</v>
      </c>
      <c r="T55" s="4015"/>
      <c r="U55" s="1508">
        <f>'Abs9. NVBDCP'!R112</f>
        <v>0</v>
      </c>
      <c r="V55" s="3501">
        <f t="shared" si="10"/>
        <v>0</v>
      </c>
    </row>
    <row r="56" spans="1:22" ht="30" x14ac:dyDescent="0.2">
      <c r="A56" s="1800" t="s">
        <v>5030</v>
      </c>
      <c r="B56" s="529" t="s">
        <v>3450</v>
      </c>
      <c r="C56" s="529" t="s">
        <v>3453</v>
      </c>
      <c r="D56" s="532" t="s">
        <v>2211</v>
      </c>
      <c r="E56" s="532" t="s">
        <v>2212</v>
      </c>
      <c r="F56" s="980" t="s">
        <v>4366</v>
      </c>
      <c r="G56" s="586" t="s">
        <v>4989</v>
      </c>
      <c r="H56" s="2727"/>
      <c r="I56" s="2718"/>
      <c r="J56" s="2726"/>
      <c r="K56" s="2718"/>
      <c r="L56" s="2718"/>
      <c r="M56" s="2716"/>
      <c r="N56" s="2715"/>
      <c r="O56" s="534"/>
      <c r="P56" s="2727"/>
      <c r="Q56" s="535">
        <f t="shared" si="9"/>
        <v>0</v>
      </c>
      <c r="R56" s="535"/>
      <c r="S56" s="985">
        <f>'Abs9. NVBDCP'!Q113</f>
        <v>0</v>
      </c>
      <c r="T56" s="4015"/>
      <c r="U56" s="1508">
        <f>'Abs9. NVBDCP'!R113</f>
        <v>0</v>
      </c>
      <c r="V56" s="3501">
        <f t="shared" si="10"/>
        <v>0</v>
      </c>
    </row>
    <row r="57" spans="1:22" ht="30" x14ac:dyDescent="0.2">
      <c r="A57" s="1800" t="s">
        <v>5031</v>
      </c>
      <c r="B57" s="529" t="s">
        <v>3452</v>
      </c>
      <c r="C57" s="529" t="s">
        <v>3455</v>
      </c>
      <c r="D57" s="539" t="s">
        <v>2213</v>
      </c>
      <c r="E57" s="539" t="s">
        <v>2214</v>
      </c>
      <c r="F57" s="980" t="s">
        <v>4366</v>
      </c>
      <c r="G57" s="586" t="s">
        <v>4990</v>
      </c>
      <c r="H57" s="2727"/>
      <c r="I57" s="2718"/>
      <c r="J57" s="2726"/>
      <c r="K57" s="2718"/>
      <c r="L57" s="2718"/>
      <c r="M57" s="2716"/>
      <c r="N57" s="2715"/>
      <c r="O57" s="534"/>
      <c r="P57" s="2727"/>
      <c r="Q57" s="535">
        <f t="shared" ref="Q57:Q64" si="11">O57*P57</f>
        <v>0</v>
      </c>
      <c r="R57" s="535"/>
      <c r="S57" s="985">
        <f>'Abs9. NVBDCP'!Q114</f>
        <v>0</v>
      </c>
      <c r="T57" s="4015"/>
      <c r="U57" s="1508">
        <f>'Abs9. NVBDCP'!R114</f>
        <v>0</v>
      </c>
      <c r="V57" s="3501">
        <f t="shared" si="10"/>
        <v>0</v>
      </c>
    </row>
    <row r="58" spans="1:22" ht="30" x14ac:dyDescent="0.2">
      <c r="A58" s="1800" t="s">
        <v>5032</v>
      </c>
      <c r="B58" s="529" t="s">
        <v>3454</v>
      </c>
      <c r="C58" s="529" t="s">
        <v>3457</v>
      </c>
      <c r="D58" s="539" t="s">
        <v>1544</v>
      </c>
      <c r="E58" s="539" t="s">
        <v>2215</v>
      </c>
      <c r="F58" s="980" t="s">
        <v>4366</v>
      </c>
      <c r="G58" s="586" t="s">
        <v>4991</v>
      </c>
      <c r="H58" s="2715"/>
      <c r="I58" s="2715"/>
      <c r="J58" s="2715"/>
      <c r="K58" s="2715"/>
      <c r="L58" s="2715"/>
      <c r="M58" s="2715"/>
      <c r="N58" s="2716"/>
      <c r="O58" s="534"/>
      <c r="P58" s="2715"/>
      <c r="Q58" s="535">
        <f t="shared" si="11"/>
        <v>0</v>
      </c>
      <c r="R58" s="535"/>
      <c r="S58" s="985">
        <f>'Abs9. NVBDCP'!Q115</f>
        <v>0</v>
      </c>
      <c r="T58" s="4015"/>
      <c r="U58" s="1508">
        <f>'Abs9. NVBDCP'!R115</f>
        <v>0</v>
      </c>
    </row>
    <row r="59" spans="1:22" ht="30" x14ac:dyDescent="0.2">
      <c r="A59" s="1800" t="s">
        <v>5186</v>
      </c>
      <c r="B59" s="529" t="s">
        <v>3456</v>
      </c>
      <c r="C59" s="529" t="s">
        <v>3459</v>
      </c>
      <c r="D59" s="539" t="s">
        <v>2216</v>
      </c>
      <c r="E59" s="539" t="s">
        <v>2217</v>
      </c>
      <c r="F59" s="980" t="s">
        <v>4366</v>
      </c>
      <c r="G59" s="586" t="s">
        <v>4992</v>
      </c>
      <c r="H59" s="2715"/>
      <c r="I59" s="2715"/>
      <c r="J59" s="2715"/>
      <c r="K59" s="2715"/>
      <c r="L59" s="2715"/>
      <c r="M59" s="2715"/>
      <c r="N59" s="2716"/>
      <c r="O59" s="534"/>
      <c r="P59" s="2715"/>
      <c r="Q59" s="535">
        <f t="shared" si="11"/>
        <v>0</v>
      </c>
      <c r="R59" s="535"/>
      <c r="S59" s="985">
        <f>'Abs9. NVBDCP'!Q116</f>
        <v>0</v>
      </c>
      <c r="T59" s="4015"/>
      <c r="U59" s="1508">
        <f>'Abs9. NVBDCP'!R116</f>
        <v>0</v>
      </c>
    </row>
    <row r="60" spans="1:22" x14ac:dyDescent="0.2">
      <c r="A60" s="1800" t="s">
        <v>5033</v>
      </c>
      <c r="B60" s="529" t="s">
        <v>3458</v>
      </c>
      <c r="C60" s="529" t="s">
        <v>3461</v>
      </c>
      <c r="D60" s="541"/>
      <c r="E60" s="539" t="s">
        <v>2220</v>
      </c>
      <c r="F60" s="980" t="s">
        <v>4366</v>
      </c>
      <c r="G60" s="586" t="s">
        <v>3678</v>
      </c>
      <c r="H60" s="2715"/>
      <c r="I60" s="2715"/>
      <c r="J60" s="2715"/>
      <c r="K60" s="2715"/>
      <c r="L60" s="2715"/>
      <c r="M60" s="2715"/>
      <c r="N60" s="2716"/>
      <c r="O60" s="534"/>
      <c r="P60" s="2715"/>
      <c r="Q60" s="535">
        <f t="shared" si="11"/>
        <v>0</v>
      </c>
      <c r="R60" s="535"/>
      <c r="S60" s="985">
        <f>'Abs9. NVBDCP'!Q117</f>
        <v>0</v>
      </c>
      <c r="T60" s="4015"/>
      <c r="U60" s="1508">
        <f>'Abs9. NVBDCP'!R117</f>
        <v>0</v>
      </c>
    </row>
    <row r="61" spans="1:22" x14ac:dyDescent="0.2">
      <c r="A61" s="1800" t="s">
        <v>5034</v>
      </c>
      <c r="B61" s="529" t="s">
        <v>3460</v>
      </c>
      <c r="C61" s="529" t="s">
        <v>3463</v>
      </c>
      <c r="D61" s="548" t="s">
        <v>2221</v>
      </c>
      <c r="E61" s="539" t="s">
        <v>1116</v>
      </c>
      <c r="F61" s="1559" t="s">
        <v>85</v>
      </c>
      <c r="G61" s="586" t="s">
        <v>3682</v>
      </c>
      <c r="H61" s="2728"/>
      <c r="I61" s="2733"/>
      <c r="J61" s="2732"/>
      <c r="K61" s="2733"/>
      <c r="L61" s="2733"/>
      <c r="M61" s="2731"/>
      <c r="N61" s="2729"/>
      <c r="O61" s="534"/>
      <c r="P61" s="2728"/>
      <c r="Q61" s="535">
        <f t="shared" si="11"/>
        <v>0</v>
      </c>
      <c r="R61" s="535"/>
      <c r="S61" s="985">
        <f>'Abs19. NPCDCS'!Q62</f>
        <v>0</v>
      </c>
      <c r="T61" s="4015"/>
      <c r="U61" s="1252">
        <f>'Abs19. NPCDCS'!R62</f>
        <v>0</v>
      </c>
      <c r="V61" s="3501">
        <f t="shared" ref="V61:V63" si="12">Q61-U61</f>
        <v>0</v>
      </c>
    </row>
    <row r="62" spans="1:22" x14ac:dyDescent="0.2">
      <c r="A62" s="1800" t="s">
        <v>4865</v>
      </c>
      <c r="B62" s="529" t="s">
        <v>3462</v>
      </c>
      <c r="C62" s="529" t="s">
        <v>3465</v>
      </c>
      <c r="D62" s="548" t="s">
        <v>2222</v>
      </c>
      <c r="E62" s="539" t="s">
        <v>1119</v>
      </c>
      <c r="F62" s="1559" t="s">
        <v>85</v>
      </c>
      <c r="G62" s="586" t="s">
        <v>3682</v>
      </c>
      <c r="H62" s="2728"/>
      <c r="I62" s="2733"/>
      <c r="J62" s="2732"/>
      <c r="K62" s="2733"/>
      <c r="L62" s="2733"/>
      <c r="M62" s="2731"/>
      <c r="N62" s="2729"/>
      <c r="O62" s="534"/>
      <c r="P62" s="2728"/>
      <c r="Q62" s="535">
        <f t="shared" si="11"/>
        <v>0</v>
      </c>
      <c r="R62" s="535"/>
      <c r="S62" s="985">
        <f>'Abs19. NPCDCS'!Q63</f>
        <v>0</v>
      </c>
      <c r="T62" s="4015"/>
      <c r="U62" s="1508">
        <f>'Abs19. NPCDCS'!R63</f>
        <v>0</v>
      </c>
      <c r="V62" s="3501">
        <f t="shared" si="12"/>
        <v>0</v>
      </c>
    </row>
    <row r="63" spans="1:22" x14ac:dyDescent="0.2">
      <c r="A63" s="1800" t="s">
        <v>5035</v>
      </c>
      <c r="B63" s="529" t="s">
        <v>3464</v>
      </c>
      <c r="C63" s="529" t="s">
        <v>3466</v>
      </c>
      <c r="D63" s="539" t="s">
        <v>2218</v>
      </c>
      <c r="E63" s="539" t="s">
        <v>2219</v>
      </c>
      <c r="F63" s="980" t="s">
        <v>4366</v>
      </c>
      <c r="G63" s="586" t="s">
        <v>4682</v>
      </c>
      <c r="H63" s="2727"/>
      <c r="I63" s="2718"/>
      <c r="J63" s="2726"/>
      <c r="K63" s="2718"/>
      <c r="L63" s="2718"/>
      <c r="M63" s="2716"/>
      <c r="N63" s="2715"/>
      <c r="O63" s="534"/>
      <c r="P63" s="2727"/>
      <c r="Q63" s="535">
        <f t="shared" si="11"/>
        <v>0</v>
      </c>
      <c r="R63" s="535"/>
      <c r="S63" s="985">
        <f>'Abs11. NTEP'!Q58</f>
        <v>0</v>
      </c>
      <c r="T63" s="4015"/>
      <c r="U63" s="1508">
        <f>'Abs11. NTEP'!R58</f>
        <v>0</v>
      </c>
      <c r="V63" s="3501">
        <f t="shared" si="12"/>
        <v>0</v>
      </c>
    </row>
    <row r="64" spans="1:22" x14ac:dyDescent="0.2">
      <c r="A64" s="1800" t="s">
        <v>4835</v>
      </c>
      <c r="B64" s="529" t="s">
        <v>3467</v>
      </c>
      <c r="C64" s="529" t="s">
        <v>3469</v>
      </c>
      <c r="D64" s="540"/>
      <c r="E64" s="539" t="s">
        <v>3823</v>
      </c>
      <c r="F64" s="1559" t="s">
        <v>85</v>
      </c>
      <c r="G64" s="586" t="s">
        <v>3682</v>
      </c>
      <c r="H64" s="2721"/>
      <c r="I64" s="533"/>
      <c r="J64" s="533"/>
      <c r="K64" s="533"/>
      <c r="L64" s="533"/>
      <c r="M64" s="533"/>
      <c r="N64" s="304"/>
      <c r="O64" s="534"/>
      <c r="P64" s="304"/>
      <c r="Q64" s="535">
        <f t="shared" si="11"/>
        <v>0</v>
      </c>
      <c r="R64" s="535"/>
      <c r="S64" s="985">
        <f>'Abs19. NPCDCS'!Q64</f>
        <v>0</v>
      </c>
      <c r="T64" s="4015"/>
      <c r="U64" s="1508">
        <f>'Abs19. NPCDCS'!R64</f>
        <v>0</v>
      </c>
    </row>
    <row r="65" spans="1:22" ht="30" x14ac:dyDescent="0.2">
      <c r="A65" s="1800" t="s">
        <v>5036</v>
      </c>
      <c r="B65" s="529" t="s">
        <v>3468</v>
      </c>
      <c r="C65" s="529"/>
      <c r="D65" s="540"/>
      <c r="E65" s="539" t="s">
        <v>4004</v>
      </c>
      <c r="F65" s="980" t="s">
        <v>4366</v>
      </c>
      <c r="G65" s="586" t="s">
        <v>4005</v>
      </c>
      <c r="H65" s="2729"/>
      <c r="I65" s="2729"/>
      <c r="J65" s="2729"/>
      <c r="K65" s="2729"/>
      <c r="L65" s="2729"/>
      <c r="M65" s="2731"/>
      <c r="N65" s="2731"/>
      <c r="O65" s="534"/>
      <c r="P65" s="304"/>
      <c r="Q65" s="535">
        <f>O65*P65</f>
        <v>0</v>
      </c>
      <c r="R65" s="535"/>
      <c r="S65" s="985">
        <f>'Abs13. NRCP'!Q16</f>
        <v>0</v>
      </c>
      <c r="T65" s="4015"/>
      <c r="U65" s="1252">
        <f>'Abs13. NRCP'!R16</f>
        <v>0</v>
      </c>
      <c r="V65" s="3501">
        <f>Q65-U65</f>
        <v>0</v>
      </c>
    </row>
    <row r="66" spans="1:22" s="1804" customFormat="1" ht="45" x14ac:dyDescent="0.2">
      <c r="A66" s="1798" t="s">
        <v>5037</v>
      </c>
      <c r="B66" s="529" t="s">
        <v>4003</v>
      </c>
      <c r="C66" s="529"/>
      <c r="D66" s="540"/>
      <c r="E66" s="545" t="s">
        <v>4471</v>
      </c>
      <c r="F66" s="886" t="s">
        <v>70</v>
      </c>
      <c r="G66" s="587" t="s">
        <v>3338</v>
      </c>
      <c r="H66" s="2722"/>
      <c r="I66" s="543"/>
      <c r="J66" s="543"/>
      <c r="K66" s="543"/>
      <c r="L66" s="543"/>
      <c r="M66" s="543"/>
      <c r="N66" s="304"/>
      <c r="O66" s="534"/>
      <c r="P66" s="304"/>
      <c r="Q66" s="544">
        <f>O66*P66</f>
        <v>0</v>
      </c>
      <c r="R66" s="544"/>
      <c r="S66" s="987"/>
      <c r="T66" s="4015"/>
      <c r="U66" s="1256"/>
    </row>
    <row r="67" spans="1:22" x14ac:dyDescent="0.2">
      <c r="A67" s="1800" t="s">
        <v>5038</v>
      </c>
      <c r="B67" s="529" t="s">
        <v>4470</v>
      </c>
      <c r="C67" s="529" t="s">
        <v>3469</v>
      </c>
      <c r="D67" s="540"/>
      <c r="E67" s="549" t="s">
        <v>307</v>
      </c>
      <c r="F67" s="886" t="s">
        <v>70</v>
      </c>
      <c r="G67" s="587" t="s">
        <v>3338</v>
      </c>
      <c r="H67" s="2721"/>
      <c r="I67" s="543"/>
      <c r="J67" s="543"/>
      <c r="K67" s="543"/>
      <c r="L67" s="543"/>
      <c r="M67" s="543"/>
      <c r="N67" s="304"/>
      <c r="O67" s="534"/>
      <c r="P67" s="304"/>
      <c r="Q67" s="551">
        <f>O67*P67</f>
        <v>0</v>
      </c>
      <c r="R67" s="551"/>
      <c r="S67" s="987"/>
      <c r="T67" s="4015"/>
      <c r="U67" s="1256"/>
    </row>
    <row r="68" spans="1:22" ht="12.95" customHeight="1" x14ac:dyDescent="0.2">
      <c r="A68" s="1800" t="s">
        <v>4362</v>
      </c>
      <c r="B68" s="523" t="s">
        <v>3382</v>
      </c>
      <c r="C68" s="523">
        <v>16.3</v>
      </c>
      <c r="D68" s="523"/>
      <c r="E68" s="523" t="s">
        <v>2223</v>
      </c>
      <c r="F68" s="552"/>
      <c r="G68" s="552"/>
      <c r="H68" s="2721"/>
      <c r="I68" s="553"/>
      <c r="J68" s="528"/>
      <c r="K68" s="528"/>
      <c r="L68" s="528"/>
      <c r="M68" s="553"/>
      <c r="N68" s="553"/>
      <c r="O68" s="528"/>
      <c r="P68" s="553"/>
      <c r="Q68" s="528">
        <f>Q69+Q91+Q94+Q111+Q117</f>
        <v>0</v>
      </c>
      <c r="R68" s="528"/>
      <c r="S68" s="971"/>
      <c r="T68" s="4015"/>
      <c r="U68" s="972">
        <f>U69+U91+U94+U111+U117</f>
        <v>0</v>
      </c>
      <c r="V68" s="3501">
        <f t="shared" ref="V68:V71" si="13">Q68-U68</f>
        <v>0</v>
      </c>
    </row>
    <row r="69" spans="1:22" ht="12.95" customHeight="1" x14ac:dyDescent="0.2">
      <c r="A69" s="1800">
        <v>1</v>
      </c>
      <c r="B69" s="529" t="s">
        <v>3470</v>
      </c>
      <c r="C69" s="529" t="s">
        <v>3471</v>
      </c>
      <c r="D69" s="529"/>
      <c r="E69" s="529" t="s">
        <v>2162</v>
      </c>
      <c r="F69" s="530"/>
      <c r="G69" s="530"/>
      <c r="H69" s="531"/>
      <c r="I69" s="531"/>
      <c r="J69" s="177"/>
      <c r="K69" s="177"/>
      <c r="L69" s="177"/>
      <c r="M69" s="531"/>
      <c r="N69" s="531"/>
      <c r="O69" s="177"/>
      <c r="P69" s="531"/>
      <c r="Q69" s="177">
        <f>SUM(Q70:Q86)+Q88+Q90+Q89</f>
        <v>0</v>
      </c>
      <c r="R69" s="177"/>
      <c r="S69" s="1513"/>
      <c r="T69" s="4015"/>
      <c r="U69" s="1802">
        <f>SUM(U70:U86)+U88+U90+U89</f>
        <v>0</v>
      </c>
      <c r="V69" s="3501">
        <f t="shared" si="13"/>
        <v>0</v>
      </c>
    </row>
    <row r="70" spans="1:22" x14ac:dyDescent="0.2">
      <c r="A70" s="1800" t="s">
        <v>4941</v>
      </c>
      <c r="B70" s="529" t="s">
        <v>3472</v>
      </c>
      <c r="C70" s="529" t="s">
        <v>3473</v>
      </c>
      <c r="D70" s="532" t="s">
        <v>2225</v>
      </c>
      <c r="E70" s="532" t="s">
        <v>2226</v>
      </c>
      <c r="F70" s="886" t="s">
        <v>70</v>
      </c>
      <c r="G70" s="586" t="s">
        <v>3683</v>
      </c>
      <c r="H70" s="2715"/>
      <c r="I70" s="2715"/>
      <c r="J70" s="2726"/>
      <c r="K70" s="2715"/>
      <c r="L70" s="2715"/>
      <c r="M70" s="2716"/>
      <c r="N70" s="2715"/>
      <c r="O70" s="534"/>
      <c r="P70" s="2715"/>
      <c r="Q70" s="535">
        <f t="shared" ref="Q70:Q79" si="14">O70*P70</f>
        <v>0</v>
      </c>
      <c r="R70" s="535"/>
      <c r="S70" s="987"/>
      <c r="T70" s="4015"/>
      <c r="U70" s="1256"/>
      <c r="V70" s="3501">
        <f t="shared" si="13"/>
        <v>0</v>
      </c>
    </row>
    <row r="71" spans="1:22" ht="30" x14ac:dyDescent="0.2">
      <c r="A71" s="1800" t="s">
        <v>4942</v>
      </c>
      <c r="B71" s="529" t="s">
        <v>3474</v>
      </c>
      <c r="C71" s="529" t="s">
        <v>3475</v>
      </c>
      <c r="D71" s="532" t="s">
        <v>93</v>
      </c>
      <c r="E71" s="532" t="s">
        <v>3127</v>
      </c>
      <c r="F71" s="554" t="s">
        <v>90</v>
      </c>
      <c r="G71" s="586" t="s">
        <v>3675</v>
      </c>
      <c r="H71" s="2715"/>
      <c r="I71" s="2715"/>
      <c r="J71" s="2726"/>
      <c r="K71" s="2715"/>
      <c r="L71" s="2715"/>
      <c r="M71" s="2716"/>
      <c r="N71" s="2715"/>
      <c r="O71" s="534"/>
      <c r="P71" s="2715"/>
      <c r="Q71" s="535">
        <f t="shared" si="14"/>
        <v>0</v>
      </c>
      <c r="R71" s="535"/>
      <c r="S71" s="985">
        <f>'Ab1. RMNCH+A'!Q465</f>
        <v>0</v>
      </c>
      <c r="T71" s="4015"/>
      <c r="U71" s="1692">
        <f>'Ab1. RMNCH+A'!R465</f>
        <v>0</v>
      </c>
      <c r="V71" s="3501">
        <f t="shared" si="13"/>
        <v>0</v>
      </c>
    </row>
    <row r="72" spans="1:22" ht="30" x14ac:dyDescent="0.2">
      <c r="A72" s="1800" t="s">
        <v>4825</v>
      </c>
      <c r="B72" s="529" t="s">
        <v>3476</v>
      </c>
      <c r="C72" s="529" t="s">
        <v>3477</v>
      </c>
      <c r="D72" s="532" t="s">
        <v>2227</v>
      </c>
      <c r="E72" s="532" t="s">
        <v>2228</v>
      </c>
      <c r="F72" s="886" t="s">
        <v>70</v>
      </c>
      <c r="G72" s="586" t="s">
        <v>3338</v>
      </c>
      <c r="H72" s="2715"/>
      <c r="I72" s="2715"/>
      <c r="J72" s="2715"/>
      <c r="K72" s="2741"/>
      <c r="L72" s="2742"/>
      <c r="M72" s="2715"/>
      <c r="N72" s="2716"/>
      <c r="O72" s="534"/>
      <c r="P72" s="2715"/>
      <c r="Q72" s="535">
        <f t="shared" si="14"/>
        <v>0</v>
      </c>
      <c r="R72" s="535"/>
      <c r="S72" s="987"/>
      <c r="T72" s="4015"/>
      <c r="U72" s="1256"/>
    </row>
    <row r="73" spans="1:22" ht="45" x14ac:dyDescent="0.2">
      <c r="A73" s="1800" t="s">
        <v>4944</v>
      </c>
      <c r="B73" s="529" t="s">
        <v>3478</v>
      </c>
      <c r="C73" s="529" t="s">
        <v>3479</v>
      </c>
      <c r="D73" s="532" t="s">
        <v>2229</v>
      </c>
      <c r="E73" s="532" t="s">
        <v>2230</v>
      </c>
      <c r="F73" s="886" t="s">
        <v>70</v>
      </c>
      <c r="G73" s="586" t="s">
        <v>3676</v>
      </c>
      <c r="H73" s="2715"/>
      <c r="I73" s="2715"/>
      <c r="J73" s="2715"/>
      <c r="K73" s="2715"/>
      <c r="L73" s="2715"/>
      <c r="M73" s="2715"/>
      <c r="N73" s="2716"/>
      <c r="O73" s="534"/>
      <c r="P73" s="2715"/>
      <c r="Q73" s="535">
        <f t="shared" si="14"/>
        <v>0</v>
      </c>
      <c r="R73" s="535"/>
      <c r="S73" s="985">
        <f>'Ab3. ASHA'!Q105</f>
        <v>0</v>
      </c>
      <c r="T73" s="4015"/>
      <c r="U73" s="1252">
        <f>'Ab3. ASHA'!R105</f>
        <v>0</v>
      </c>
    </row>
    <row r="74" spans="1:22" ht="45" x14ac:dyDescent="0.2">
      <c r="A74" s="1800" t="s">
        <v>4943</v>
      </c>
      <c r="B74" s="529" t="s">
        <v>3480</v>
      </c>
      <c r="C74" s="529" t="s">
        <v>3481</v>
      </c>
      <c r="D74" s="532" t="s">
        <v>2231</v>
      </c>
      <c r="E74" s="532" t="s">
        <v>4373</v>
      </c>
      <c r="F74" s="554" t="s">
        <v>90</v>
      </c>
      <c r="G74" s="586" t="s">
        <v>4374</v>
      </c>
      <c r="H74" s="2727"/>
      <c r="I74" s="2715"/>
      <c r="J74" s="2717"/>
      <c r="K74" s="2715"/>
      <c r="L74" s="2715"/>
      <c r="M74" s="2716"/>
      <c r="N74" s="2715"/>
      <c r="O74" s="534"/>
      <c r="P74" s="2727"/>
      <c r="Q74" s="535">
        <f t="shared" si="14"/>
        <v>0</v>
      </c>
      <c r="R74" s="535"/>
      <c r="S74" s="1805">
        <f>'Ab1. RMNCH+A'!Q466</f>
        <v>0</v>
      </c>
      <c r="T74" s="4015"/>
      <c r="U74" s="1692">
        <f>'Ab1. RMNCH+A'!R466</f>
        <v>0</v>
      </c>
      <c r="V74" s="3501">
        <f t="shared" ref="V74:V77" si="15">Q74-U74</f>
        <v>0</v>
      </c>
    </row>
    <row r="75" spans="1:22" ht="30" x14ac:dyDescent="0.2">
      <c r="A75" s="1800" t="s">
        <v>5030</v>
      </c>
      <c r="B75" s="529" t="s">
        <v>3482</v>
      </c>
      <c r="C75" s="529" t="s">
        <v>3483</v>
      </c>
      <c r="D75" s="532" t="s">
        <v>2140</v>
      </c>
      <c r="E75" s="532" t="s">
        <v>2232</v>
      </c>
      <c r="F75" s="554" t="s">
        <v>90</v>
      </c>
      <c r="G75" s="586" t="s">
        <v>3671</v>
      </c>
      <c r="H75" s="2727"/>
      <c r="I75" s="2715"/>
      <c r="J75" s="2726"/>
      <c r="K75" s="2715"/>
      <c r="L75" s="2715"/>
      <c r="M75" s="2716"/>
      <c r="N75" s="2715"/>
      <c r="O75" s="534"/>
      <c r="P75" s="2727"/>
      <c r="Q75" s="535">
        <f t="shared" si="14"/>
        <v>0</v>
      </c>
      <c r="R75" s="535"/>
      <c r="S75" s="1805">
        <f>'Ab1. RMNCH+A'!Q467</f>
        <v>0</v>
      </c>
      <c r="T75" s="4015"/>
      <c r="U75" s="1692">
        <f>'Ab1. RMNCH+A'!R467</f>
        <v>0</v>
      </c>
      <c r="V75" s="3501">
        <f t="shared" si="15"/>
        <v>0</v>
      </c>
    </row>
    <row r="76" spans="1:22" ht="60" x14ac:dyDescent="0.2">
      <c r="A76" s="1800" t="s">
        <v>5031</v>
      </c>
      <c r="B76" s="529" t="s">
        <v>3484</v>
      </c>
      <c r="C76" s="529" t="s">
        <v>3485</v>
      </c>
      <c r="D76" s="532" t="s">
        <v>2233</v>
      </c>
      <c r="E76" s="532" t="s">
        <v>2234</v>
      </c>
      <c r="F76" s="980" t="s">
        <v>4366</v>
      </c>
      <c r="G76" s="586" t="s">
        <v>3677</v>
      </c>
      <c r="H76" s="2727"/>
      <c r="I76" s="2715"/>
      <c r="J76" s="2726"/>
      <c r="K76" s="2715"/>
      <c r="L76" s="2715"/>
      <c r="M76" s="2716"/>
      <c r="N76" s="2715"/>
      <c r="O76" s="534"/>
      <c r="P76" s="2727"/>
      <c r="Q76" s="535">
        <f t="shared" si="14"/>
        <v>0</v>
      </c>
      <c r="R76" s="535"/>
      <c r="S76" s="985">
        <f>'Abs8. IDSP'!Q31</f>
        <v>0</v>
      </c>
      <c r="T76" s="4015"/>
      <c r="U76" s="1252">
        <f>'Abs8. IDSP'!R31</f>
        <v>0</v>
      </c>
      <c r="V76" s="3501">
        <f t="shared" si="15"/>
        <v>0</v>
      </c>
    </row>
    <row r="77" spans="1:22" ht="45" x14ac:dyDescent="0.2">
      <c r="A77" s="1800" t="s">
        <v>5032</v>
      </c>
      <c r="B77" s="529" t="s">
        <v>3486</v>
      </c>
      <c r="C77" s="529" t="s">
        <v>3487</v>
      </c>
      <c r="D77" s="532" t="s">
        <v>2209</v>
      </c>
      <c r="E77" s="532" t="s">
        <v>2235</v>
      </c>
      <c r="F77" s="980" t="s">
        <v>4366</v>
      </c>
      <c r="G77" s="586" t="s">
        <v>4987</v>
      </c>
      <c r="H77" s="2727"/>
      <c r="I77" s="2715"/>
      <c r="J77" s="2726"/>
      <c r="K77" s="2715"/>
      <c r="L77" s="2715"/>
      <c r="M77" s="2716"/>
      <c r="N77" s="2715"/>
      <c r="O77" s="534"/>
      <c r="P77" s="2727"/>
      <c r="Q77" s="535">
        <f t="shared" si="14"/>
        <v>0</v>
      </c>
      <c r="R77" s="535"/>
      <c r="S77" s="985">
        <f>'Abs9. NVBDCP'!Q118</f>
        <v>0</v>
      </c>
      <c r="T77" s="4015"/>
      <c r="U77" s="1508">
        <f>'Abs9. NVBDCP'!R118</f>
        <v>0</v>
      </c>
      <c r="V77" s="3501">
        <f t="shared" si="15"/>
        <v>0</v>
      </c>
    </row>
    <row r="78" spans="1:22" ht="30" x14ac:dyDescent="0.2">
      <c r="A78" s="1800" t="s">
        <v>5186</v>
      </c>
      <c r="B78" s="529" t="s">
        <v>3488</v>
      </c>
      <c r="C78" s="529" t="s">
        <v>3489</v>
      </c>
      <c r="D78" s="532" t="s">
        <v>1544</v>
      </c>
      <c r="E78" s="532" t="s">
        <v>2236</v>
      </c>
      <c r="F78" s="980" t="s">
        <v>4366</v>
      </c>
      <c r="G78" s="586" t="s">
        <v>4991</v>
      </c>
      <c r="H78" s="2715"/>
      <c r="I78" s="2715"/>
      <c r="J78" s="2715"/>
      <c r="K78" s="2715"/>
      <c r="L78" s="2715"/>
      <c r="M78" s="2715"/>
      <c r="N78" s="2716"/>
      <c r="O78" s="534"/>
      <c r="P78" s="2715"/>
      <c r="Q78" s="535">
        <f t="shared" si="14"/>
        <v>0</v>
      </c>
      <c r="R78" s="535"/>
      <c r="S78" s="985">
        <f>'Abs9. NVBDCP'!Q119</f>
        <v>0</v>
      </c>
      <c r="T78" s="4015"/>
      <c r="U78" s="1508">
        <f>'Abs9. NVBDCP'!R119</f>
        <v>0</v>
      </c>
    </row>
    <row r="79" spans="1:22" ht="30" x14ac:dyDescent="0.2">
      <c r="A79" s="1800" t="s">
        <v>5033</v>
      </c>
      <c r="B79" s="529" t="s">
        <v>3490</v>
      </c>
      <c r="C79" s="529" t="s">
        <v>3491</v>
      </c>
      <c r="D79" s="532" t="s">
        <v>2237</v>
      </c>
      <c r="E79" s="532" t="s">
        <v>2238</v>
      </c>
      <c r="F79" s="980" t="s">
        <v>4366</v>
      </c>
      <c r="G79" s="586" t="s">
        <v>4988</v>
      </c>
      <c r="H79" s="2715"/>
      <c r="I79" s="2715"/>
      <c r="J79" s="2715"/>
      <c r="K79" s="2715"/>
      <c r="L79" s="2715"/>
      <c r="M79" s="2715"/>
      <c r="N79" s="2716"/>
      <c r="O79" s="534"/>
      <c r="P79" s="2715"/>
      <c r="Q79" s="535">
        <f t="shared" si="14"/>
        <v>0</v>
      </c>
      <c r="R79" s="535"/>
      <c r="S79" s="985">
        <f>'Abs9. NVBDCP'!Q120</f>
        <v>0</v>
      </c>
      <c r="T79" s="4015"/>
      <c r="U79" s="1508">
        <f>'Abs9. NVBDCP'!R120</f>
        <v>0</v>
      </c>
    </row>
    <row r="80" spans="1:22" ht="30" x14ac:dyDescent="0.2">
      <c r="A80" s="1800" t="s">
        <v>5034</v>
      </c>
      <c r="B80" s="529" t="s">
        <v>3492</v>
      </c>
      <c r="C80" s="529" t="s">
        <v>3493</v>
      </c>
      <c r="D80" s="532" t="s">
        <v>2239</v>
      </c>
      <c r="E80" s="532" t="s">
        <v>2240</v>
      </c>
      <c r="F80" s="980" t="s">
        <v>4366</v>
      </c>
      <c r="G80" s="586" t="s">
        <v>3679</v>
      </c>
      <c r="H80" s="2727"/>
      <c r="I80" s="2715"/>
      <c r="J80" s="2726"/>
      <c r="K80" s="2715"/>
      <c r="L80" s="2715"/>
      <c r="M80" s="2716"/>
      <c r="N80" s="2715"/>
      <c r="O80" s="534"/>
      <c r="P80" s="2727"/>
      <c r="Q80" s="534">
        <f t="shared" ref="Q80:Q85" si="16">O80*P80</f>
        <v>0</v>
      </c>
      <c r="R80" s="534"/>
      <c r="S80" s="985">
        <f>'Abs10. NLEP'!Q39</f>
        <v>0</v>
      </c>
      <c r="T80" s="4015"/>
      <c r="U80" s="1508">
        <f>'Abs10. NLEP'!R39</f>
        <v>0</v>
      </c>
      <c r="V80" s="3501">
        <f t="shared" ref="V80:V83" si="17">Q80-U80</f>
        <v>0</v>
      </c>
    </row>
    <row r="81" spans="1:22" x14ac:dyDescent="0.2">
      <c r="A81" s="1800" t="s">
        <v>4865</v>
      </c>
      <c r="B81" s="529" t="s">
        <v>3494</v>
      </c>
      <c r="C81" s="529" t="s">
        <v>3495</v>
      </c>
      <c r="D81" s="532" t="s">
        <v>2241</v>
      </c>
      <c r="E81" s="532" t="s">
        <v>2242</v>
      </c>
      <c r="F81" s="980" t="s">
        <v>4366</v>
      </c>
      <c r="G81" s="586" t="s">
        <v>3679</v>
      </c>
      <c r="H81" s="2727"/>
      <c r="I81" s="2715"/>
      <c r="J81" s="2726"/>
      <c r="K81" s="2715"/>
      <c r="L81" s="2715"/>
      <c r="M81" s="2716"/>
      <c r="N81" s="2715"/>
      <c r="O81" s="534"/>
      <c r="P81" s="2727"/>
      <c r="Q81" s="534">
        <f t="shared" si="16"/>
        <v>0</v>
      </c>
      <c r="R81" s="534"/>
      <c r="S81" s="985">
        <f>'Abs10. NLEP'!Q40</f>
        <v>0</v>
      </c>
      <c r="T81" s="4015"/>
      <c r="U81" s="1508">
        <f>'Abs10. NLEP'!R40</f>
        <v>0</v>
      </c>
      <c r="V81" s="3501">
        <f t="shared" si="17"/>
        <v>0</v>
      </c>
    </row>
    <row r="82" spans="1:22" x14ac:dyDescent="0.2">
      <c r="A82" s="1800" t="s">
        <v>5035</v>
      </c>
      <c r="B82" s="529" t="s">
        <v>3496</v>
      </c>
      <c r="C82" s="529" t="s">
        <v>3497</v>
      </c>
      <c r="D82" s="532" t="s">
        <v>1292</v>
      </c>
      <c r="E82" s="532" t="s">
        <v>2243</v>
      </c>
      <c r="F82" s="980" t="s">
        <v>4366</v>
      </c>
      <c r="G82" s="586" t="s">
        <v>4682</v>
      </c>
      <c r="H82" s="2727"/>
      <c r="I82" s="2715"/>
      <c r="J82" s="2726"/>
      <c r="K82" s="2715"/>
      <c r="L82" s="2715"/>
      <c r="M82" s="2716"/>
      <c r="N82" s="2715"/>
      <c r="O82" s="534"/>
      <c r="P82" s="2727"/>
      <c r="Q82" s="535">
        <f t="shared" si="16"/>
        <v>0</v>
      </c>
      <c r="R82" s="535"/>
      <c r="S82" s="985">
        <f>'Abs11. NTEP'!Q59</f>
        <v>0</v>
      </c>
      <c r="T82" s="4015"/>
      <c r="U82" s="1508">
        <f>'Abs11. NTEP'!R59</f>
        <v>0</v>
      </c>
      <c r="V82" s="3501">
        <f t="shared" si="17"/>
        <v>0</v>
      </c>
    </row>
    <row r="83" spans="1:22" x14ac:dyDescent="0.2">
      <c r="A83" s="1800" t="s">
        <v>4837</v>
      </c>
      <c r="B83" s="529" t="s">
        <v>3498</v>
      </c>
      <c r="C83" s="529" t="s">
        <v>3499</v>
      </c>
      <c r="D83" s="532" t="s">
        <v>1295</v>
      </c>
      <c r="E83" s="532" t="s">
        <v>1296</v>
      </c>
      <c r="F83" s="980" t="s">
        <v>4366</v>
      </c>
      <c r="G83" s="586" t="s">
        <v>4682</v>
      </c>
      <c r="H83" s="2727"/>
      <c r="I83" s="2715"/>
      <c r="J83" s="2726"/>
      <c r="K83" s="2715"/>
      <c r="L83" s="2715"/>
      <c r="M83" s="2716"/>
      <c r="N83" s="2715"/>
      <c r="O83" s="534"/>
      <c r="P83" s="2727"/>
      <c r="Q83" s="535">
        <f t="shared" si="16"/>
        <v>0</v>
      </c>
      <c r="R83" s="535"/>
      <c r="S83" s="985">
        <f>'Abs11. NTEP'!Q60</f>
        <v>0</v>
      </c>
      <c r="T83" s="4015"/>
      <c r="U83" s="1508">
        <f>'Abs11. NTEP'!R60</f>
        <v>0</v>
      </c>
      <c r="V83" s="3501">
        <f t="shared" si="17"/>
        <v>0</v>
      </c>
    </row>
    <row r="84" spans="1:22" ht="30" x14ac:dyDescent="0.2">
      <c r="A84" s="1800" t="s">
        <v>5036</v>
      </c>
      <c r="B84" s="529" t="s">
        <v>3500</v>
      </c>
      <c r="C84" s="529" t="s">
        <v>3502</v>
      </c>
      <c r="D84" s="541"/>
      <c r="E84" s="532" t="s">
        <v>4993</v>
      </c>
      <c r="F84" s="980" t="s">
        <v>4366</v>
      </c>
      <c r="G84" s="586" t="s">
        <v>4987</v>
      </c>
      <c r="H84" s="2715"/>
      <c r="I84" s="2715"/>
      <c r="J84" s="2715"/>
      <c r="K84" s="2715"/>
      <c r="L84" s="2715"/>
      <c r="M84" s="2715"/>
      <c r="N84" s="2716"/>
      <c r="O84" s="534"/>
      <c r="P84" s="304"/>
      <c r="Q84" s="535">
        <f t="shared" si="16"/>
        <v>0</v>
      </c>
      <c r="R84" s="535"/>
      <c r="S84" s="985">
        <f>'Abs9. NVBDCP'!Q121</f>
        <v>0</v>
      </c>
      <c r="T84" s="4015"/>
      <c r="U84" s="1508">
        <f>'Abs9. NVBDCP'!R121</f>
        <v>0</v>
      </c>
    </row>
    <row r="85" spans="1:22" ht="30" x14ac:dyDescent="0.2">
      <c r="A85" s="1800" t="s">
        <v>5037</v>
      </c>
      <c r="B85" s="529" t="s">
        <v>3501</v>
      </c>
      <c r="C85" s="529" t="s">
        <v>3504</v>
      </c>
      <c r="D85" s="541"/>
      <c r="E85" s="555" t="s">
        <v>3668</v>
      </c>
      <c r="F85" s="980" t="s">
        <v>4366</v>
      </c>
      <c r="G85" s="586" t="s">
        <v>3345</v>
      </c>
      <c r="H85" s="2715"/>
      <c r="I85" s="2715"/>
      <c r="J85" s="2715"/>
      <c r="K85" s="2715"/>
      <c r="L85" s="2715"/>
      <c r="M85" s="2716"/>
      <c r="N85" s="2715"/>
      <c r="O85" s="534"/>
      <c r="P85" s="304"/>
      <c r="Q85" s="535">
        <f t="shared" si="16"/>
        <v>0</v>
      </c>
      <c r="R85" s="535"/>
      <c r="S85" s="1806">
        <f>'Abs12. NVHCP'!Q42</f>
        <v>0</v>
      </c>
      <c r="T85" s="4015"/>
      <c r="U85" s="1692">
        <f>'Abs12. NVHCP'!R42</f>
        <v>0</v>
      </c>
      <c r="V85" s="3501">
        <f t="shared" ref="V85:V88" si="18">Q85-U85</f>
        <v>0</v>
      </c>
    </row>
    <row r="86" spans="1:22" s="1804" customFormat="1" ht="26.1" customHeight="1" x14ac:dyDescent="0.2">
      <c r="A86" s="1798" t="s">
        <v>5038</v>
      </c>
      <c r="B86" s="529" t="s">
        <v>3503</v>
      </c>
      <c r="C86" s="529" t="s">
        <v>3502</v>
      </c>
      <c r="D86" s="529" t="s">
        <v>2244</v>
      </c>
      <c r="E86" s="529" t="s">
        <v>2245</v>
      </c>
      <c r="F86" s="530"/>
      <c r="G86" s="530"/>
      <c r="H86" s="2740"/>
      <c r="I86" s="531"/>
      <c r="J86" s="177"/>
      <c r="K86" s="177"/>
      <c r="L86" s="177"/>
      <c r="M86" s="531"/>
      <c r="N86" s="531"/>
      <c r="O86" s="177"/>
      <c r="P86" s="531"/>
      <c r="Q86" s="177">
        <f>Q87</f>
        <v>0</v>
      </c>
      <c r="R86" s="177"/>
      <c r="S86" s="1513"/>
      <c r="T86" s="4015"/>
      <c r="U86" s="1802">
        <f>U87</f>
        <v>0</v>
      </c>
      <c r="V86" s="3501">
        <f t="shared" si="18"/>
        <v>0</v>
      </c>
    </row>
    <row r="87" spans="1:22" ht="30" x14ac:dyDescent="0.2">
      <c r="A87" s="1800" t="s">
        <v>5187</v>
      </c>
      <c r="B87" s="529" t="s">
        <v>4622</v>
      </c>
      <c r="C87" s="529" t="s">
        <v>3506</v>
      </c>
      <c r="D87" s="532" t="s">
        <v>2246</v>
      </c>
      <c r="E87" s="532" t="s">
        <v>4010</v>
      </c>
      <c r="F87" s="1559" t="s">
        <v>85</v>
      </c>
      <c r="G87" s="586" t="s">
        <v>3680</v>
      </c>
      <c r="H87" s="2715"/>
      <c r="I87" s="2715"/>
      <c r="J87" s="2726"/>
      <c r="K87" s="2715"/>
      <c r="L87" s="2715"/>
      <c r="M87" s="2716"/>
      <c r="N87" s="2715"/>
      <c r="O87" s="534"/>
      <c r="P87" s="304"/>
      <c r="Q87" s="535">
        <f>O87*P87</f>
        <v>0</v>
      </c>
      <c r="R87" s="535"/>
      <c r="S87" s="985">
        <f>'Abs18. NTCP'!Q30</f>
        <v>0</v>
      </c>
      <c r="T87" s="4015"/>
      <c r="U87" s="1508">
        <f>'Abs18. NTCP'!R30</f>
        <v>0</v>
      </c>
      <c r="V87" s="3501">
        <f t="shared" si="18"/>
        <v>0</v>
      </c>
    </row>
    <row r="88" spans="1:22" x14ac:dyDescent="0.2">
      <c r="A88" s="1800" t="s">
        <v>5039</v>
      </c>
      <c r="B88" s="529" t="s">
        <v>3505</v>
      </c>
      <c r="C88" s="529" t="s">
        <v>3507</v>
      </c>
      <c r="D88" s="532" t="s">
        <v>2247</v>
      </c>
      <c r="E88" s="532" t="s">
        <v>2248</v>
      </c>
      <c r="F88" s="1559" t="s">
        <v>85</v>
      </c>
      <c r="G88" s="586" t="s">
        <v>3682</v>
      </c>
      <c r="H88" s="2729"/>
      <c r="I88" s="2729"/>
      <c r="J88" s="2732"/>
      <c r="K88" s="2729"/>
      <c r="L88" s="2729"/>
      <c r="M88" s="2731"/>
      <c r="N88" s="2729"/>
      <c r="O88" s="534"/>
      <c r="P88" s="304"/>
      <c r="Q88" s="535">
        <f>O88*P88</f>
        <v>0</v>
      </c>
      <c r="R88" s="535"/>
      <c r="S88" s="985">
        <f>'Abs19. NPCDCS'!Q65</f>
        <v>0</v>
      </c>
      <c r="T88" s="4015"/>
      <c r="U88" s="1508">
        <f>'Abs19. NPCDCS'!R65</f>
        <v>0</v>
      </c>
      <c r="V88" s="3501">
        <f t="shared" si="18"/>
        <v>0</v>
      </c>
    </row>
    <row r="89" spans="1:22" ht="54" customHeight="1" x14ac:dyDescent="0.2">
      <c r="A89" s="1800" t="s">
        <v>4836</v>
      </c>
      <c r="B89" s="529" t="s">
        <v>4500</v>
      </c>
      <c r="C89" s="529"/>
      <c r="D89" s="541"/>
      <c r="E89" s="532" t="s">
        <v>4501</v>
      </c>
      <c r="F89" s="888" t="s">
        <v>4366</v>
      </c>
      <c r="G89" s="586" t="s">
        <v>4499</v>
      </c>
      <c r="H89" s="2715"/>
      <c r="I89" s="2715"/>
      <c r="J89" s="2726"/>
      <c r="K89" s="2715"/>
      <c r="L89" s="2715"/>
      <c r="M89" s="2716"/>
      <c r="N89" s="2715"/>
      <c r="O89" s="534"/>
      <c r="P89" s="304"/>
      <c r="Q89" s="535">
        <f>O89*P89</f>
        <v>0</v>
      </c>
      <c r="R89" s="535"/>
      <c r="S89" s="985">
        <f>'Abs14. PPCL'!Q17</f>
        <v>0</v>
      </c>
      <c r="T89" s="4015"/>
      <c r="U89" s="1252">
        <f>'Abs14. PPCL'!R17</f>
        <v>0</v>
      </c>
    </row>
    <row r="90" spans="1:22" x14ac:dyDescent="0.2">
      <c r="A90" s="1800" t="s">
        <v>5040</v>
      </c>
      <c r="B90" s="529" t="s">
        <v>4623</v>
      </c>
      <c r="C90" s="529" t="s">
        <v>3508</v>
      </c>
      <c r="D90" s="541"/>
      <c r="E90" s="556" t="s">
        <v>307</v>
      </c>
      <c r="F90" s="886" t="s">
        <v>70</v>
      </c>
      <c r="G90" s="586" t="s">
        <v>3338</v>
      </c>
      <c r="H90" s="2718"/>
      <c r="I90" s="2718"/>
      <c r="J90" s="2718"/>
      <c r="K90" s="2718"/>
      <c r="L90" s="2718"/>
      <c r="M90" s="2716"/>
      <c r="N90" s="2715"/>
      <c r="O90" s="534"/>
      <c r="P90" s="304"/>
      <c r="Q90" s="544">
        <f>O90*P90</f>
        <v>0</v>
      </c>
      <c r="R90" s="544"/>
      <c r="S90" s="987"/>
      <c r="T90" s="4015"/>
      <c r="U90" s="1256"/>
      <c r="V90" s="3501">
        <f t="shared" ref="V90:V91" si="19">Q90-U90</f>
        <v>0</v>
      </c>
    </row>
    <row r="91" spans="1:22" ht="12.95" customHeight="1" x14ac:dyDescent="0.2">
      <c r="A91" s="1800">
        <v>2</v>
      </c>
      <c r="B91" s="529" t="s">
        <v>3509</v>
      </c>
      <c r="C91" s="529" t="s">
        <v>3510</v>
      </c>
      <c r="D91" s="529"/>
      <c r="E91" s="529" t="s">
        <v>2249</v>
      </c>
      <c r="F91" s="530"/>
      <c r="G91" s="530"/>
      <c r="H91" s="2721"/>
      <c r="I91" s="531"/>
      <c r="J91" s="531"/>
      <c r="K91" s="531"/>
      <c r="L91" s="531"/>
      <c r="M91" s="531"/>
      <c r="N91" s="531"/>
      <c r="O91" s="177"/>
      <c r="P91" s="531"/>
      <c r="Q91" s="177">
        <f>SUM(Q92:Q93)</f>
        <v>0</v>
      </c>
      <c r="R91" s="177"/>
      <c r="S91" s="1513"/>
      <c r="T91" s="4015"/>
      <c r="U91" s="1802">
        <f>SUM(U92:U93)</f>
        <v>0</v>
      </c>
      <c r="V91" s="3501">
        <f t="shared" si="19"/>
        <v>0</v>
      </c>
    </row>
    <row r="92" spans="1:22" ht="30" x14ac:dyDescent="0.2">
      <c r="A92" s="1800" t="s">
        <v>4941</v>
      </c>
      <c r="B92" s="529" t="s">
        <v>3511</v>
      </c>
      <c r="C92" s="529" t="s">
        <v>3512</v>
      </c>
      <c r="D92" s="532" t="s">
        <v>2250</v>
      </c>
      <c r="E92" s="532" t="s">
        <v>2251</v>
      </c>
      <c r="F92" s="980" t="s">
        <v>4366</v>
      </c>
      <c r="G92" s="586" t="s">
        <v>4987</v>
      </c>
      <c r="H92" s="2721"/>
      <c r="I92" s="533"/>
      <c r="J92" s="533"/>
      <c r="K92" s="533"/>
      <c r="L92" s="533"/>
      <c r="M92" s="533"/>
      <c r="N92" s="304"/>
      <c r="O92" s="534"/>
      <c r="P92" s="304"/>
      <c r="Q92" s="535">
        <f>O92*P92</f>
        <v>0</v>
      </c>
      <c r="R92" s="535"/>
      <c r="S92" s="985">
        <f>'Abs9. NVBDCP'!Q122</f>
        <v>0</v>
      </c>
      <c r="T92" s="4015"/>
      <c r="U92" s="1508">
        <f>'Abs9. NVBDCP'!R122</f>
        <v>0</v>
      </c>
    </row>
    <row r="93" spans="1:22" x14ac:dyDescent="0.2">
      <c r="A93" s="1800" t="s">
        <v>4942</v>
      </c>
      <c r="B93" s="529" t="s">
        <v>3513</v>
      </c>
      <c r="C93" s="529" t="s">
        <v>3514</v>
      </c>
      <c r="D93" s="541"/>
      <c r="E93" s="556" t="s">
        <v>307</v>
      </c>
      <c r="F93" s="886" t="s">
        <v>70</v>
      </c>
      <c r="G93" s="586" t="s">
        <v>3338</v>
      </c>
      <c r="H93" s="557"/>
      <c r="I93" s="543"/>
      <c r="J93" s="543"/>
      <c r="K93" s="543"/>
      <c r="L93" s="543"/>
      <c r="M93" s="3049"/>
      <c r="N93" s="304"/>
      <c r="O93" s="534"/>
      <c r="P93" s="304"/>
      <c r="Q93" s="544">
        <f>O93*P93</f>
        <v>0</v>
      </c>
      <c r="R93" s="544"/>
      <c r="S93" s="987"/>
      <c r="T93" s="4015"/>
      <c r="U93" s="1256"/>
      <c r="V93" s="3501">
        <f t="shared" ref="V93:V97" si="20">Q93-U93</f>
        <v>0</v>
      </c>
    </row>
    <row r="94" spans="1:22" ht="12.95" customHeight="1" x14ac:dyDescent="0.2">
      <c r="A94" s="1800">
        <v>3</v>
      </c>
      <c r="B94" s="529" t="s">
        <v>3515</v>
      </c>
      <c r="C94" s="529" t="s">
        <v>3516</v>
      </c>
      <c r="D94" s="529"/>
      <c r="E94" s="529" t="s">
        <v>2252</v>
      </c>
      <c r="F94" s="530"/>
      <c r="G94" s="530"/>
      <c r="H94" s="531"/>
      <c r="I94" s="531"/>
      <c r="J94" s="177"/>
      <c r="K94" s="177"/>
      <c r="L94" s="177"/>
      <c r="M94" s="531"/>
      <c r="N94" s="531"/>
      <c r="O94" s="177"/>
      <c r="P94" s="531"/>
      <c r="Q94" s="177">
        <f>SUM(Q95:Q110)</f>
        <v>0</v>
      </c>
      <c r="R94" s="177"/>
      <c r="S94" s="1513"/>
      <c r="T94" s="4015"/>
      <c r="U94" s="1802">
        <f>SUM(U95:U110)</f>
        <v>0</v>
      </c>
      <c r="V94" s="3501">
        <f t="shared" si="20"/>
        <v>0</v>
      </c>
    </row>
    <row r="95" spans="1:22" ht="45" x14ac:dyDescent="0.2">
      <c r="A95" s="1800" t="s">
        <v>4941</v>
      </c>
      <c r="B95" s="529" t="s">
        <v>3517</v>
      </c>
      <c r="C95" s="529" t="s">
        <v>3518</v>
      </c>
      <c r="D95" s="541" t="s">
        <v>1358</v>
      </c>
      <c r="E95" s="541" t="s">
        <v>2253</v>
      </c>
      <c r="F95" s="554" t="s">
        <v>90</v>
      </c>
      <c r="G95" s="587" t="s">
        <v>3674</v>
      </c>
      <c r="H95" s="2727"/>
      <c r="I95" s="2722"/>
      <c r="J95" s="2743"/>
      <c r="K95" s="2722"/>
      <c r="L95" s="2722"/>
      <c r="M95" s="2744"/>
      <c r="N95" s="2744"/>
      <c r="O95" s="534"/>
      <c r="P95" s="2727"/>
      <c r="Q95" s="544">
        <f t="shared" ref="Q95:Q104" si="21">O95*P95</f>
        <v>0</v>
      </c>
      <c r="R95" s="544"/>
      <c r="S95" s="985">
        <f>'Ab1. RMNCH+A'!Q468</f>
        <v>0</v>
      </c>
      <c r="T95" s="4015"/>
      <c r="U95" s="1803">
        <f>'Ab1. RMNCH+A'!R468</f>
        <v>0</v>
      </c>
      <c r="V95" s="3501">
        <f t="shared" si="20"/>
        <v>0</v>
      </c>
    </row>
    <row r="96" spans="1:22" ht="45" x14ac:dyDescent="0.2">
      <c r="A96" s="1800" t="s">
        <v>4942</v>
      </c>
      <c r="B96" s="529" t="s">
        <v>3519</v>
      </c>
      <c r="C96" s="529" t="s">
        <v>3520</v>
      </c>
      <c r="D96" s="541" t="s">
        <v>1359</v>
      </c>
      <c r="E96" s="541" t="s">
        <v>4125</v>
      </c>
      <c r="F96" s="554" t="s">
        <v>90</v>
      </c>
      <c r="G96" s="587" t="s">
        <v>3674</v>
      </c>
      <c r="H96" s="2727"/>
      <c r="I96" s="2722"/>
      <c r="J96" s="2743"/>
      <c r="K96" s="2722"/>
      <c r="L96" s="2722"/>
      <c r="M96" s="2744"/>
      <c r="N96" s="2744"/>
      <c r="O96" s="534"/>
      <c r="P96" s="2727"/>
      <c r="Q96" s="544">
        <f t="shared" si="21"/>
        <v>0</v>
      </c>
      <c r="R96" s="544"/>
      <c r="S96" s="985">
        <f>'Ab1. RMNCH+A'!Q469</f>
        <v>0</v>
      </c>
      <c r="T96" s="4015"/>
      <c r="U96" s="1803">
        <f>'Ab1. RMNCH+A'!R469</f>
        <v>0</v>
      </c>
      <c r="V96" s="3501">
        <f t="shared" si="20"/>
        <v>0</v>
      </c>
    </row>
    <row r="97" spans="1:22" ht="45" x14ac:dyDescent="0.2">
      <c r="A97" s="1800" t="s">
        <v>4825</v>
      </c>
      <c r="B97" s="529" t="s">
        <v>3521</v>
      </c>
      <c r="C97" s="529" t="s">
        <v>3522</v>
      </c>
      <c r="D97" s="532" t="s">
        <v>2254</v>
      </c>
      <c r="E97" s="532" t="s">
        <v>4379</v>
      </c>
      <c r="F97" s="886" t="s">
        <v>70</v>
      </c>
      <c r="G97" s="558" t="s">
        <v>3683</v>
      </c>
      <c r="H97" s="2727"/>
      <c r="I97" s="2715"/>
      <c r="J97" s="2726"/>
      <c r="K97" s="2715"/>
      <c r="L97" s="2715"/>
      <c r="M97" s="2716"/>
      <c r="N97" s="2715"/>
      <c r="O97" s="534"/>
      <c r="P97" s="2727"/>
      <c r="Q97" s="535">
        <f t="shared" si="21"/>
        <v>0</v>
      </c>
      <c r="R97" s="535"/>
      <c r="S97" s="987"/>
      <c r="T97" s="4015"/>
      <c r="U97" s="1256"/>
      <c r="V97" s="3501">
        <f t="shared" si="20"/>
        <v>0</v>
      </c>
    </row>
    <row r="98" spans="1:22" ht="30" x14ac:dyDescent="0.2">
      <c r="A98" s="1800" t="s">
        <v>4944</v>
      </c>
      <c r="B98" s="529" t="s">
        <v>3523</v>
      </c>
      <c r="C98" s="529" t="s">
        <v>3524</v>
      </c>
      <c r="D98" s="532" t="s">
        <v>2227</v>
      </c>
      <c r="E98" s="532" t="s">
        <v>2228</v>
      </c>
      <c r="F98" s="886" t="s">
        <v>70</v>
      </c>
      <c r="G98" s="586" t="s">
        <v>3338</v>
      </c>
      <c r="H98" s="2715"/>
      <c r="I98" s="2715"/>
      <c r="J98" s="2715"/>
      <c r="K98" s="2715"/>
      <c r="L98" s="2715"/>
      <c r="M98" s="2715"/>
      <c r="N98" s="2716"/>
      <c r="O98" s="534"/>
      <c r="P98" s="2715"/>
      <c r="Q98" s="535">
        <f t="shared" si="21"/>
        <v>0</v>
      </c>
      <c r="R98" s="535"/>
      <c r="S98" s="987"/>
      <c r="T98" s="4015"/>
      <c r="U98" s="1256"/>
    </row>
    <row r="99" spans="1:22" ht="45" x14ac:dyDescent="0.2">
      <c r="A99" s="1800" t="s">
        <v>4943</v>
      </c>
      <c r="B99" s="529" t="s">
        <v>3525</v>
      </c>
      <c r="C99" s="529" t="s">
        <v>3526</v>
      </c>
      <c r="D99" s="532" t="s">
        <v>2229</v>
      </c>
      <c r="E99" s="532" t="s">
        <v>2230</v>
      </c>
      <c r="F99" s="886" t="s">
        <v>70</v>
      </c>
      <c r="G99" s="586" t="s">
        <v>3676</v>
      </c>
      <c r="H99" s="2715"/>
      <c r="I99" s="2715"/>
      <c r="J99" s="2715"/>
      <c r="K99" s="2715"/>
      <c r="L99" s="2715"/>
      <c r="M99" s="2715"/>
      <c r="N99" s="2716"/>
      <c r="O99" s="534"/>
      <c r="P99" s="2715"/>
      <c r="Q99" s="535">
        <f t="shared" si="21"/>
        <v>0</v>
      </c>
      <c r="R99" s="535"/>
      <c r="S99" s="985">
        <f>'Ab3. ASHA'!Q106</f>
        <v>0</v>
      </c>
      <c r="T99" s="4015"/>
      <c r="U99" s="1252">
        <f>'Ab3. ASHA'!R106</f>
        <v>0</v>
      </c>
    </row>
    <row r="100" spans="1:22" x14ac:dyDescent="0.2">
      <c r="A100" s="1800" t="s">
        <v>5030</v>
      </c>
      <c r="B100" s="529" t="s">
        <v>3527</v>
      </c>
      <c r="C100" s="529" t="s">
        <v>3528</v>
      </c>
      <c r="D100" s="532" t="s">
        <v>2255</v>
      </c>
      <c r="E100" s="532" t="s">
        <v>2256</v>
      </c>
      <c r="F100" s="891" t="s">
        <v>85</v>
      </c>
      <c r="G100" s="586" t="s">
        <v>4781</v>
      </c>
      <c r="H100" s="2727"/>
      <c r="I100" s="2715"/>
      <c r="J100" s="2726"/>
      <c r="K100" s="2715"/>
      <c r="L100" s="2715"/>
      <c r="M100" s="2716"/>
      <c r="N100" s="2715"/>
      <c r="O100" s="534"/>
      <c r="P100" s="2727"/>
      <c r="Q100" s="535">
        <f t="shared" si="21"/>
        <v>0</v>
      </c>
      <c r="R100" s="535"/>
      <c r="S100" s="985">
        <f>'Abs23. NPPCF'!Q21</f>
        <v>0</v>
      </c>
      <c r="T100" s="4015"/>
      <c r="U100" s="1252">
        <f>'Abs23. NPPCF'!R21</f>
        <v>0</v>
      </c>
      <c r="V100" s="3501">
        <f t="shared" ref="V100:V102" si="22">Q100-U100</f>
        <v>0</v>
      </c>
    </row>
    <row r="101" spans="1:22" ht="30" x14ac:dyDescent="0.2">
      <c r="A101" s="1800" t="s">
        <v>5031</v>
      </c>
      <c r="B101" s="529" t="s">
        <v>3529</v>
      </c>
      <c r="C101" s="529" t="s">
        <v>3530</v>
      </c>
      <c r="D101" s="532" t="s">
        <v>2257</v>
      </c>
      <c r="E101" s="532" t="s">
        <v>2258</v>
      </c>
      <c r="F101" s="554" t="s">
        <v>90</v>
      </c>
      <c r="G101" s="586" t="s">
        <v>3671</v>
      </c>
      <c r="H101" s="2728"/>
      <c r="I101" s="2729"/>
      <c r="J101" s="2730"/>
      <c r="K101" s="2729"/>
      <c r="L101" s="2729"/>
      <c r="M101" s="2731"/>
      <c r="N101" s="2729"/>
      <c r="O101" s="534"/>
      <c r="P101" s="2728"/>
      <c r="Q101" s="535">
        <f t="shared" si="21"/>
        <v>0</v>
      </c>
      <c r="R101" s="535"/>
      <c r="S101" s="1805">
        <f>'Ab1. RMNCH+A'!Q470</f>
        <v>0</v>
      </c>
      <c r="T101" s="4015"/>
      <c r="U101" s="1803">
        <f>'Ab1. RMNCH+A'!R470</f>
        <v>0</v>
      </c>
      <c r="V101" s="3501">
        <f t="shared" si="22"/>
        <v>0</v>
      </c>
    </row>
    <row r="102" spans="1:22" ht="60" x14ac:dyDescent="0.2">
      <c r="A102" s="1800" t="s">
        <v>5032</v>
      </c>
      <c r="B102" s="529" t="s">
        <v>3531</v>
      </c>
      <c r="C102" s="529" t="s">
        <v>3532</v>
      </c>
      <c r="D102" s="532" t="s">
        <v>2233</v>
      </c>
      <c r="E102" s="532" t="s">
        <v>2259</v>
      </c>
      <c r="F102" s="980" t="s">
        <v>4366</v>
      </c>
      <c r="G102" s="586" t="s">
        <v>3677</v>
      </c>
      <c r="H102" s="2727"/>
      <c r="I102" s="2715"/>
      <c r="J102" s="2726"/>
      <c r="K102" s="2715"/>
      <c r="L102" s="2715"/>
      <c r="M102" s="2716"/>
      <c r="N102" s="2715"/>
      <c r="O102" s="534"/>
      <c r="P102" s="2727"/>
      <c r="Q102" s="535">
        <f t="shared" si="21"/>
        <v>0</v>
      </c>
      <c r="R102" s="535"/>
      <c r="S102" s="985">
        <f>'Abs8. IDSP'!Q32</f>
        <v>0</v>
      </c>
      <c r="T102" s="4015"/>
      <c r="U102" s="1252">
        <f>'Abs8. IDSP'!R32</f>
        <v>0</v>
      </c>
      <c r="V102" s="3501">
        <f t="shared" si="22"/>
        <v>0</v>
      </c>
    </row>
    <row r="103" spans="1:22" ht="45" x14ac:dyDescent="0.2">
      <c r="A103" s="1800" t="s">
        <v>5186</v>
      </c>
      <c r="B103" s="529" t="s">
        <v>3533</v>
      </c>
      <c r="C103" s="529" t="s">
        <v>3534</v>
      </c>
      <c r="D103" s="532" t="s">
        <v>2209</v>
      </c>
      <c r="E103" s="532" t="s">
        <v>2235</v>
      </c>
      <c r="F103" s="980" t="s">
        <v>4366</v>
      </c>
      <c r="G103" s="586" t="s">
        <v>4987</v>
      </c>
      <c r="H103" s="2715"/>
      <c r="I103" s="2715"/>
      <c r="J103" s="2715"/>
      <c r="K103" s="2715"/>
      <c r="L103" s="2715"/>
      <c r="M103" s="2715"/>
      <c r="N103" s="2716"/>
      <c r="O103" s="534"/>
      <c r="P103" s="2715"/>
      <c r="Q103" s="535">
        <f t="shared" si="21"/>
        <v>0</v>
      </c>
      <c r="R103" s="535"/>
      <c r="S103" s="985">
        <f>'Abs9. NVBDCP'!Q123</f>
        <v>0</v>
      </c>
      <c r="T103" s="4015"/>
      <c r="U103" s="1508">
        <f>'Abs9. NVBDCP'!R123</f>
        <v>0</v>
      </c>
    </row>
    <row r="104" spans="1:22" ht="30" x14ac:dyDescent="0.2">
      <c r="A104" s="1800" t="s">
        <v>5033</v>
      </c>
      <c r="B104" s="529" t="s">
        <v>3535</v>
      </c>
      <c r="C104" s="529" t="s">
        <v>3536</v>
      </c>
      <c r="D104" s="532" t="s">
        <v>2260</v>
      </c>
      <c r="E104" s="532" t="s">
        <v>2261</v>
      </c>
      <c r="F104" s="980" t="s">
        <v>4366</v>
      </c>
      <c r="G104" s="586" t="s">
        <v>3679</v>
      </c>
      <c r="H104" s="2715"/>
      <c r="I104" s="2716"/>
      <c r="J104" s="2716"/>
      <c r="K104" s="2716"/>
      <c r="L104" s="2716"/>
      <c r="M104" s="2716"/>
      <c r="N104" s="2716"/>
      <c r="O104" s="534"/>
      <c r="P104" s="2715"/>
      <c r="Q104" s="535">
        <f t="shared" si="21"/>
        <v>0</v>
      </c>
      <c r="R104" s="535"/>
      <c r="S104" s="985">
        <f>'Abs10. NLEP'!Q41</f>
        <v>0</v>
      </c>
      <c r="T104" s="4015"/>
      <c r="U104" s="1508">
        <f>'Abs10. NLEP'!R41</f>
        <v>0</v>
      </c>
    </row>
    <row r="105" spans="1:22" x14ac:dyDescent="0.2">
      <c r="A105" s="1800" t="s">
        <v>5034</v>
      </c>
      <c r="B105" s="529" t="s">
        <v>3537</v>
      </c>
      <c r="C105" s="529" t="s">
        <v>3538</v>
      </c>
      <c r="D105" s="532" t="s">
        <v>2262</v>
      </c>
      <c r="E105" s="532" t="s">
        <v>2263</v>
      </c>
      <c r="F105" s="980" t="s">
        <v>4366</v>
      </c>
      <c r="G105" s="586" t="s">
        <v>3679</v>
      </c>
      <c r="H105" s="2728"/>
      <c r="I105" s="2729"/>
      <c r="J105" s="2732"/>
      <c r="K105" s="2729"/>
      <c r="L105" s="2729"/>
      <c r="M105" s="2731"/>
      <c r="N105" s="2729"/>
      <c r="O105" s="534"/>
      <c r="P105" s="2728"/>
      <c r="Q105" s="534">
        <f t="shared" ref="Q105:Q110" si="23">O105*P105</f>
        <v>0</v>
      </c>
      <c r="R105" s="534"/>
      <c r="S105" s="985">
        <f>'Abs10. NLEP'!Q42</f>
        <v>0</v>
      </c>
      <c r="T105" s="4015"/>
      <c r="U105" s="1508">
        <f>'Abs10. NLEP'!R42</f>
        <v>0</v>
      </c>
      <c r="V105" s="3501">
        <f t="shared" ref="V105:V114" si="24">Q105-U105</f>
        <v>0</v>
      </c>
    </row>
    <row r="106" spans="1:22" ht="30" x14ac:dyDescent="0.2">
      <c r="A106" s="1800" t="s">
        <v>4865</v>
      </c>
      <c r="B106" s="529" t="s">
        <v>3539</v>
      </c>
      <c r="C106" s="529" t="s">
        <v>3540</v>
      </c>
      <c r="D106" s="532" t="s">
        <v>1088</v>
      </c>
      <c r="E106" s="532" t="s">
        <v>2264</v>
      </c>
      <c r="F106" s="980" t="s">
        <v>4366</v>
      </c>
      <c r="G106" s="586" t="s">
        <v>4682</v>
      </c>
      <c r="H106" s="2727"/>
      <c r="I106" s="2715"/>
      <c r="J106" s="2726"/>
      <c r="K106" s="2715"/>
      <c r="L106" s="2715"/>
      <c r="M106" s="2716"/>
      <c r="N106" s="2715"/>
      <c r="O106" s="534"/>
      <c r="P106" s="2727"/>
      <c r="Q106" s="535">
        <f t="shared" si="23"/>
        <v>0</v>
      </c>
      <c r="R106" s="535"/>
      <c r="S106" s="985">
        <f>'Abs11. NTEP'!Q61</f>
        <v>0</v>
      </c>
      <c r="T106" s="4015"/>
      <c r="U106" s="1508">
        <f>'Abs11. NTEP'!R61</f>
        <v>0</v>
      </c>
      <c r="V106" s="3501">
        <f t="shared" si="24"/>
        <v>0</v>
      </c>
    </row>
    <row r="107" spans="1:22" x14ac:dyDescent="0.2">
      <c r="A107" s="1800" t="s">
        <v>5035</v>
      </c>
      <c r="B107" s="529" t="s">
        <v>3541</v>
      </c>
      <c r="C107" s="529" t="s">
        <v>3542</v>
      </c>
      <c r="D107" s="532" t="s">
        <v>2265</v>
      </c>
      <c r="E107" s="532" t="s">
        <v>2266</v>
      </c>
      <c r="F107" s="1559" t="s">
        <v>85</v>
      </c>
      <c r="G107" s="586" t="s">
        <v>3672</v>
      </c>
      <c r="H107" s="2727"/>
      <c r="I107" s="2715"/>
      <c r="J107" s="2726"/>
      <c r="K107" s="2715"/>
      <c r="L107" s="2715"/>
      <c r="M107" s="2716"/>
      <c r="N107" s="2715"/>
      <c r="O107" s="534"/>
      <c r="P107" s="2727"/>
      <c r="Q107" s="535">
        <f t="shared" si="23"/>
        <v>0</v>
      </c>
      <c r="R107" s="535"/>
      <c r="S107" s="985">
        <f>'Abs16. NMHP'!Q31</f>
        <v>0</v>
      </c>
      <c r="T107" s="4015"/>
      <c r="U107" s="1508">
        <f>'Abs16. NMHP'!R31</f>
        <v>0</v>
      </c>
      <c r="V107" s="3501">
        <f t="shared" si="24"/>
        <v>0</v>
      </c>
    </row>
    <row r="108" spans="1:22" x14ac:dyDescent="0.2">
      <c r="A108" s="1800" t="s">
        <v>4837</v>
      </c>
      <c r="B108" s="529" t="s">
        <v>3543</v>
      </c>
      <c r="C108" s="529" t="s">
        <v>3544</v>
      </c>
      <c r="D108" s="532" t="s">
        <v>2267</v>
      </c>
      <c r="E108" s="532" t="s">
        <v>2268</v>
      </c>
      <c r="F108" s="1559" t="s">
        <v>85</v>
      </c>
      <c r="G108" s="586" t="s">
        <v>3680</v>
      </c>
      <c r="H108" s="2727"/>
      <c r="I108" s="2715"/>
      <c r="J108" s="2726"/>
      <c r="K108" s="2715"/>
      <c r="L108" s="2715"/>
      <c r="M108" s="2716"/>
      <c r="N108" s="2715"/>
      <c r="O108" s="534"/>
      <c r="P108" s="2727"/>
      <c r="Q108" s="535">
        <f t="shared" si="23"/>
        <v>0</v>
      </c>
      <c r="R108" s="535"/>
      <c r="S108" s="985">
        <f>'Abs18. NTCP'!Q31</f>
        <v>0</v>
      </c>
      <c r="T108" s="4015"/>
      <c r="U108" s="1508">
        <f>'Abs18. NTCP'!R31</f>
        <v>0</v>
      </c>
      <c r="V108" s="3501">
        <f t="shared" si="24"/>
        <v>0</v>
      </c>
    </row>
    <row r="109" spans="1:22" x14ac:dyDescent="0.2">
      <c r="A109" s="1800" t="s">
        <v>5036</v>
      </c>
      <c r="B109" s="529" t="s">
        <v>3545</v>
      </c>
      <c r="C109" s="529" t="s">
        <v>3546</v>
      </c>
      <c r="D109" s="532" t="s">
        <v>2247</v>
      </c>
      <c r="E109" s="532" t="s">
        <v>2269</v>
      </c>
      <c r="F109" s="1559" t="s">
        <v>85</v>
      </c>
      <c r="G109" s="586" t="s">
        <v>3682</v>
      </c>
      <c r="H109" s="2729"/>
      <c r="I109" s="2729"/>
      <c r="J109" s="2729"/>
      <c r="K109" s="2729"/>
      <c r="L109" s="2729"/>
      <c r="M109" s="2731"/>
      <c r="N109" s="2731"/>
      <c r="O109" s="534"/>
      <c r="P109" s="304"/>
      <c r="Q109" s="535">
        <f t="shared" si="23"/>
        <v>0</v>
      </c>
      <c r="R109" s="535"/>
      <c r="S109" s="985">
        <f>'Abs19. NPCDCS'!Q66</f>
        <v>0</v>
      </c>
      <c r="T109" s="4015"/>
      <c r="U109" s="1508">
        <f>'Abs19. NPCDCS'!R66</f>
        <v>0</v>
      </c>
      <c r="V109" s="3501">
        <f t="shared" si="24"/>
        <v>0</v>
      </c>
    </row>
    <row r="110" spans="1:22" x14ac:dyDescent="0.2">
      <c r="A110" s="1800" t="s">
        <v>5037</v>
      </c>
      <c r="B110" s="529" t="s">
        <v>4624</v>
      </c>
      <c r="C110" s="529" t="s">
        <v>3547</v>
      </c>
      <c r="D110" s="541"/>
      <c r="E110" s="556" t="s">
        <v>307</v>
      </c>
      <c r="F110" s="886" t="s">
        <v>70</v>
      </c>
      <c r="G110" s="586" t="s">
        <v>3338</v>
      </c>
      <c r="H110" s="2718"/>
      <c r="I110" s="2715"/>
      <c r="J110" s="2726"/>
      <c r="K110" s="2715"/>
      <c r="L110" s="2715"/>
      <c r="M110" s="2716"/>
      <c r="N110" s="2715"/>
      <c r="O110" s="534"/>
      <c r="P110" s="304"/>
      <c r="Q110" s="544">
        <f t="shared" si="23"/>
        <v>0</v>
      </c>
      <c r="R110" s="544"/>
      <c r="S110" s="987"/>
      <c r="T110" s="4015"/>
      <c r="U110" s="1256"/>
      <c r="V110" s="3501">
        <f t="shared" si="24"/>
        <v>0</v>
      </c>
    </row>
    <row r="111" spans="1:22" ht="12.95" customHeight="1" x14ac:dyDescent="0.2">
      <c r="A111" s="1800">
        <v>4</v>
      </c>
      <c r="B111" s="529" t="s">
        <v>3548</v>
      </c>
      <c r="C111" s="529" t="s">
        <v>3549</v>
      </c>
      <c r="D111" s="529"/>
      <c r="E111" s="529" t="s">
        <v>2165</v>
      </c>
      <c r="F111" s="530"/>
      <c r="G111" s="530"/>
      <c r="H111" s="2721"/>
      <c r="I111" s="531"/>
      <c r="J111" s="177"/>
      <c r="K111" s="177"/>
      <c r="L111" s="177"/>
      <c r="M111" s="531"/>
      <c r="N111" s="531"/>
      <c r="O111" s="177"/>
      <c r="P111" s="531"/>
      <c r="Q111" s="177">
        <f>SUM(Q112:Q116)</f>
        <v>0</v>
      </c>
      <c r="R111" s="177"/>
      <c r="S111" s="1513"/>
      <c r="T111" s="4015"/>
      <c r="U111" s="1802">
        <f>SUM(U112:U116)</f>
        <v>0</v>
      </c>
      <c r="V111" s="3501">
        <f t="shared" si="24"/>
        <v>0</v>
      </c>
    </row>
    <row r="112" spans="1:22" ht="45" x14ac:dyDescent="0.2">
      <c r="A112" s="1800" t="s">
        <v>4941</v>
      </c>
      <c r="B112" s="529" t="s">
        <v>3550</v>
      </c>
      <c r="C112" s="529" t="s">
        <v>3551</v>
      </c>
      <c r="D112" s="532" t="s">
        <v>1358</v>
      </c>
      <c r="E112" s="532" t="s">
        <v>2270</v>
      </c>
      <c r="F112" s="554" t="s">
        <v>90</v>
      </c>
      <c r="G112" s="586" t="s">
        <v>3674</v>
      </c>
      <c r="H112" s="2727"/>
      <c r="I112" s="2745"/>
      <c r="J112" s="2746"/>
      <c r="K112" s="2745"/>
      <c r="L112" s="2745"/>
      <c r="M112" s="2744"/>
      <c r="N112" s="2745"/>
      <c r="O112" s="534"/>
      <c r="P112" s="2727"/>
      <c r="Q112" s="535">
        <f>O112*P112</f>
        <v>0</v>
      </c>
      <c r="R112" s="535"/>
      <c r="S112" s="985">
        <f>'Ab1. RMNCH+A'!Q471</f>
        <v>0</v>
      </c>
      <c r="T112" s="4015"/>
      <c r="U112" s="1508">
        <f>'Ab1. RMNCH+A'!R471</f>
        <v>0</v>
      </c>
      <c r="V112" s="3501">
        <f t="shared" si="24"/>
        <v>0</v>
      </c>
    </row>
    <row r="113" spans="1:22" ht="45" x14ac:dyDescent="0.2">
      <c r="A113" s="1800" t="s">
        <v>4942</v>
      </c>
      <c r="B113" s="529" t="s">
        <v>3552</v>
      </c>
      <c r="C113" s="529" t="s">
        <v>3553</v>
      </c>
      <c r="D113" s="532" t="s">
        <v>1359</v>
      </c>
      <c r="E113" s="532" t="s">
        <v>4126</v>
      </c>
      <c r="F113" s="554" t="s">
        <v>90</v>
      </c>
      <c r="G113" s="586" t="s">
        <v>3674</v>
      </c>
      <c r="H113" s="2727"/>
      <c r="I113" s="2745"/>
      <c r="J113" s="2746"/>
      <c r="K113" s="2745"/>
      <c r="L113" s="2745"/>
      <c r="M113" s="2744"/>
      <c r="N113" s="2745"/>
      <c r="O113" s="534"/>
      <c r="P113" s="2727"/>
      <c r="Q113" s="535">
        <f>O113*P113</f>
        <v>0</v>
      </c>
      <c r="R113" s="535"/>
      <c r="S113" s="985">
        <f>'Ab1. RMNCH+A'!Q472</f>
        <v>0</v>
      </c>
      <c r="T113" s="4015"/>
      <c r="U113" s="1508">
        <f>'Ab1. RMNCH+A'!R472</f>
        <v>0</v>
      </c>
      <c r="V113" s="3501">
        <f t="shared" si="24"/>
        <v>0</v>
      </c>
    </row>
    <row r="114" spans="1:22" x14ac:dyDescent="0.2">
      <c r="A114" s="1800" t="s">
        <v>4825</v>
      </c>
      <c r="B114" s="529" t="s">
        <v>3554</v>
      </c>
      <c r="C114" s="529" t="s">
        <v>3555</v>
      </c>
      <c r="D114" s="532" t="s">
        <v>2271</v>
      </c>
      <c r="E114" s="532" t="s">
        <v>2272</v>
      </c>
      <c r="F114" s="886" t="s">
        <v>70</v>
      </c>
      <c r="G114" s="558" t="s">
        <v>3683</v>
      </c>
      <c r="H114" s="2727"/>
      <c r="I114" s="2745"/>
      <c r="J114" s="2747"/>
      <c r="K114" s="2745"/>
      <c r="L114" s="2745"/>
      <c r="M114" s="2744"/>
      <c r="N114" s="2745"/>
      <c r="O114" s="534"/>
      <c r="P114" s="2727"/>
      <c r="Q114" s="535">
        <f>O114*P114</f>
        <v>0</v>
      </c>
      <c r="R114" s="535"/>
      <c r="S114" s="987"/>
      <c r="T114" s="4015"/>
      <c r="U114" s="1254"/>
      <c r="V114" s="3501">
        <f t="shared" si="24"/>
        <v>0</v>
      </c>
    </row>
    <row r="115" spans="1:22" ht="45" x14ac:dyDescent="0.2">
      <c r="A115" s="1800" t="s">
        <v>4944</v>
      </c>
      <c r="B115" s="529" t="s">
        <v>3556</v>
      </c>
      <c r="C115" s="529" t="s">
        <v>3557</v>
      </c>
      <c r="D115" s="532" t="s">
        <v>2181</v>
      </c>
      <c r="E115" s="532" t="s">
        <v>2273</v>
      </c>
      <c r="F115" s="886" t="s">
        <v>70</v>
      </c>
      <c r="G115" s="586" t="s">
        <v>3676</v>
      </c>
      <c r="H115" s="2715"/>
      <c r="I115" s="2748"/>
      <c r="J115" s="2748"/>
      <c r="K115" s="2748"/>
      <c r="L115" s="2748"/>
      <c r="M115" s="2748"/>
      <c r="N115" s="2748"/>
      <c r="O115" s="534"/>
      <c r="P115" s="2715"/>
      <c r="Q115" s="535">
        <f>O115*P115</f>
        <v>0</v>
      </c>
      <c r="R115" s="535"/>
      <c r="S115" s="985">
        <f>'Ab3. ASHA'!Q107</f>
        <v>0</v>
      </c>
      <c r="T115" s="4015"/>
      <c r="U115" s="1252">
        <f>-'Ab3. ASHA'!R107</f>
        <v>0</v>
      </c>
    </row>
    <row r="116" spans="1:22" x14ac:dyDescent="0.2">
      <c r="A116" s="1800" t="s">
        <v>4943</v>
      </c>
      <c r="B116" s="529" t="s">
        <v>3558</v>
      </c>
      <c r="C116" s="529" t="s">
        <v>3559</v>
      </c>
      <c r="D116" s="541"/>
      <c r="E116" s="556" t="s">
        <v>307</v>
      </c>
      <c r="F116" s="886" t="s">
        <v>70</v>
      </c>
      <c r="G116" s="586" t="s">
        <v>3338</v>
      </c>
      <c r="H116" s="2718"/>
      <c r="I116" s="2745"/>
      <c r="J116" s="2747"/>
      <c r="K116" s="2745"/>
      <c r="L116" s="2745"/>
      <c r="M116" s="2745"/>
      <c r="N116" s="2745"/>
      <c r="O116" s="534"/>
      <c r="P116" s="2718"/>
      <c r="Q116" s="544">
        <f>O116*P116</f>
        <v>0</v>
      </c>
      <c r="R116" s="544"/>
      <c r="S116" s="987"/>
      <c r="T116" s="4015"/>
      <c r="U116" s="1254"/>
      <c r="V116" s="3501">
        <f t="shared" ref="V116:V121" si="25">Q116-U116</f>
        <v>0</v>
      </c>
    </row>
    <row r="117" spans="1:22" ht="12.95" customHeight="1" x14ac:dyDescent="0.2">
      <c r="A117" s="1800">
        <v>5</v>
      </c>
      <c r="B117" s="529" t="s">
        <v>3560</v>
      </c>
      <c r="C117" s="529" t="s">
        <v>3561</v>
      </c>
      <c r="D117" s="529"/>
      <c r="E117" s="529" t="s">
        <v>2274</v>
      </c>
      <c r="F117" s="530"/>
      <c r="G117" s="530"/>
      <c r="H117" s="531"/>
      <c r="I117" s="531"/>
      <c r="J117" s="177"/>
      <c r="K117" s="177"/>
      <c r="L117" s="177"/>
      <c r="M117" s="531"/>
      <c r="N117" s="531"/>
      <c r="O117" s="177"/>
      <c r="P117" s="531"/>
      <c r="Q117" s="177">
        <f>Q118</f>
        <v>0</v>
      </c>
      <c r="R117" s="177"/>
      <c r="S117" s="1513"/>
      <c r="T117" s="4015"/>
      <c r="U117" s="1802">
        <f>U118</f>
        <v>0</v>
      </c>
      <c r="V117" s="3501">
        <f t="shared" si="25"/>
        <v>0</v>
      </c>
    </row>
    <row r="118" spans="1:22" x14ac:dyDescent="0.2">
      <c r="A118" s="1800" t="s">
        <v>4941</v>
      </c>
      <c r="B118" s="529" t="s">
        <v>3562</v>
      </c>
      <c r="C118" s="529" t="s">
        <v>3563</v>
      </c>
      <c r="D118" s="541" t="s">
        <v>2275</v>
      </c>
      <c r="E118" s="541" t="s">
        <v>2276</v>
      </c>
      <c r="F118" s="980" t="s">
        <v>4366</v>
      </c>
      <c r="G118" s="587" t="s">
        <v>3679</v>
      </c>
      <c r="H118" s="543"/>
      <c r="I118" s="542"/>
      <c r="J118" s="542"/>
      <c r="K118" s="542"/>
      <c r="L118" s="542"/>
      <c r="M118" s="2720"/>
      <c r="N118" s="2720"/>
      <c r="O118" s="534"/>
      <c r="P118" s="304"/>
      <c r="Q118" s="551">
        <f>O118*P118</f>
        <v>0</v>
      </c>
      <c r="R118" s="551"/>
      <c r="S118" s="985">
        <f>'Abs10. NLEP'!Q43</f>
        <v>0</v>
      </c>
      <c r="T118" s="4015"/>
      <c r="U118" s="1508">
        <f>'Abs10. NLEP'!R43</f>
        <v>0</v>
      </c>
      <c r="V118" s="3501">
        <f t="shared" si="25"/>
        <v>0</v>
      </c>
    </row>
    <row r="119" spans="1:22" ht="51.95" customHeight="1" x14ac:dyDescent="0.2">
      <c r="A119" s="1800" t="s">
        <v>4363</v>
      </c>
      <c r="B119" s="523" t="s">
        <v>3384</v>
      </c>
      <c r="C119" s="523">
        <v>16.399999999999999</v>
      </c>
      <c r="D119" s="560"/>
      <c r="E119" s="560" t="s">
        <v>2277</v>
      </c>
      <c r="F119" s="561"/>
      <c r="G119" s="561"/>
      <c r="H119" s="562"/>
      <c r="I119" s="562"/>
      <c r="J119" s="528"/>
      <c r="K119" s="528"/>
      <c r="L119" s="528"/>
      <c r="M119" s="562"/>
      <c r="N119" s="562"/>
      <c r="O119" s="528"/>
      <c r="P119" s="562"/>
      <c r="Q119" s="528">
        <f>Q120+Q136+Q146</f>
        <v>57</v>
      </c>
      <c r="R119" s="528"/>
      <c r="S119" s="971"/>
      <c r="T119" s="4015"/>
      <c r="U119" s="972">
        <f>U120+U136+U146</f>
        <v>0</v>
      </c>
      <c r="V119" s="3501">
        <f t="shared" si="25"/>
        <v>57</v>
      </c>
    </row>
    <row r="120" spans="1:22" ht="12.95" customHeight="1" x14ac:dyDescent="0.2">
      <c r="A120" s="1800">
        <v>1</v>
      </c>
      <c r="B120" s="529" t="s">
        <v>3564</v>
      </c>
      <c r="C120" s="529" t="s">
        <v>3565</v>
      </c>
      <c r="D120" s="529"/>
      <c r="E120" s="529" t="s">
        <v>2162</v>
      </c>
      <c r="F120" s="530"/>
      <c r="G120" s="530"/>
      <c r="H120" s="531"/>
      <c r="I120" s="531"/>
      <c r="J120" s="177"/>
      <c r="K120" s="177"/>
      <c r="L120" s="177"/>
      <c r="M120" s="531"/>
      <c r="N120" s="531"/>
      <c r="O120" s="177"/>
      <c r="P120" s="531"/>
      <c r="Q120" s="177">
        <f>SUM(Q121:Q135)</f>
        <v>0</v>
      </c>
      <c r="R120" s="177"/>
      <c r="S120" s="1513"/>
      <c r="T120" s="4015"/>
      <c r="U120" s="1802">
        <f>SUM(U121:U135)</f>
        <v>0</v>
      </c>
      <c r="V120" s="3501">
        <f t="shared" si="25"/>
        <v>0</v>
      </c>
    </row>
    <row r="121" spans="1:22" x14ac:dyDescent="0.2">
      <c r="A121" s="1800" t="s">
        <v>4941</v>
      </c>
      <c r="B121" s="529" t="s">
        <v>3566</v>
      </c>
      <c r="C121" s="529" t="s">
        <v>3567</v>
      </c>
      <c r="D121" s="532" t="s">
        <v>2278</v>
      </c>
      <c r="E121" s="532" t="s">
        <v>2392</v>
      </c>
      <c r="F121" s="554" t="s">
        <v>90</v>
      </c>
      <c r="G121" s="586" t="s">
        <v>3684</v>
      </c>
      <c r="H121" s="2727"/>
      <c r="I121" s="2715"/>
      <c r="J121" s="2726"/>
      <c r="K121" s="2715"/>
      <c r="L121" s="2715"/>
      <c r="M121" s="2716"/>
      <c r="N121" s="2715"/>
      <c r="O121" s="534"/>
      <c r="P121" s="2727"/>
      <c r="Q121" s="535">
        <f t="shared" ref="Q121:Q135" si="26">O121*P121</f>
        <v>0</v>
      </c>
      <c r="R121" s="535"/>
      <c r="S121" s="985">
        <f>'Ab1. RMNCH+A'!Q473</f>
        <v>0</v>
      </c>
      <c r="T121" s="4015"/>
      <c r="U121" s="1508">
        <f>'Ab1. RMNCH+A'!R473</f>
        <v>0</v>
      </c>
      <c r="V121" s="3501">
        <f t="shared" si="25"/>
        <v>0</v>
      </c>
    </row>
    <row r="122" spans="1:22" ht="30" x14ac:dyDescent="0.2">
      <c r="A122" s="1800" t="s">
        <v>4942</v>
      </c>
      <c r="B122" s="529" t="s">
        <v>3568</v>
      </c>
      <c r="C122" s="529" t="s">
        <v>3569</v>
      </c>
      <c r="D122" s="532" t="s">
        <v>2279</v>
      </c>
      <c r="E122" s="532" t="s">
        <v>2280</v>
      </c>
      <c r="F122" s="980" t="s">
        <v>4366</v>
      </c>
      <c r="G122" s="586" t="s">
        <v>3677</v>
      </c>
      <c r="H122" s="2727"/>
      <c r="I122" s="2715"/>
      <c r="J122" s="2726"/>
      <c r="K122" s="2715"/>
      <c r="L122" s="2715"/>
      <c r="M122" s="2716"/>
      <c r="N122" s="2715"/>
      <c r="O122" s="534"/>
      <c r="P122" s="2727"/>
      <c r="Q122" s="535">
        <f t="shared" si="26"/>
        <v>0</v>
      </c>
      <c r="R122" s="535"/>
      <c r="S122" s="985">
        <f>'Abs8. IDSP'!Q33</f>
        <v>0</v>
      </c>
      <c r="T122" s="4015"/>
      <c r="U122" s="1252">
        <f>'Abs8. IDSP'!R33</f>
        <v>0</v>
      </c>
    </row>
    <row r="123" spans="1:22" ht="30" x14ac:dyDescent="0.2">
      <c r="A123" s="1800" t="s">
        <v>4825</v>
      </c>
      <c r="B123" s="529" t="s">
        <v>3570</v>
      </c>
      <c r="C123" s="529" t="s">
        <v>3571</v>
      </c>
      <c r="D123" s="532" t="s">
        <v>2183</v>
      </c>
      <c r="E123" s="532" t="s">
        <v>2281</v>
      </c>
      <c r="F123" s="886" t="s">
        <v>70</v>
      </c>
      <c r="G123" s="586" t="s">
        <v>3338</v>
      </c>
      <c r="H123" s="2727"/>
      <c r="I123" s="2715"/>
      <c r="J123" s="2726"/>
      <c r="K123" s="2715"/>
      <c r="L123" s="2715"/>
      <c r="M123" s="2716"/>
      <c r="N123" s="2715"/>
      <c r="O123" s="534"/>
      <c r="P123" s="2727"/>
      <c r="Q123" s="534">
        <f t="shared" si="26"/>
        <v>0</v>
      </c>
      <c r="R123" s="534"/>
      <c r="S123" s="987"/>
      <c r="T123" s="4015"/>
      <c r="U123" s="1256"/>
      <c r="V123" s="3501">
        <f>Q123-U123</f>
        <v>0</v>
      </c>
    </row>
    <row r="124" spans="1:22" ht="30" x14ac:dyDescent="0.2">
      <c r="A124" s="1800" t="s">
        <v>4944</v>
      </c>
      <c r="B124" s="529" t="s">
        <v>3572</v>
      </c>
      <c r="C124" s="529" t="s">
        <v>3573</v>
      </c>
      <c r="D124" s="532" t="s">
        <v>1382</v>
      </c>
      <c r="E124" s="532" t="s">
        <v>4127</v>
      </c>
      <c r="F124" s="891" t="s">
        <v>85</v>
      </c>
      <c r="G124" s="586" t="s">
        <v>4781</v>
      </c>
      <c r="H124" s="2727"/>
      <c r="I124" s="2715"/>
      <c r="J124" s="2726"/>
      <c r="K124" s="2715"/>
      <c r="L124" s="2715"/>
      <c r="M124" s="2716"/>
      <c r="N124" s="2715"/>
      <c r="O124" s="534"/>
      <c r="P124" s="2727"/>
      <c r="Q124" s="535">
        <f t="shared" si="26"/>
        <v>0</v>
      </c>
      <c r="R124" s="535"/>
      <c r="S124" s="985">
        <f>'Abs23. NPPCF'!Q22</f>
        <v>0</v>
      </c>
      <c r="T124" s="4015"/>
      <c r="U124" s="1252">
        <f>'Abs23. NPPCF'!R22</f>
        <v>0</v>
      </c>
    </row>
    <row r="125" spans="1:22" ht="45" x14ac:dyDescent="0.2">
      <c r="A125" s="1800" t="s">
        <v>4943</v>
      </c>
      <c r="B125" s="529" t="s">
        <v>3574</v>
      </c>
      <c r="C125" s="529" t="s">
        <v>3575</v>
      </c>
      <c r="D125" s="532" t="s">
        <v>2195</v>
      </c>
      <c r="E125" s="532" t="s">
        <v>2282</v>
      </c>
      <c r="F125" s="980" t="s">
        <v>4366</v>
      </c>
      <c r="G125" s="586" t="s">
        <v>3677</v>
      </c>
      <c r="H125" s="2727"/>
      <c r="I125" s="2715"/>
      <c r="J125" s="2726"/>
      <c r="K125" s="2715"/>
      <c r="L125" s="2715"/>
      <c r="M125" s="2716"/>
      <c r="N125" s="2715"/>
      <c r="O125" s="534"/>
      <c r="P125" s="2727"/>
      <c r="Q125" s="535">
        <f t="shared" si="26"/>
        <v>0</v>
      </c>
      <c r="R125" s="535"/>
      <c r="S125" s="985">
        <f>'Abs8. IDSP'!Q34</f>
        <v>0</v>
      </c>
      <c r="T125" s="4015"/>
      <c r="U125" s="1252">
        <f>'Abs8. IDSP'!R34</f>
        <v>0</v>
      </c>
      <c r="V125" s="3501">
        <f>Q125-U125</f>
        <v>0</v>
      </c>
    </row>
    <row r="126" spans="1:22" ht="30" x14ac:dyDescent="0.2">
      <c r="A126" s="1800" t="s">
        <v>5030</v>
      </c>
      <c r="B126" s="529" t="s">
        <v>3576</v>
      </c>
      <c r="C126" s="529" t="s">
        <v>3577</v>
      </c>
      <c r="D126" s="532" t="s">
        <v>1544</v>
      </c>
      <c r="E126" s="532" t="s">
        <v>2283</v>
      </c>
      <c r="F126" s="980" t="s">
        <v>4366</v>
      </c>
      <c r="G126" s="586" t="s">
        <v>4991</v>
      </c>
      <c r="H126" s="2727"/>
      <c r="I126" s="2715"/>
      <c r="J126" s="2726"/>
      <c r="K126" s="2715"/>
      <c r="L126" s="2715"/>
      <c r="M126" s="2716"/>
      <c r="N126" s="2715"/>
      <c r="O126" s="534"/>
      <c r="P126" s="2727"/>
      <c r="Q126" s="535">
        <f t="shared" si="26"/>
        <v>0</v>
      </c>
      <c r="R126" s="535"/>
      <c r="S126" s="985">
        <f>'Abs9. NVBDCP'!Q124</f>
        <v>0</v>
      </c>
      <c r="T126" s="4015"/>
      <c r="U126" s="1508">
        <f>'Abs9. NVBDCP'!R124</f>
        <v>0</v>
      </c>
    </row>
    <row r="127" spans="1:22" ht="30" x14ac:dyDescent="0.2">
      <c r="A127" s="1800" t="s">
        <v>5031</v>
      </c>
      <c r="B127" s="529" t="s">
        <v>3578</v>
      </c>
      <c r="C127" s="529" t="s">
        <v>3579</v>
      </c>
      <c r="D127" s="532" t="s">
        <v>2284</v>
      </c>
      <c r="E127" s="532" t="s">
        <v>2285</v>
      </c>
      <c r="F127" s="980" t="s">
        <v>4366</v>
      </c>
      <c r="G127" s="586" t="s">
        <v>4988</v>
      </c>
      <c r="H127" s="2727"/>
      <c r="I127" s="2715"/>
      <c r="J127" s="2726"/>
      <c r="K127" s="2715"/>
      <c r="L127" s="2715"/>
      <c r="M127" s="2716"/>
      <c r="N127" s="2715"/>
      <c r="O127" s="534"/>
      <c r="P127" s="2727"/>
      <c r="Q127" s="535">
        <f t="shared" si="26"/>
        <v>0</v>
      </c>
      <c r="R127" s="535"/>
      <c r="S127" s="985">
        <f>'Abs9. NVBDCP'!Q125</f>
        <v>0</v>
      </c>
      <c r="T127" s="4015"/>
      <c r="U127" s="1508">
        <f>'Abs9. NVBDCP'!R125</f>
        <v>0</v>
      </c>
    </row>
    <row r="128" spans="1:22" ht="30" x14ac:dyDescent="0.2">
      <c r="A128" s="1800" t="s">
        <v>5032</v>
      </c>
      <c r="B128" s="529" t="s">
        <v>3580</v>
      </c>
      <c r="C128" s="529" t="s">
        <v>3581</v>
      </c>
      <c r="D128" s="532" t="s">
        <v>2286</v>
      </c>
      <c r="E128" s="532" t="s">
        <v>2287</v>
      </c>
      <c r="F128" s="980" t="s">
        <v>4366</v>
      </c>
      <c r="G128" s="586" t="s">
        <v>3679</v>
      </c>
      <c r="H128" s="2727"/>
      <c r="I128" s="2715"/>
      <c r="J128" s="2726"/>
      <c r="K128" s="2715"/>
      <c r="L128" s="2715"/>
      <c r="M128" s="2716"/>
      <c r="N128" s="2715"/>
      <c r="O128" s="534"/>
      <c r="P128" s="2727"/>
      <c r="Q128" s="534">
        <f t="shared" si="26"/>
        <v>0</v>
      </c>
      <c r="R128" s="534"/>
      <c r="S128" s="985">
        <f>'Abs10. NLEP'!Q44</f>
        <v>0</v>
      </c>
      <c r="T128" s="4015"/>
      <c r="U128" s="1508">
        <f>'Abs10. NLEP'!R44</f>
        <v>0</v>
      </c>
      <c r="V128" s="3501">
        <f t="shared" ref="V128:V130" si="27">Q128-U128</f>
        <v>0</v>
      </c>
    </row>
    <row r="129" spans="1:22" x14ac:dyDescent="0.2">
      <c r="A129" s="1800" t="s">
        <v>5186</v>
      </c>
      <c r="B129" s="529" t="s">
        <v>3582</v>
      </c>
      <c r="C129" s="529" t="s">
        <v>3583</v>
      </c>
      <c r="D129" s="532" t="s">
        <v>2288</v>
      </c>
      <c r="E129" s="532" t="s">
        <v>2289</v>
      </c>
      <c r="F129" s="980" t="s">
        <v>4366</v>
      </c>
      <c r="G129" s="586" t="s">
        <v>3679</v>
      </c>
      <c r="H129" s="2727"/>
      <c r="I129" s="2715"/>
      <c r="J129" s="2726"/>
      <c r="K129" s="2715"/>
      <c r="L129" s="2715"/>
      <c r="M129" s="2716"/>
      <c r="N129" s="2715"/>
      <c r="O129" s="534"/>
      <c r="P129" s="2727"/>
      <c r="Q129" s="534">
        <f t="shared" si="26"/>
        <v>0</v>
      </c>
      <c r="R129" s="534"/>
      <c r="S129" s="985">
        <f>'Abs10. NLEP'!Q45</f>
        <v>0</v>
      </c>
      <c r="T129" s="4015"/>
      <c r="U129" s="1508">
        <f>'Abs10. NLEP'!R45</f>
        <v>0</v>
      </c>
      <c r="V129" s="3501">
        <f t="shared" si="27"/>
        <v>0</v>
      </c>
    </row>
    <row r="130" spans="1:22" x14ac:dyDescent="0.2">
      <c r="A130" s="1800" t="s">
        <v>5033</v>
      </c>
      <c r="B130" s="529" t="s">
        <v>3584</v>
      </c>
      <c r="C130" s="529" t="s">
        <v>3585</v>
      </c>
      <c r="D130" s="532" t="s">
        <v>2290</v>
      </c>
      <c r="E130" s="532" t="s">
        <v>2291</v>
      </c>
      <c r="F130" s="980" t="s">
        <v>4366</v>
      </c>
      <c r="G130" s="586" t="s">
        <v>4682</v>
      </c>
      <c r="H130" s="2727"/>
      <c r="I130" s="2715"/>
      <c r="J130" s="2726"/>
      <c r="K130" s="2715"/>
      <c r="L130" s="2715"/>
      <c r="M130" s="2716"/>
      <c r="N130" s="2715"/>
      <c r="O130" s="534"/>
      <c r="P130" s="2727"/>
      <c r="Q130" s="535">
        <f t="shared" si="26"/>
        <v>0</v>
      </c>
      <c r="R130" s="535"/>
      <c r="S130" s="985">
        <f>'Abs11. NTEP'!Q62</f>
        <v>0</v>
      </c>
      <c r="T130" s="4015"/>
      <c r="U130" s="1508">
        <f>'Abs11. NTEP'!R62</f>
        <v>0</v>
      </c>
      <c r="V130" s="3501">
        <f t="shared" si="27"/>
        <v>0</v>
      </c>
    </row>
    <row r="131" spans="1:22" ht="30" x14ac:dyDescent="0.2">
      <c r="A131" s="1800" t="s">
        <v>5034</v>
      </c>
      <c r="B131" s="529" t="s">
        <v>3586</v>
      </c>
      <c r="C131" s="529" t="s">
        <v>3587</v>
      </c>
      <c r="D131" s="532" t="s">
        <v>2292</v>
      </c>
      <c r="E131" s="532" t="s">
        <v>2293</v>
      </c>
      <c r="F131" s="1559" t="s">
        <v>85</v>
      </c>
      <c r="G131" s="586" t="s">
        <v>3680</v>
      </c>
      <c r="H131" s="2715"/>
      <c r="I131" s="2715"/>
      <c r="J131" s="2715"/>
      <c r="K131" s="2715"/>
      <c r="L131" s="2715"/>
      <c r="M131" s="2715"/>
      <c r="N131" s="2715"/>
      <c r="O131" s="534"/>
      <c r="P131" s="2715"/>
      <c r="Q131" s="535">
        <f t="shared" si="26"/>
        <v>0</v>
      </c>
      <c r="R131" s="535"/>
      <c r="S131" s="985">
        <f>'Abs18. NTCP'!Q32</f>
        <v>0</v>
      </c>
      <c r="T131" s="4015"/>
      <c r="U131" s="1508">
        <f>'Abs18. NTCP'!R32</f>
        <v>0</v>
      </c>
    </row>
    <row r="132" spans="1:22" ht="30" x14ac:dyDescent="0.2">
      <c r="A132" s="1800" t="s">
        <v>4865</v>
      </c>
      <c r="B132" s="529" t="s">
        <v>3588</v>
      </c>
      <c r="C132" s="529" t="s">
        <v>3589</v>
      </c>
      <c r="D132" s="532" t="s">
        <v>2294</v>
      </c>
      <c r="E132" s="532" t="s">
        <v>2295</v>
      </c>
      <c r="F132" s="1559" t="s">
        <v>85</v>
      </c>
      <c r="G132" s="586" t="s">
        <v>3680</v>
      </c>
      <c r="H132" s="2715"/>
      <c r="I132" s="2715"/>
      <c r="J132" s="2715"/>
      <c r="K132" s="2715"/>
      <c r="L132" s="2715"/>
      <c r="M132" s="2715"/>
      <c r="N132" s="2715"/>
      <c r="O132" s="534"/>
      <c r="P132" s="2715"/>
      <c r="Q132" s="535">
        <f t="shared" si="26"/>
        <v>0</v>
      </c>
      <c r="R132" s="535"/>
      <c r="S132" s="985">
        <f>'Abs18. NTCP'!Q33</f>
        <v>0</v>
      </c>
      <c r="T132" s="4015"/>
      <c r="U132" s="1508">
        <f>'Abs18. NTCP'!R33</f>
        <v>0</v>
      </c>
    </row>
    <row r="133" spans="1:22" x14ac:dyDescent="0.2">
      <c r="A133" s="1800" t="s">
        <v>5035</v>
      </c>
      <c r="B133" s="529" t="s">
        <v>3590</v>
      </c>
      <c r="C133" s="529" t="s">
        <v>3591</v>
      </c>
      <c r="D133" s="532" t="s">
        <v>2247</v>
      </c>
      <c r="E133" s="532" t="s">
        <v>2296</v>
      </c>
      <c r="F133" s="1559" t="s">
        <v>85</v>
      </c>
      <c r="G133" s="586" t="s">
        <v>3682</v>
      </c>
      <c r="H133" s="2715"/>
      <c r="I133" s="2715"/>
      <c r="J133" s="2715"/>
      <c r="K133" s="2715"/>
      <c r="L133" s="2715"/>
      <c r="M133" s="2716"/>
      <c r="N133" s="2716"/>
      <c r="O133" s="534"/>
      <c r="P133" s="2715"/>
      <c r="Q133" s="535">
        <f t="shared" si="26"/>
        <v>0</v>
      </c>
      <c r="R133" s="535"/>
      <c r="S133" s="985">
        <f>'Abs19. NPCDCS'!Q67</f>
        <v>0</v>
      </c>
      <c r="T133" s="4015"/>
      <c r="U133" s="1508">
        <f>'Abs19. NPCDCS'!R67</f>
        <v>0</v>
      </c>
      <c r="V133" s="3501">
        <f t="shared" ref="V133:V134" si="28">Q133-U133</f>
        <v>0</v>
      </c>
    </row>
    <row r="134" spans="1:22" ht="30" x14ac:dyDescent="0.2">
      <c r="A134" s="1800" t="s">
        <v>4837</v>
      </c>
      <c r="B134" s="529" t="s">
        <v>3592</v>
      </c>
      <c r="C134" s="529"/>
      <c r="D134" s="541"/>
      <c r="E134" s="555" t="s">
        <v>3667</v>
      </c>
      <c r="F134" s="980" t="s">
        <v>4366</v>
      </c>
      <c r="G134" s="586" t="s">
        <v>3345</v>
      </c>
      <c r="H134" s="2715"/>
      <c r="I134" s="2715"/>
      <c r="J134" s="2715"/>
      <c r="K134" s="2715"/>
      <c r="L134" s="2715"/>
      <c r="M134" s="2715"/>
      <c r="N134" s="2715"/>
      <c r="O134" s="534"/>
      <c r="P134" s="2715"/>
      <c r="Q134" s="535">
        <f t="shared" si="26"/>
        <v>0</v>
      </c>
      <c r="R134" s="535"/>
      <c r="S134" s="1806">
        <f>'Abs12. NVHCP'!Q43</f>
        <v>0</v>
      </c>
      <c r="T134" s="4015"/>
      <c r="U134" s="1692">
        <f>'Abs12. NVHCP'!R43</f>
        <v>0</v>
      </c>
      <c r="V134" s="3501">
        <f t="shared" si="28"/>
        <v>0</v>
      </c>
    </row>
    <row r="135" spans="1:22" s="1804" customFormat="1" x14ac:dyDescent="0.2">
      <c r="A135" s="1798" t="s">
        <v>4835</v>
      </c>
      <c r="B135" s="529" t="s">
        <v>4447</v>
      </c>
      <c r="C135" s="529"/>
      <c r="D135" s="541"/>
      <c r="E135" s="563" t="s">
        <v>4448</v>
      </c>
      <c r="F135" s="980" t="s">
        <v>4366</v>
      </c>
      <c r="G135" s="564" t="s">
        <v>3678</v>
      </c>
      <c r="H135" s="2718"/>
      <c r="I135" s="2718"/>
      <c r="J135" s="2718"/>
      <c r="K135" s="2718"/>
      <c r="L135" s="2718"/>
      <c r="M135" s="2718"/>
      <c r="N135" s="2718"/>
      <c r="O135" s="534"/>
      <c r="P135" s="2718"/>
      <c r="Q135" s="544">
        <f t="shared" si="26"/>
        <v>0</v>
      </c>
      <c r="R135" s="544"/>
      <c r="S135" s="985">
        <f>'Abs9. NVBDCP'!Q126</f>
        <v>0</v>
      </c>
      <c r="T135" s="4015"/>
      <c r="U135" s="1508">
        <f>'Abs9. NVBDCP'!R126</f>
        <v>0</v>
      </c>
    </row>
    <row r="136" spans="1:22" ht="12.95" customHeight="1" x14ac:dyDescent="0.2">
      <c r="A136" s="2734">
        <v>2</v>
      </c>
      <c r="B136" s="2735" t="s">
        <v>3593</v>
      </c>
      <c r="C136" s="2735" t="s">
        <v>3594</v>
      </c>
      <c r="D136" s="2735"/>
      <c r="E136" s="2735" t="s">
        <v>2252</v>
      </c>
      <c r="F136" s="2736"/>
      <c r="G136" s="2736"/>
      <c r="H136" s="2737"/>
      <c r="I136" s="2737"/>
      <c r="J136" s="2738"/>
      <c r="K136" s="2738"/>
      <c r="L136" s="2738"/>
      <c r="M136" s="2737"/>
      <c r="N136" s="2737"/>
      <c r="O136" s="2738"/>
      <c r="P136" s="2737"/>
      <c r="Q136" s="2738">
        <f>SUM(Q137:Q145)</f>
        <v>57</v>
      </c>
      <c r="R136" s="2738"/>
      <c r="S136" s="2739"/>
      <c r="T136" s="4015"/>
      <c r="U136" s="1802">
        <f>SUM(U137:U145)</f>
        <v>0</v>
      </c>
      <c r="V136" s="3501">
        <f t="shared" ref="V136:V137" si="29">Q136-U136</f>
        <v>57</v>
      </c>
    </row>
    <row r="137" spans="1:22" ht="30" x14ac:dyDescent="0.2">
      <c r="A137" s="1800" t="s">
        <v>4941</v>
      </c>
      <c r="B137" s="529" t="s">
        <v>3595</v>
      </c>
      <c r="C137" s="529" t="s">
        <v>3596</v>
      </c>
      <c r="D137" s="532" t="s">
        <v>2185</v>
      </c>
      <c r="E137" s="532" t="s">
        <v>2297</v>
      </c>
      <c r="F137" s="886" t="s">
        <v>70</v>
      </c>
      <c r="G137" s="586" t="s">
        <v>3685</v>
      </c>
      <c r="H137" s="2727"/>
      <c r="I137" s="2715"/>
      <c r="J137" s="2726"/>
      <c r="K137" s="2715"/>
      <c r="L137" s="2715"/>
      <c r="M137" s="2716"/>
      <c r="N137" s="2715"/>
      <c r="O137" s="534"/>
      <c r="P137" s="2727"/>
      <c r="Q137" s="535">
        <f t="shared" ref="Q137:Q145" si="30">O137*P137</f>
        <v>0</v>
      </c>
      <c r="R137" s="535"/>
      <c r="S137" s="987"/>
      <c r="T137" s="4015"/>
      <c r="U137" s="1256"/>
      <c r="V137" s="3501">
        <f t="shared" si="29"/>
        <v>0</v>
      </c>
    </row>
    <row r="138" spans="1:22" x14ac:dyDescent="0.2">
      <c r="A138" s="1800" t="s">
        <v>4942</v>
      </c>
      <c r="B138" s="529" t="s">
        <v>3597</v>
      </c>
      <c r="C138" s="529" t="s">
        <v>3598</v>
      </c>
      <c r="D138" s="532" t="s">
        <v>2255</v>
      </c>
      <c r="E138" s="532" t="s">
        <v>2298</v>
      </c>
      <c r="F138" s="891" t="s">
        <v>85</v>
      </c>
      <c r="G138" s="586" t="s">
        <v>4782</v>
      </c>
      <c r="H138" s="2727"/>
      <c r="I138" s="2715"/>
      <c r="J138" s="2726"/>
      <c r="K138" s="2715"/>
      <c r="L138" s="2715"/>
      <c r="M138" s="2716"/>
      <c r="N138" s="2715"/>
      <c r="O138" s="534"/>
      <c r="P138" s="2727"/>
      <c r="Q138" s="535">
        <f t="shared" si="30"/>
        <v>0</v>
      </c>
      <c r="R138" s="535"/>
      <c r="S138" s="985">
        <f>'Abs25. NPPC'!Q23</f>
        <v>0</v>
      </c>
      <c r="T138" s="4015"/>
      <c r="U138" s="1252">
        <f>'Abs25. NPPC'!R23</f>
        <v>0</v>
      </c>
    </row>
    <row r="139" spans="1:22" ht="30" x14ac:dyDescent="0.2">
      <c r="A139" s="1800" t="s">
        <v>4825</v>
      </c>
      <c r="B139" s="529" t="s">
        <v>3599</v>
      </c>
      <c r="C139" s="529" t="s">
        <v>3600</v>
      </c>
      <c r="D139" s="532" t="s">
        <v>1544</v>
      </c>
      <c r="E139" s="532" t="s">
        <v>2283</v>
      </c>
      <c r="F139" s="980" t="s">
        <v>4366</v>
      </c>
      <c r="G139" s="586" t="s">
        <v>4991</v>
      </c>
      <c r="H139" s="2727"/>
      <c r="I139" s="2715"/>
      <c r="J139" s="2726"/>
      <c r="K139" s="2715"/>
      <c r="L139" s="2715"/>
      <c r="M139" s="2716"/>
      <c r="N139" s="2715"/>
      <c r="O139" s="534"/>
      <c r="P139" s="2727"/>
      <c r="Q139" s="535">
        <f t="shared" si="30"/>
        <v>0</v>
      </c>
      <c r="R139" s="535"/>
      <c r="S139" s="985">
        <f>'Abs9. NVBDCP'!Q127</f>
        <v>0</v>
      </c>
      <c r="T139" s="4015"/>
      <c r="U139" s="1508">
        <f>'Abs9. NVBDCP'!R127</f>
        <v>0</v>
      </c>
    </row>
    <row r="140" spans="1:22" ht="30" x14ac:dyDescent="0.2">
      <c r="A140" s="1800" t="s">
        <v>4944</v>
      </c>
      <c r="B140" s="529" t="s">
        <v>3601</v>
      </c>
      <c r="C140" s="529" t="s">
        <v>3602</v>
      </c>
      <c r="D140" s="532" t="s">
        <v>2299</v>
      </c>
      <c r="E140" s="532" t="s">
        <v>2300</v>
      </c>
      <c r="F140" s="980" t="s">
        <v>4366</v>
      </c>
      <c r="G140" s="586" t="s">
        <v>3679</v>
      </c>
      <c r="H140" s="2728"/>
      <c r="I140" s="2729"/>
      <c r="J140" s="2732"/>
      <c r="K140" s="2729"/>
      <c r="L140" s="2729"/>
      <c r="M140" s="2731"/>
      <c r="N140" s="2729"/>
      <c r="O140" s="534"/>
      <c r="P140" s="2728"/>
      <c r="Q140" s="534">
        <f t="shared" si="30"/>
        <v>0</v>
      </c>
      <c r="R140" s="534"/>
      <c r="S140" s="985">
        <f>'Abs10. NLEP'!Q46</f>
        <v>0</v>
      </c>
      <c r="T140" s="4015"/>
      <c r="U140" s="1508">
        <f>'Abs10. NLEP'!R46</f>
        <v>0</v>
      </c>
      <c r="V140" s="3501">
        <f t="shared" ref="V140:V143" si="31">Q140-U140</f>
        <v>0</v>
      </c>
    </row>
    <row r="141" spans="1:22" x14ac:dyDescent="0.2">
      <c r="A141" s="1800" t="s">
        <v>4943</v>
      </c>
      <c r="B141" s="529" t="s">
        <v>3603</v>
      </c>
      <c r="C141" s="529" t="s">
        <v>3604</v>
      </c>
      <c r="D141" s="532" t="s">
        <v>2301</v>
      </c>
      <c r="E141" s="532" t="s">
        <v>2302</v>
      </c>
      <c r="F141" s="980" t="s">
        <v>4366</v>
      </c>
      <c r="G141" s="586" t="s">
        <v>3679</v>
      </c>
      <c r="H141" s="2727"/>
      <c r="I141" s="2715"/>
      <c r="J141" s="2726"/>
      <c r="K141" s="2715"/>
      <c r="L141" s="2715"/>
      <c r="M141" s="2716"/>
      <c r="N141" s="2715"/>
      <c r="O141" s="534"/>
      <c r="P141" s="2727"/>
      <c r="Q141" s="534">
        <f t="shared" si="30"/>
        <v>0</v>
      </c>
      <c r="R141" s="534"/>
      <c r="S141" s="985">
        <f>'Abs10. NLEP'!Q47</f>
        <v>0</v>
      </c>
      <c r="T141" s="4015"/>
      <c r="U141" s="1508">
        <f>'Abs10. NLEP'!R47</f>
        <v>0</v>
      </c>
      <c r="V141" s="3501">
        <f t="shared" si="31"/>
        <v>0</v>
      </c>
    </row>
    <row r="142" spans="1:22" ht="45" x14ac:dyDescent="0.2">
      <c r="A142" s="1800" t="s">
        <v>5030</v>
      </c>
      <c r="B142" s="529" t="s">
        <v>3605</v>
      </c>
      <c r="C142" s="529" t="s">
        <v>3606</v>
      </c>
      <c r="D142" s="541" t="s">
        <v>2303</v>
      </c>
      <c r="E142" s="541" t="s">
        <v>2304</v>
      </c>
      <c r="F142" s="1559" t="s">
        <v>85</v>
      </c>
      <c r="G142" s="587" t="s">
        <v>3672</v>
      </c>
      <c r="H142" s="2727"/>
      <c r="I142" s="2715"/>
      <c r="J142" s="2726"/>
      <c r="K142" s="2715"/>
      <c r="L142" s="2715"/>
      <c r="M142" s="2716"/>
      <c r="N142" s="2715"/>
      <c r="O142" s="534"/>
      <c r="P142" s="2727"/>
      <c r="Q142" s="544">
        <f t="shared" si="30"/>
        <v>0</v>
      </c>
      <c r="R142" s="544"/>
      <c r="S142" s="985">
        <f>'Abs16. NMHP'!Q32</f>
        <v>0</v>
      </c>
      <c r="T142" s="4015"/>
      <c r="U142" s="1508">
        <f>'Abs16. NMHP'!R32</f>
        <v>0</v>
      </c>
      <c r="V142" s="3501">
        <f t="shared" si="31"/>
        <v>0</v>
      </c>
    </row>
    <row r="143" spans="1:22" x14ac:dyDescent="0.2">
      <c r="A143" s="1800" t="s">
        <v>5031</v>
      </c>
      <c r="B143" s="529" t="s">
        <v>3607</v>
      </c>
      <c r="C143" s="529" t="s">
        <v>3608</v>
      </c>
      <c r="D143" s="532" t="s">
        <v>2265</v>
      </c>
      <c r="E143" s="532" t="s">
        <v>2305</v>
      </c>
      <c r="F143" s="1559" t="s">
        <v>85</v>
      </c>
      <c r="G143" s="586" t="s">
        <v>3672</v>
      </c>
      <c r="H143" s="2727"/>
      <c r="I143" s="2715"/>
      <c r="J143" s="2726"/>
      <c r="K143" s="2715"/>
      <c r="L143" s="2715"/>
      <c r="M143" s="2716"/>
      <c r="N143" s="2715"/>
      <c r="O143" s="534"/>
      <c r="P143" s="2727"/>
      <c r="Q143" s="535">
        <f t="shared" si="30"/>
        <v>0</v>
      </c>
      <c r="R143" s="535"/>
      <c r="S143" s="985">
        <f>'Abs16. NMHP'!Q33</f>
        <v>0</v>
      </c>
      <c r="T143" s="4015"/>
      <c r="U143" s="1508">
        <f>'Abs16. NMHP'!R33</f>
        <v>0</v>
      </c>
      <c r="V143" s="3501">
        <f t="shared" si="31"/>
        <v>0</v>
      </c>
    </row>
    <row r="144" spans="1:22" ht="30" x14ac:dyDescent="0.2">
      <c r="A144" s="1800" t="s">
        <v>5032</v>
      </c>
      <c r="B144" s="529" t="s">
        <v>3609</v>
      </c>
      <c r="C144" s="529" t="s">
        <v>3610</v>
      </c>
      <c r="D144" s="532" t="s">
        <v>2306</v>
      </c>
      <c r="E144" s="532" t="s">
        <v>2307</v>
      </c>
      <c r="F144" s="1559" t="s">
        <v>85</v>
      </c>
      <c r="G144" s="587" t="s">
        <v>3680</v>
      </c>
      <c r="H144" s="2715"/>
      <c r="I144" s="2715"/>
      <c r="J144" s="2715"/>
      <c r="K144" s="2715"/>
      <c r="L144" s="2715"/>
      <c r="M144" s="2715"/>
      <c r="N144" s="2715"/>
      <c r="O144" s="534"/>
      <c r="P144" s="2715"/>
      <c r="Q144" s="535">
        <f t="shared" si="30"/>
        <v>0</v>
      </c>
      <c r="R144" s="535"/>
      <c r="S144" s="985">
        <f>'Abs18. NTCP'!Q34</f>
        <v>0</v>
      </c>
      <c r="T144" s="4015"/>
      <c r="U144" s="1508">
        <f>'Abs18. NTCP'!R34</f>
        <v>0</v>
      </c>
    </row>
    <row r="145" spans="1:22" ht="45" x14ac:dyDescent="0.2">
      <c r="A145" s="1800" t="s">
        <v>5186</v>
      </c>
      <c r="B145" s="529" t="s">
        <v>3611</v>
      </c>
      <c r="C145" s="529" t="s">
        <v>3612</v>
      </c>
      <c r="D145" s="532" t="s">
        <v>2247</v>
      </c>
      <c r="E145" s="532" t="s">
        <v>2308</v>
      </c>
      <c r="F145" s="1559" t="s">
        <v>85</v>
      </c>
      <c r="G145" s="586" t="s">
        <v>3682</v>
      </c>
      <c r="H145" s="2749"/>
      <c r="I145" s="2749"/>
      <c r="J145" s="2749"/>
      <c r="K145" s="2749"/>
      <c r="L145" s="2749"/>
      <c r="M145" s="2716" t="s">
        <v>5958</v>
      </c>
      <c r="N145" s="2716">
        <v>150000</v>
      </c>
      <c r="O145" s="3689">
        <f>+N145/100000</f>
        <v>1.5</v>
      </c>
      <c r="P145" s="2715">
        <v>38</v>
      </c>
      <c r="Q145" s="535">
        <f t="shared" si="30"/>
        <v>57</v>
      </c>
      <c r="R145" s="3690" t="s">
        <v>5966</v>
      </c>
      <c r="S145" s="985">
        <f>'Abs19. NPCDCS'!Q68</f>
        <v>0</v>
      </c>
      <c r="T145" s="4015"/>
      <c r="U145" s="1508">
        <f>'Abs19. NPCDCS'!R68</f>
        <v>0</v>
      </c>
    </row>
    <row r="146" spans="1:22" ht="12.95" customHeight="1" x14ac:dyDescent="0.2">
      <c r="A146" s="1800">
        <v>3</v>
      </c>
      <c r="B146" s="529" t="s">
        <v>3613</v>
      </c>
      <c r="C146" s="529" t="s">
        <v>3614</v>
      </c>
      <c r="D146" s="529"/>
      <c r="E146" s="529" t="s">
        <v>3686</v>
      </c>
      <c r="F146" s="530"/>
      <c r="G146" s="530"/>
      <c r="H146" s="531"/>
      <c r="I146" s="531"/>
      <c r="J146" s="531"/>
      <c r="K146" s="531"/>
      <c r="L146" s="531"/>
      <c r="M146" s="531"/>
      <c r="N146" s="531"/>
      <c r="O146" s="177"/>
      <c r="P146" s="531"/>
      <c r="Q146" s="177">
        <f>Q147</f>
        <v>0</v>
      </c>
      <c r="R146" s="177"/>
      <c r="S146" s="1513"/>
      <c r="T146" s="4015"/>
      <c r="U146" s="1802">
        <f>U147</f>
        <v>0</v>
      </c>
      <c r="V146" s="3501">
        <f t="shared" ref="V146:V149" si="32">Q146-U146</f>
        <v>0</v>
      </c>
    </row>
    <row r="147" spans="1:22" x14ac:dyDescent="0.2">
      <c r="A147" s="1800" t="s">
        <v>4941</v>
      </c>
      <c r="B147" s="529" t="s">
        <v>3615</v>
      </c>
      <c r="C147" s="529" t="s">
        <v>3616</v>
      </c>
      <c r="D147" s="532" t="s">
        <v>2309</v>
      </c>
      <c r="E147" s="532" t="s">
        <v>2310</v>
      </c>
      <c r="F147" s="554" t="s">
        <v>90</v>
      </c>
      <c r="G147" s="586" t="s">
        <v>3341</v>
      </c>
      <c r="H147" s="533"/>
      <c r="I147" s="559"/>
      <c r="J147" s="559"/>
      <c r="K147" s="559"/>
      <c r="L147" s="559"/>
      <c r="M147" s="3013"/>
      <c r="N147" s="304"/>
      <c r="O147" s="534"/>
      <c r="P147" s="304"/>
      <c r="Q147" s="535">
        <f>O147*P147</f>
        <v>0</v>
      </c>
      <c r="R147" s="535"/>
      <c r="S147" s="985">
        <f>'Ab1. RMNCH+A'!Q474</f>
        <v>0</v>
      </c>
      <c r="T147" s="4015"/>
      <c r="U147" s="1508">
        <f>'Ab1. RMNCH+A'!R474</f>
        <v>0</v>
      </c>
      <c r="V147" s="3501">
        <f t="shared" si="32"/>
        <v>0</v>
      </c>
    </row>
    <row r="148" spans="1:22" ht="12.95" customHeight="1" x14ac:dyDescent="0.2">
      <c r="A148" s="1800" t="s">
        <v>4364</v>
      </c>
      <c r="B148" s="523" t="s">
        <v>3386</v>
      </c>
      <c r="C148" s="523">
        <v>16.7</v>
      </c>
      <c r="D148" s="560"/>
      <c r="E148" s="560" t="s">
        <v>2311</v>
      </c>
      <c r="F148" s="561"/>
      <c r="G148" s="561"/>
      <c r="H148" s="562"/>
      <c r="I148" s="528"/>
      <c r="J148" s="528"/>
      <c r="K148" s="528"/>
      <c r="L148" s="562"/>
      <c r="M148" s="562"/>
      <c r="N148" s="562"/>
      <c r="O148" s="528"/>
      <c r="P148" s="562"/>
      <c r="Q148" s="528">
        <f>Q149+Q153+Q163</f>
        <v>0</v>
      </c>
      <c r="R148" s="528"/>
      <c r="S148" s="971"/>
      <c r="T148" s="4015"/>
      <c r="U148" s="972">
        <f>U149+U153+U163</f>
        <v>0</v>
      </c>
      <c r="V148" s="3501">
        <f t="shared" si="32"/>
        <v>0</v>
      </c>
    </row>
    <row r="149" spans="1:22" ht="12.95" customHeight="1" x14ac:dyDescent="0.2">
      <c r="A149" s="1800">
        <v>1</v>
      </c>
      <c r="B149" s="529" t="s">
        <v>3617</v>
      </c>
      <c r="C149" s="529" t="s">
        <v>3618</v>
      </c>
      <c r="D149" s="529"/>
      <c r="E149" s="529" t="s">
        <v>2312</v>
      </c>
      <c r="F149" s="530"/>
      <c r="G149" s="530"/>
      <c r="H149" s="531"/>
      <c r="I149" s="177"/>
      <c r="J149" s="177"/>
      <c r="K149" s="177"/>
      <c r="L149" s="531"/>
      <c r="M149" s="531"/>
      <c r="N149" s="531"/>
      <c r="O149" s="177"/>
      <c r="P149" s="531"/>
      <c r="Q149" s="177">
        <f>SUM(Q150:Q152)</f>
        <v>0</v>
      </c>
      <c r="R149" s="177"/>
      <c r="S149" s="1513"/>
      <c r="T149" s="4015"/>
      <c r="U149" s="1802">
        <f>SUM(U150:U152)</f>
        <v>0</v>
      </c>
      <c r="V149" s="3501">
        <f t="shared" si="32"/>
        <v>0</v>
      </c>
    </row>
    <row r="150" spans="1:22" ht="45" x14ac:dyDescent="0.2">
      <c r="A150" s="1800" t="s">
        <v>4941</v>
      </c>
      <c r="B150" s="529" t="s">
        <v>3619</v>
      </c>
      <c r="C150" s="529" t="s">
        <v>3620</v>
      </c>
      <c r="D150" s="537" t="s">
        <v>2313</v>
      </c>
      <c r="E150" s="532" t="s">
        <v>4676</v>
      </c>
      <c r="F150" s="886" t="s">
        <v>70</v>
      </c>
      <c r="G150" s="586" t="s">
        <v>3687</v>
      </c>
      <c r="H150" s="533"/>
      <c r="I150" s="559"/>
      <c r="J150" s="559"/>
      <c r="K150" s="559"/>
      <c r="L150" s="559"/>
      <c r="M150" s="559"/>
      <c r="N150" s="304"/>
      <c r="O150" s="534"/>
      <c r="P150" s="304"/>
      <c r="Q150" s="535">
        <f>O150*P150</f>
        <v>0</v>
      </c>
      <c r="R150" s="535"/>
      <c r="S150" s="985">
        <f>'Abs5. Blood services &amp; Disorder'!Q30</f>
        <v>0</v>
      </c>
      <c r="T150" s="4015"/>
      <c r="U150" s="1547">
        <f>'Abs5. Blood services &amp; Disorder'!R30</f>
        <v>0</v>
      </c>
    </row>
    <row r="151" spans="1:22" x14ac:dyDescent="0.2">
      <c r="A151" s="1800" t="s">
        <v>4942</v>
      </c>
      <c r="B151" s="529" t="s">
        <v>3621</v>
      </c>
      <c r="C151" s="529" t="s">
        <v>3622</v>
      </c>
      <c r="D151" s="537" t="s">
        <v>1154</v>
      </c>
      <c r="E151" s="532" t="s">
        <v>2314</v>
      </c>
      <c r="F151" s="886" t="s">
        <v>70</v>
      </c>
      <c r="G151" s="586" t="s">
        <v>3338</v>
      </c>
      <c r="H151" s="2715"/>
      <c r="I151" s="2745"/>
      <c r="J151" s="2747"/>
      <c r="K151" s="2745"/>
      <c r="L151" s="2745"/>
      <c r="M151" s="2745"/>
      <c r="N151" s="2745"/>
      <c r="O151" s="534"/>
      <c r="P151" s="304"/>
      <c r="Q151" s="535">
        <f>O151*P151</f>
        <v>0</v>
      </c>
      <c r="R151" s="535"/>
      <c r="S151" s="987"/>
      <c r="T151" s="4015"/>
      <c r="U151" s="1254"/>
      <c r="V151" s="3501">
        <f>Q151-U151</f>
        <v>0</v>
      </c>
    </row>
    <row r="152" spans="1:22" ht="45" x14ac:dyDescent="0.2">
      <c r="A152" s="1800" t="s">
        <v>4825</v>
      </c>
      <c r="B152" s="529" t="s">
        <v>3623</v>
      </c>
      <c r="C152" s="529" t="s">
        <v>3624</v>
      </c>
      <c r="D152" s="537" t="s">
        <v>2209</v>
      </c>
      <c r="E152" s="532" t="s">
        <v>2317</v>
      </c>
      <c r="F152" s="980" t="s">
        <v>4366</v>
      </c>
      <c r="G152" s="586" t="s">
        <v>4987</v>
      </c>
      <c r="H152" s="2715"/>
      <c r="I152" s="2748"/>
      <c r="J152" s="2748"/>
      <c r="K152" s="2748"/>
      <c r="L152" s="2748"/>
      <c r="M152" s="2748"/>
      <c r="N152" s="2748"/>
      <c r="O152" s="534"/>
      <c r="P152" s="304"/>
      <c r="Q152" s="535">
        <f>O152*P152</f>
        <v>0</v>
      </c>
      <c r="R152" s="535"/>
      <c r="S152" s="985">
        <f>'Abs9. NVBDCP'!Q128</f>
        <v>0</v>
      </c>
      <c r="T152" s="4015"/>
      <c r="U152" s="1508">
        <f>'Abs9. NVBDCP'!R128</f>
        <v>0</v>
      </c>
    </row>
    <row r="153" spans="1:22" ht="26.1" customHeight="1" x14ac:dyDescent="0.2">
      <c r="A153" s="1800">
        <v>2</v>
      </c>
      <c r="B153" s="2735" t="s">
        <v>3625</v>
      </c>
      <c r="C153" s="2735" t="s">
        <v>3626</v>
      </c>
      <c r="D153" s="2735"/>
      <c r="E153" s="2735" t="s">
        <v>2318</v>
      </c>
      <c r="F153" s="2736"/>
      <c r="G153" s="2736"/>
      <c r="H153" s="2737"/>
      <c r="I153" s="2737"/>
      <c r="J153" s="2738"/>
      <c r="K153" s="2738"/>
      <c r="L153" s="2738"/>
      <c r="M153" s="2737"/>
      <c r="N153" s="2737"/>
      <c r="O153" s="2738"/>
      <c r="P153" s="2737"/>
      <c r="Q153" s="2738">
        <f>SUM(Q154:Q158)+Q161+Q162</f>
        <v>0</v>
      </c>
      <c r="R153" s="2738"/>
      <c r="S153" s="2739"/>
      <c r="T153" s="4015"/>
      <c r="U153" s="1802">
        <f>SUM(U154:U158)+U161+U162</f>
        <v>0</v>
      </c>
      <c r="V153" s="3501">
        <f t="shared" ref="V153:V154" si="33">Q153-U153</f>
        <v>0</v>
      </c>
    </row>
    <row r="154" spans="1:22" ht="30" x14ac:dyDescent="0.2">
      <c r="A154" s="1800" t="s">
        <v>4941</v>
      </c>
      <c r="B154" s="529" t="s">
        <v>3627</v>
      </c>
      <c r="C154" s="529" t="s">
        <v>3628</v>
      </c>
      <c r="D154" s="537" t="s">
        <v>2195</v>
      </c>
      <c r="E154" s="532" t="s">
        <v>2319</v>
      </c>
      <c r="F154" s="980" t="s">
        <v>4366</v>
      </c>
      <c r="G154" s="586" t="s">
        <v>3677</v>
      </c>
      <c r="H154" s="2718"/>
      <c r="I154" s="2715"/>
      <c r="J154" s="2726"/>
      <c r="K154" s="2715"/>
      <c r="L154" s="2715"/>
      <c r="M154" s="2716"/>
      <c r="N154" s="2715"/>
      <c r="O154" s="534"/>
      <c r="P154" s="2718"/>
      <c r="Q154" s="544">
        <f>O154*P154</f>
        <v>0</v>
      </c>
      <c r="R154" s="544"/>
      <c r="S154" s="985">
        <f>'Abs8. IDSP'!Q35</f>
        <v>0</v>
      </c>
      <c r="T154" s="4015"/>
      <c r="U154" s="1252">
        <f>'Abs8. IDSP'!R35</f>
        <v>0</v>
      </c>
      <c r="V154" s="3501">
        <f t="shared" si="33"/>
        <v>0</v>
      </c>
    </row>
    <row r="155" spans="1:22" ht="30" x14ac:dyDescent="0.2">
      <c r="A155" s="1800" t="s">
        <v>4942</v>
      </c>
      <c r="B155" s="529" t="s">
        <v>3629</v>
      </c>
      <c r="C155" s="529" t="s">
        <v>3630</v>
      </c>
      <c r="D155" s="565" t="s">
        <v>2320</v>
      </c>
      <c r="E155" s="541" t="s">
        <v>2321</v>
      </c>
      <c r="F155" s="980" t="s">
        <v>4366</v>
      </c>
      <c r="G155" s="586" t="s">
        <v>4988</v>
      </c>
      <c r="H155" s="2715"/>
      <c r="I155" s="2715"/>
      <c r="J155" s="2715"/>
      <c r="K155" s="2715"/>
      <c r="L155" s="2715"/>
      <c r="M155" s="2715"/>
      <c r="N155" s="2716"/>
      <c r="O155" s="534"/>
      <c r="P155" s="2715"/>
      <c r="Q155" s="535">
        <f>O155*P155</f>
        <v>0</v>
      </c>
      <c r="R155" s="535"/>
      <c r="S155" s="985">
        <f>'Abs9. NVBDCP'!Q129</f>
        <v>0</v>
      </c>
      <c r="T155" s="4015"/>
      <c r="U155" s="1508">
        <f>'Abs9. NVBDCP'!R129</f>
        <v>0</v>
      </c>
    </row>
    <row r="156" spans="1:22" x14ac:dyDescent="0.2">
      <c r="A156" s="1800" t="s">
        <v>4825</v>
      </c>
      <c r="B156" s="529" t="s">
        <v>3631</v>
      </c>
      <c r="C156" s="529" t="s">
        <v>3632</v>
      </c>
      <c r="D156" s="537" t="s">
        <v>2322</v>
      </c>
      <c r="E156" s="532" t="s">
        <v>4128</v>
      </c>
      <c r="F156" s="980" t="s">
        <v>4366</v>
      </c>
      <c r="G156" s="586" t="s">
        <v>3679</v>
      </c>
      <c r="H156" s="2716"/>
      <c r="I156" s="2716"/>
      <c r="J156" s="2716"/>
      <c r="K156" s="2716"/>
      <c r="L156" s="2716"/>
      <c r="M156" s="2716"/>
      <c r="N156" s="2716"/>
      <c r="O156" s="534"/>
      <c r="P156" s="2716"/>
      <c r="Q156" s="534">
        <f>O156*P156</f>
        <v>0</v>
      </c>
      <c r="R156" s="534"/>
      <c r="S156" s="985">
        <f>'Abs10. NLEP'!Q48</f>
        <v>0</v>
      </c>
      <c r="T156" s="4015"/>
      <c r="U156" s="1508">
        <f>'Abs10. NLEP'!R48</f>
        <v>0</v>
      </c>
      <c r="V156" s="3501">
        <f>Q156-U156</f>
        <v>0</v>
      </c>
    </row>
    <row r="157" spans="1:22" x14ac:dyDescent="0.2">
      <c r="A157" s="1800" t="s">
        <v>4944</v>
      </c>
      <c r="B157" s="529" t="s">
        <v>3633</v>
      </c>
      <c r="C157" s="529" t="s">
        <v>3634</v>
      </c>
      <c r="D157" s="537" t="s">
        <v>1292</v>
      </c>
      <c r="E157" s="532" t="s">
        <v>2323</v>
      </c>
      <c r="F157" s="980" t="s">
        <v>4366</v>
      </c>
      <c r="G157" s="586" t="s">
        <v>4682</v>
      </c>
      <c r="H157" s="2715"/>
      <c r="I157" s="2715"/>
      <c r="J157" s="2715"/>
      <c r="K157" s="2715"/>
      <c r="L157" s="2715"/>
      <c r="M157" s="2715"/>
      <c r="N157" s="2716"/>
      <c r="O157" s="534"/>
      <c r="P157" s="304"/>
      <c r="Q157" s="535">
        <f>O157*P157</f>
        <v>0</v>
      </c>
      <c r="R157" s="535"/>
      <c r="S157" s="985">
        <f>'Abs11. NTEP'!Q63</f>
        <v>0</v>
      </c>
      <c r="T157" s="4015"/>
      <c r="U157" s="1508">
        <f>'Abs11. NTEP'!R63</f>
        <v>0</v>
      </c>
    </row>
    <row r="158" spans="1:22" s="1804" customFormat="1" ht="39" customHeight="1" x14ac:dyDescent="0.2">
      <c r="A158" s="1798" t="s">
        <v>4943</v>
      </c>
      <c r="B158" s="529" t="s">
        <v>3635</v>
      </c>
      <c r="C158" s="529" t="s">
        <v>3636</v>
      </c>
      <c r="D158" s="529" t="s">
        <v>2324</v>
      </c>
      <c r="E158" s="529" t="s">
        <v>2325</v>
      </c>
      <c r="F158" s="530"/>
      <c r="G158" s="530"/>
      <c r="H158" s="2740"/>
      <c r="I158" s="2750"/>
      <c r="J158" s="2750"/>
      <c r="K158" s="2750"/>
      <c r="L158" s="2750"/>
      <c r="M158" s="2740"/>
      <c r="N158" s="2740"/>
      <c r="O158" s="177"/>
      <c r="P158" s="531"/>
      <c r="Q158" s="177">
        <f>Q159+Q160</f>
        <v>0</v>
      </c>
      <c r="R158" s="177"/>
      <c r="S158" s="1513"/>
      <c r="T158" s="4015"/>
      <c r="U158" s="1802">
        <f>U159+U160</f>
        <v>0</v>
      </c>
    </row>
    <row r="159" spans="1:22" x14ac:dyDescent="0.2">
      <c r="A159" s="1800" t="s">
        <v>5188</v>
      </c>
      <c r="B159" s="529" t="s">
        <v>4618</v>
      </c>
      <c r="C159" s="529" t="s">
        <v>3638</v>
      </c>
      <c r="D159" s="537" t="s">
        <v>2326</v>
      </c>
      <c r="E159" s="532" t="s">
        <v>1116</v>
      </c>
      <c r="F159" s="1559" t="s">
        <v>85</v>
      </c>
      <c r="G159" s="586" t="s">
        <v>3682</v>
      </c>
      <c r="H159" s="2715"/>
      <c r="I159" s="2715"/>
      <c r="J159" s="2715"/>
      <c r="K159" s="2715"/>
      <c r="L159" s="2715"/>
      <c r="M159" s="2715"/>
      <c r="N159" s="2716"/>
      <c r="O159" s="534"/>
      <c r="P159" s="304"/>
      <c r="Q159" s="535">
        <f>O159*P159</f>
        <v>0</v>
      </c>
      <c r="R159" s="535"/>
      <c r="S159" s="985">
        <f>'Abs19. NPCDCS'!Q69</f>
        <v>0</v>
      </c>
      <c r="T159" s="4015"/>
      <c r="U159" s="1508">
        <f>'Abs19. NPCDCS'!R69</f>
        <v>0</v>
      </c>
    </row>
    <row r="160" spans="1:22" x14ac:dyDescent="0.2">
      <c r="A160" s="1800" t="s">
        <v>5189</v>
      </c>
      <c r="B160" s="529" t="s">
        <v>4619</v>
      </c>
      <c r="C160" s="529" t="s">
        <v>3640</v>
      </c>
      <c r="D160" s="537" t="s">
        <v>2327</v>
      </c>
      <c r="E160" s="532" t="s">
        <v>2328</v>
      </c>
      <c r="F160" s="1559" t="s">
        <v>85</v>
      </c>
      <c r="G160" s="586" t="s">
        <v>3682</v>
      </c>
      <c r="H160" s="2715"/>
      <c r="I160" s="2715"/>
      <c r="J160" s="2715"/>
      <c r="K160" s="2715"/>
      <c r="L160" s="2715"/>
      <c r="M160" s="2715"/>
      <c r="N160" s="2716"/>
      <c r="O160" s="534"/>
      <c r="P160" s="304"/>
      <c r="Q160" s="535">
        <f>O160*P160</f>
        <v>0</v>
      </c>
      <c r="R160" s="535"/>
      <c r="S160" s="985">
        <f>'Abs19. NPCDCS'!Q70</f>
        <v>0</v>
      </c>
      <c r="T160" s="4015"/>
      <c r="U160" s="1508">
        <f>'Abs19. NPCDCS'!R70</f>
        <v>0</v>
      </c>
    </row>
    <row r="161" spans="1:22" ht="45" x14ac:dyDescent="0.2">
      <c r="A161" s="1800" t="s">
        <v>5030</v>
      </c>
      <c r="B161" s="529" t="s">
        <v>3637</v>
      </c>
      <c r="C161" s="529"/>
      <c r="D161" s="565"/>
      <c r="E161" s="532" t="s">
        <v>3688</v>
      </c>
      <c r="F161" s="980" t="s">
        <v>4366</v>
      </c>
      <c r="G161" s="586" t="s">
        <v>3345</v>
      </c>
      <c r="H161" s="2715"/>
      <c r="I161" s="2715"/>
      <c r="J161" s="2715"/>
      <c r="K161" s="2715"/>
      <c r="L161" s="2715"/>
      <c r="M161" s="2715"/>
      <c r="N161" s="2716"/>
      <c r="O161" s="534"/>
      <c r="P161" s="304"/>
      <c r="Q161" s="535">
        <f>O161*P161</f>
        <v>0</v>
      </c>
      <c r="R161" s="535"/>
      <c r="S161" s="985">
        <f>'Abs12. NVHCP'!Q44</f>
        <v>0</v>
      </c>
      <c r="T161" s="4015"/>
      <c r="U161" s="1508">
        <f>'Abs12. NVHCP'!R44</f>
        <v>0</v>
      </c>
      <c r="V161" s="3501">
        <f>Q161-U161</f>
        <v>0</v>
      </c>
    </row>
    <row r="162" spans="1:22" s="1804" customFormat="1" x14ac:dyDescent="0.2">
      <c r="A162" s="1798" t="s">
        <v>5031</v>
      </c>
      <c r="B162" s="529" t="s">
        <v>3639</v>
      </c>
      <c r="C162" s="529"/>
      <c r="D162" s="565"/>
      <c r="E162" s="541" t="s">
        <v>4444</v>
      </c>
      <c r="F162" s="980" t="s">
        <v>4366</v>
      </c>
      <c r="G162" s="587" t="s">
        <v>3678</v>
      </c>
      <c r="H162" s="2718"/>
      <c r="I162" s="2718"/>
      <c r="J162" s="2718"/>
      <c r="K162" s="2718"/>
      <c r="L162" s="2718"/>
      <c r="M162" s="2718"/>
      <c r="N162" s="2720"/>
      <c r="O162" s="534"/>
      <c r="P162" s="304"/>
      <c r="Q162" s="544">
        <f>O162*P162</f>
        <v>0</v>
      </c>
      <c r="R162" s="544"/>
      <c r="S162" s="985">
        <f>'Abs9. NVBDCP'!Q130</f>
        <v>0</v>
      </c>
      <c r="T162" s="4015"/>
      <c r="U162" s="1508">
        <f>'Abs9. NVBDCP'!R130</f>
        <v>0</v>
      </c>
    </row>
    <row r="163" spans="1:22" ht="12.95" customHeight="1" x14ac:dyDescent="0.2">
      <c r="A163" s="1800">
        <v>3</v>
      </c>
      <c r="B163" s="529" t="s">
        <v>3641</v>
      </c>
      <c r="C163" s="529" t="s">
        <v>3642</v>
      </c>
      <c r="D163" s="529"/>
      <c r="E163" s="529" t="s">
        <v>307</v>
      </c>
      <c r="F163" s="530"/>
      <c r="G163" s="530"/>
      <c r="H163" s="531"/>
      <c r="I163" s="531"/>
      <c r="J163" s="177"/>
      <c r="K163" s="177"/>
      <c r="L163" s="177"/>
      <c r="M163" s="531"/>
      <c r="N163" s="531"/>
      <c r="O163" s="177"/>
      <c r="P163" s="531"/>
      <c r="Q163" s="177">
        <f>SUM(Q164:Q173)+Q175+Q178</f>
        <v>0</v>
      </c>
      <c r="R163" s="177"/>
      <c r="S163" s="1513"/>
      <c r="T163" s="4015"/>
      <c r="U163" s="1802">
        <f>SUM(U164:U173)+U175+U178</f>
        <v>0</v>
      </c>
      <c r="V163" s="3501">
        <f>Q163-U163</f>
        <v>0</v>
      </c>
    </row>
    <row r="164" spans="1:22" ht="30" x14ac:dyDescent="0.2">
      <c r="A164" s="1800" t="s">
        <v>4941</v>
      </c>
      <c r="B164" s="529" t="s">
        <v>3643</v>
      </c>
      <c r="C164" s="529" t="s">
        <v>3644</v>
      </c>
      <c r="D164" s="537" t="s">
        <v>132</v>
      </c>
      <c r="E164" s="532" t="s">
        <v>2329</v>
      </c>
      <c r="F164" s="566" t="s">
        <v>90</v>
      </c>
      <c r="G164" s="586" t="s">
        <v>3341</v>
      </c>
      <c r="H164" s="533"/>
      <c r="I164" s="533"/>
      <c r="J164" s="533"/>
      <c r="K164" s="533"/>
      <c r="L164" s="533"/>
      <c r="M164" s="533"/>
      <c r="N164" s="304"/>
      <c r="O164" s="534"/>
      <c r="P164" s="304"/>
      <c r="Q164" s="535">
        <f t="shared" ref="Q164:Q172" si="34">O164*P164</f>
        <v>0</v>
      </c>
      <c r="R164" s="535"/>
      <c r="S164" s="985">
        <f>'Ab1. RMNCH+A'!Q475</f>
        <v>0</v>
      </c>
      <c r="T164" s="4015"/>
      <c r="U164" s="1252">
        <f>'Ab1. RMNCH+A'!R475</f>
        <v>0</v>
      </c>
    </row>
    <row r="165" spans="1:22" x14ac:dyDescent="0.2">
      <c r="A165" s="1800" t="s">
        <v>4942</v>
      </c>
      <c r="B165" s="529" t="s">
        <v>3645</v>
      </c>
      <c r="C165" s="529" t="s">
        <v>3646</v>
      </c>
      <c r="D165" s="537" t="s">
        <v>2332</v>
      </c>
      <c r="E165" s="532" t="s">
        <v>2333</v>
      </c>
      <c r="F165" s="886" t="s">
        <v>70</v>
      </c>
      <c r="G165" s="558" t="s">
        <v>3683</v>
      </c>
      <c r="H165" s="2715"/>
      <c r="I165" s="2715"/>
      <c r="J165" s="2715"/>
      <c r="K165" s="2715"/>
      <c r="L165" s="2715"/>
      <c r="M165" s="2715"/>
      <c r="N165" s="2716"/>
      <c r="O165" s="534"/>
      <c r="P165" s="304"/>
      <c r="Q165" s="535">
        <f t="shared" si="34"/>
        <v>0</v>
      </c>
      <c r="R165" s="535"/>
      <c r="S165" s="987"/>
      <c r="T165" s="4015"/>
      <c r="U165" s="1256"/>
      <c r="V165" s="3501">
        <f>Q165-U165</f>
        <v>0</v>
      </c>
    </row>
    <row r="166" spans="1:22" x14ac:dyDescent="0.2">
      <c r="A166" s="1800" t="s">
        <v>4825</v>
      </c>
      <c r="B166" s="529" t="s">
        <v>3647</v>
      </c>
      <c r="C166" s="529" t="s">
        <v>3648</v>
      </c>
      <c r="D166" s="537" t="s">
        <v>2334</v>
      </c>
      <c r="E166" s="532" t="s">
        <v>2335</v>
      </c>
      <c r="F166" s="886" t="s">
        <v>70</v>
      </c>
      <c r="G166" s="558" t="s">
        <v>3683</v>
      </c>
      <c r="H166" s="567"/>
      <c r="I166" s="533"/>
      <c r="J166" s="533"/>
      <c r="K166" s="533"/>
      <c r="L166" s="533"/>
      <c r="M166" s="533"/>
      <c r="N166" s="304"/>
      <c r="O166" s="534"/>
      <c r="P166" s="304"/>
      <c r="Q166" s="535">
        <f t="shared" si="34"/>
        <v>0</v>
      </c>
      <c r="R166" s="535"/>
      <c r="S166" s="987"/>
      <c r="T166" s="4015"/>
      <c r="U166" s="1256"/>
    </row>
    <row r="167" spans="1:22" ht="30" x14ac:dyDescent="0.2">
      <c r="A167" s="1800" t="s">
        <v>4944</v>
      </c>
      <c r="B167" s="529" t="s">
        <v>3649</v>
      </c>
      <c r="C167" s="529" t="s">
        <v>3650</v>
      </c>
      <c r="D167" s="537" t="s">
        <v>2336</v>
      </c>
      <c r="E167" s="532" t="s">
        <v>4681</v>
      </c>
      <c r="F167" s="886" t="s">
        <v>70</v>
      </c>
      <c r="G167" s="586" t="s">
        <v>3689</v>
      </c>
      <c r="H167" s="533"/>
      <c r="I167" s="533"/>
      <c r="J167" s="533"/>
      <c r="K167" s="533"/>
      <c r="L167" s="533"/>
      <c r="M167" s="533"/>
      <c r="N167" s="304"/>
      <c r="O167" s="534"/>
      <c r="P167" s="304"/>
      <c r="Q167" s="535">
        <f t="shared" si="34"/>
        <v>0</v>
      </c>
      <c r="R167" s="535"/>
      <c r="S167" s="987"/>
      <c r="T167" s="4015"/>
      <c r="U167" s="1256"/>
    </row>
    <row r="168" spans="1:22" ht="30" x14ac:dyDescent="0.2">
      <c r="A168" s="1800" t="s">
        <v>5031</v>
      </c>
      <c r="B168" s="529" t="s">
        <v>3651</v>
      </c>
      <c r="C168" s="529" t="s">
        <v>3652</v>
      </c>
      <c r="D168" s="565" t="s">
        <v>2339</v>
      </c>
      <c r="E168" s="705" t="s">
        <v>5598</v>
      </c>
      <c r="F168" s="980" t="s">
        <v>4366</v>
      </c>
      <c r="G168" s="690" t="s">
        <v>4989</v>
      </c>
      <c r="H168" s="543"/>
      <c r="I168" s="543"/>
      <c r="J168" s="543"/>
      <c r="K168" s="543"/>
      <c r="L168" s="543"/>
      <c r="M168" s="2870"/>
      <c r="N168" s="304"/>
      <c r="O168" s="534"/>
      <c r="P168" s="304"/>
      <c r="Q168" s="544">
        <f t="shared" si="34"/>
        <v>0</v>
      </c>
      <c r="R168" s="544"/>
      <c r="S168" s="985">
        <f>'Abs9. NVBDCP'!Q131</f>
        <v>0</v>
      </c>
      <c r="T168" s="4015"/>
      <c r="U168" s="1508">
        <f>'Abs9. NVBDCP'!R131</f>
        <v>0</v>
      </c>
      <c r="V168" s="3501">
        <f>Q168-U168</f>
        <v>0</v>
      </c>
    </row>
    <row r="169" spans="1:22" s="1804" customFormat="1" ht="30" x14ac:dyDescent="0.2">
      <c r="A169" s="1798" t="s">
        <v>5032</v>
      </c>
      <c r="B169" s="529" t="s">
        <v>3653</v>
      </c>
      <c r="C169" s="529"/>
      <c r="D169" s="565"/>
      <c r="E169" s="541" t="s">
        <v>4441</v>
      </c>
      <c r="F169" s="980" t="s">
        <v>4366</v>
      </c>
      <c r="G169" s="587" t="s">
        <v>4994</v>
      </c>
      <c r="H169" s="543"/>
      <c r="I169" s="543"/>
      <c r="J169" s="543"/>
      <c r="K169" s="543"/>
      <c r="L169" s="543"/>
      <c r="M169" s="543"/>
      <c r="N169" s="304"/>
      <c r="O169" s="534"/>
      <c r="P169" s="304"/>
      <c r="Q169" s="544">
        <f t="shared" si="34"/>
        <v>0</v>
      </c>
      <c r="R169" s="544"/>
      <c r="S169" s="985">
        <f>'Abs9. NVBDCP'!Q132</f>
        <v>0</v>
      </c>
      <c r="T169" s="4015"/>
      <c r="U169" s="1508">
        <f>'Abs9. NVBDCP'!R132</f>
        <v>0</v>
      </c>
    </row>
    <row r="170" spans="1:22" ht="45" x14ac:dyDescent="0.2">
      <c r="A170" s="1800" t="s">
        <v>5186</v>
      </c>
      <c r="B170" s="529" t="s">
        <v>3655</v>
      </c>
      <c r="C170" s="529" t="s">
        <v>3654</v>
      </c>
      <c r="D170" s="568" t="s">
        <v>2209</v>
      </c>
      <c r="E170" s="568" t="s">
        <v>2317</v>
      </c>
      <c r="F170" s="980" t="s">
        <v>4366</v>
      </c>
      <c r="G170" s="587" t="s">
        <v>4987</v>
      </c>
      <c r="H170" s="543"/>
      <c r="I170" s="543"/>
      <c r="J170" s="543"/>
      <c r="K170" s="543"/>
      <c r="L170" s="543"/>
      <c r="M170" s="543"/>
      <c r="N170" s="304"/>
      <c r="O170" s="534"/>
      <c r="P170" s="304"/>
      <c r="Q170" s="544">
        <f t="shared" si="34"/>
        <v>0</v>
      </c>
      <c r="R170" s="544"/>
      <c r="S170" s="985">
        <f>'Abs9. NVBDCP'!Q133</f>
        <v>0</v>
      </c>
      <c r="T170" s="4015"/>
      <c r="U170" s="1508">
        <f>'Abs9. NVBDCP'!R133</f>
        <v>0</v>
      </c>
    </row>
    <row r="171" spans="1:22" ht="45" x14ac:dyDescent="0.2">
      <c r="A171" s="1800" t="s">
        <v>5033</v>
      </c>
      <c r="B171" s="529" t="s">
        <v>3657</v>
      </c>
      <c r="C171" s="529" t="s">
        <v>3656</v>
      </c>
      <c r="D171" s="565" t="s">
        <v>2340</v>
      </c>
      <c r="E171" s="541" t="s">
        <v>2341</v>
      </c>
      <c r="F171" s="1559" t="s">
        <v>85</v>
      </c>
      <c r="G171" s="587" t="s">
        <v>3690</v>
      </c>
      <c r="H171" s="2728"/>
      <c r="I171" s="2729"/>
      <c r="J171" s="2732"/>
      <c r="K171" s="2729"/>
      <c r="L171" s="2729"/>
      <c r="M171" s="2731"/>
      <c r="N171" s="2729"/>
      <c r="O171" s="534"/>
      <c r="P171" s="304"/>
      <c r="Q171" s="544">
        <f t="shared" si="34"/>
        <v>0</v>
      </c>
      <c r="R171" s="544"/>
      <c r="S171" s="985">
        <f>'Abs15. NPCB'!Q41</f>
        <v>0</v>
      </c>
      <c r="T171" s="4015"/>
      <c r="U171" s="1252">
        <f>'Abs15. NPCB'!R41</f>
        <v>0</v>
      </c>
      <c r="V171" s="3501">
        <f>Q171-U171</f>
        <v>0</v>
      </c>
    </row>
    <row r="172" spans="1:22" x14ac:dyDescent="0.2">
      <c r="A172" s="1800" t="s">
        <v>5035</v>
      </c>
      <c r="B172" s="529" t="s">
        <v>3659</v>
      </c>
      <c r="C172" s="529" t="s">
        <v>3658</v>
      </c>
      <c r="D172" s="537" t="s">
        <v>2342</v>
      </c>
      <c r="E172" s="532" t="s">
        <v>2343</v>
      </c>
      <c r="F172" s="1559" t="s">
        <v>85</v>
      </c>
      <c r="G172" s="586" t="s">
        <v>3680</v>
      </c>
      <c r="H172" s="533"/>
      <c r="I172" s="533"/>
      <c r="J172" s="533"/>
      <c r="K172" s="533"/>
      <c r="L172" s="533"/>
      <c r="M172" s="2751"/>
      <c r="N172" s="304"/>
      <c r="O172" s="534"/>
      <c r="P172" s="304"/>
      <c r="Q172" s="535">
        <f t="shared" si="34"/>
        <v>0</v>
      </c>
      <c r="R172" s="535"/>
      <c r="S172" s="985">
        <f>'Abs18. NTCP'!Q35</f>
        <v>0</v>
      </c>
      <c r="T172" s="4015"/>
      <c r="U172" s="1508">
        <f>'Abs18. NTCP'!R35</f>
        <v>0</v>
      </c>
    </row>
    <row r="173" spans="1:22" s="1804" customFormat="1" ht="12.95" customHeight="1" x14ac:dyDescent="0.2">
      <c r="A173" s="1798" t="s">
        <v>4837</v>
      </c>
      <c r="B173" s="529" t="s">
        <v>3661</v>
      </c>
      <c r="C173" s="529" t="s">
        <v>3660</v>
      </c>
      <c r="D173" s="529" t="s">
        <v>2344</v>
      </c>
      <c r="E173" s="529" t="s">
        <v>2345</v>
      </c>
      <c r="F173" s="530"/>
      <c r="G173" s="546"/>
      <c r="H173" s="543"/>
      <c r="I173" s="531"/>
      <c r="J173" s="531"/>
      <c r="K173" s="531"/>
      <c r="L173" s="531"/>
      <c r="M173" s="531"/>
      <c r="N173" s="531"/>
      <c r="O173" s="177"/>
      <c r="P173" s="531"/>
      <c r="Q173" s="177">
        <f>Q174</f>
        <v>0</v>
      </c>
      <c r="R173" s="177"/>
      <c r="S173" s="1513"/>
      <c r="T173" s="4015"/>
      <c r="U173" s="1802">
        <f>U174</f>
        <v>0</v>
      </c>
    </row>
    <row r="174" spans="1:22" s="1804" customFormat="1" x14ac:dyDescent="0.2">
      <c r="A174" s="1798" t="s">
        <v>5190</v>
      </c>
      <c r="B174" s="529" t="s">
        <v>3923</v>
      </c>
      <c r="C174" s="529" t="s">
        <v>3662</v>
      </c>
      <c r="D174" s="540" t="s">
        <v>2346</v>
      </c>
      <c r="E174" s="545" t="s">
        <v>1210</v>
      </c>
      <c r="F174" s="1559" t="s">
        <v>85</v>
      </c>
      <c r="G174" s="587" t="s">
        <v>3682</v>
      </c>
      <c r="H174" s="543"/>
      <c r="I174" s="543"/>
      <c r="J174" s="543"/>
      <c r="K174" s="543"/>
      <c r="L174" s="543"/>
      <c r="M174" s="543"/>
      <c r="N174" s="304"/>
      <c r="O174" s="534"/>
      <c r="P174" s="304"/>
      <c r="Q174" s="544">
        <f>O174*P174</f>
        <v>0</v>
      </c>
      <c r="R174" s="544"/>
      <c r="S174" s="985">
        <f>'Abs19. NPCDCS'!Q71</f>
        <v>0</v>
      </c>
      <c r="T174" s="4015"/>
      <c r="U174" s="1508">
        <f>'Abs19. NPCDCS'!R71</f>
        <v>0</v>
      </c>
    </row>
    <row r="175" spans="1:22" s="1804" customFormat="1" ht="12.95" customHeight="1" x14ac:dyDescent="0.2">
      <c r="A175" s="1798" t="s">
        <v>4835</v>
      </c>
      <c r="B175" s="529" t="s">
        <v>3663</v>
      </c>
      <c r="C175" s="529" t="s">
        <v>3664</v>
      </c>
      <c r="D175" s="529" t="s">
        <v>2347</v>
      </c>
      <c r="E175" s="529" t="s">
        <v>5184</v>
      </c>
      <c r="F175" s="530"/>
      <c r="G175" s="546"/>
      <c r="H175" s="543"/>
      <c r="I175" s="531"/>
      <c r="J175" s="531"/>
      <c r="K175" s="531"/>
      <c r="L175" s="531"/>
      <c r="M175" s="531"/>
      <c r="N175" s="531"/>
      <c r="O175" s="177"/>
      <c r="P175" s="531"/>
      <c r="Q175" s="177">
        <f>Q176+Q177</f>
        <v>0</v>
      </c>
      <c r="R175" s="177"/>
      <c r="S175" s="1513"/>
      <c r="T175" s="4015"/>
      <c r="U175" s="1802">
        <f>U176+U177</f>
        <v>0</v>
      </c>
    </row>
    <row r="176" spans="1:22" x14ac:dyDescent="0.2">
      <c r="A176" s="1800" t="s">
        <v>5191</v>
      </c>
      <c r="B176" s="529" t="s">
        <v>4438</v>
      </c>
      <c r="C176" s="529" t="s">
        <v>3665</v>
      </c>
      <c r="D176" s="548" t="s">
        <v>2349</v>
      </c>
      <c r="E176" s="539" t="s">
        <v>1210</v>
      </c>
      <c r="F176" s="1559" t="s">
        <v>85</v>
      </c>
      <c r="G176" s="586" t="s">
        <v>3682</v>
      </c>
      <c r="H176" s="533"/>
      <c r="I176" s="533"/>
      <c r="J176" s="533"/>
      <c r="K176" s="533"/>
      <c r="L176" s="533"/>
      <c r="M176" s="533"/>
      <c r="N176" s="304"/>
      <c r="O176" s="534"/>
      <c r="P176" s="304"/>
      <c r="Q176" s="535">
        <f>O176*P176</f>
        <v>0</v>
      </c>
      <c r="R176" s="535"/>
      <c r="S176" s="985">
        <f>'Abs19. NPCDCS'!Q72</f>
        <v>0</v>
      </c>
      <c r="T176" s="4015"/>
      <c r="U176" s="1508">
        <f>'Abs19. NPCDCS'!R72</f>
        <v>0</v>
      </c>
    </row>
    <row r="177" spans="1:21" x14ac:dyDescent="0.2">
      <c r="A177" s="1800" t="s">
        <v>5192</v>
      </c>
      <c r="B177" s="529" t="s">
        <v>4439</v>
      </c>
      <c r="C177" s="529" t="s">
        <v>3666</v>
      </c>
      <c r="D177" s="548" t="s">
        <v>2350</v>
      </c>
      <c r="E177" s="539" t="s">
        <v>2351</v>
      </c>
      <c r="F177" s="1559" t="s">
        <v>85</v>
      </c>
      <c r="G177" s="586" t="s">
        <v>3682</v>
      </c>
      <c r="H177" s="533"/>
      <c r="I177" s="533"/>
      <c r="J177" s="533"/>
      <c r="K177" s="533"/>
      <c r="L177" s="533"/>
      <c r="M177" s="533"/>
      <c r="N177" s="304"/>
      <c r="O177" s="534"/>
      <c r="P177" s="304"/>
      <c r="Q177" s="535">
        <f>O177*P177</f>
        <v>0</v>
      </c>
      <c r="R177" s="535"/>
      <c r="S177" s="985">
        <f>'Abs19. NPCDCS'!Q73</f>
        <v>0</v>
      </c>
      <c r="T177" s="4015"/>
      <c r="U177" s="1508">
        <f>'Abs19. NPCDCS'!R73</f>
        <v>0</v>
      </c>
    </row>
    <row r="178" spans="1:21" x14ac:dyDescent="0.2">
      <c r="A178" s="1800" t="s">
        <v>5036</v>
      </c>
      <c r="B178" s="529" t="s">
        <v>4440</v>
      </c>
      <c r="C178" s="548"/>
      <c r="D178" s="540"/>
      <c r="E178" s="539" t="s">
        <v>3924</v>
      </c>
      <c r="F178" s="886" t="s">
        <v>70</v>
      </c>
      <c r="G178" s="586" t="s">
        <v>3338</v>
      </c>
      <c r="H178" s="547"/>
      <c r="I178" s="533"/>
      <c r="J178" s="533"/>
      <c r="K178" s="533"/>
      <c r="L178" s="533"/>
      <c r="M178" s="533"/>
      <c r="N178" s="304"/>
      <c r="O178" s="534"/>
      <c r="P178" s="304"/>
      <c r="Q178" s="535">
        <f>O178*P178</f>
        <v>0</v>
      </c>
      <c r="R178" s="535"/>
      <c r="S178" s="987"/>
      <c r="T178" s="4016"/>
      <c r="U178" s="1256"/>
    </row>
    <row r="181" spans="1:21" x14ac:dyDescent="0.2">
      <c r="P181" s="178"/>
    </row>
    <row r="182" spans="1:21" x14ac:dyDescent="0.2">
      <c r="P182" s="178"/>
    </row>
  </sheetData>
  <sheetProtection formatCells="0" formatColumns="0" formatRows="0" autoFilter="0"/>
  <protectedRanges>
    <protectedRange password="FD7E" sqref="P9:P19" name="Range2"/>
    <protectedRange password="FD7E" sqref="H9:N19" name="Range1"/>
  </protectedRanges>
  <autoFilter ref="A5:BD178">
    <filterColumn colId="1" showButton="0"/>
    <filterColumn colId="2" showButton="0"/>
  </autoFilter>
  <mergeCells count="10">
    <mergeCell ref="A4:A5"/>
    <mergeCell ref="A1:D1"/>
    <mergeCell ref="T7:T178"/>
    <mergeCell ref="M4:R4"/>
    <mergeCell ref="S4:U4"/>
    <mergeCell ref="E4:E5"/>
    <mergeCell ref="F4:F5"/>
    <mergeCell ref="G4:G5"/>
    <mergeCell ref="H4:L4"/>
    <mergeCell ref="B4:D5"/>
  </mergeCells>
  <phoneticPr fontId="57" type="noConversion"/>
  <pageMargins left="0.7" right="0.7" top="0.75" bottom="0.75" header="0.3" footer="0.3"/>
  <pageSetup paperSize="9" orientation="portrait" horizontalDpi="4294967295" verticalDpi="4294967295"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BA21"/>
  <sheetViews>
    <sheetView zoomScale="80" zoomScaleNormal="80" workbookViewId="0">
      <pane xSplit="5" ySplit="6" topLeftCell="J7" activePane="bottomRight" state="frozen"/>
      <selection activeCell="A2" sqref="A2:A4"/>
      <selection pane="topRight" activeCell="A2" sqref="A2:A4"/>
      <selection pane="bottomLeft" activeCell="A2" sqref="A2:A4"/>
      <selection pane="bottomRight" activeCell="O11" sqref="O11"/>
    </sheetView>
  </sheetViews>
  <sheetFormatPr defaultColWidth="8.7109375" defaultRowHeight="15" x14ac:dyDescent="0.25"/>
  <cols>
    <col min="1" max="1" width="9.85546875" style="1192" customWidth="1"/>
    <col min="2" max="2" width="18.140625" style="1192" hidden="1" customWidth="1"/>
    <col min="3" max="3" width="53.85546875" style="1192" bestFit="1" customWidth="1"/>
    <col min="4" max="4" width="6.7109375" style="1822" customWidth="1"/>
    <col min="5" max="5" width="20.85546875" style="1822" customWidth="1"/>
    <col min="6" max="6" width="16.42578125" style="1192" customWidth="1"/>
    <col min="7" max="7" width="22.7109375" style="1192" customWidth="1"/>
    <col min="8" max="8" width="17.7109375" style="1192" customWidth="1"/>
    <col min="9" max="9" width="14.140625" style="1192" customWidth="1"/>
    <col min="10" max="10" width="14.42578125" style="1192" customWidth="1"/>
    <col min="11" max="11" width="11.85546875" style="1192" customWidth="1"/>
    <col min="12" max="12" width="15" style="1192" customWidth="1"/>
    <col min="13" max="13" width="11.5703125" style="1823" customWidth="1"/>
    <col min="14" max="14" width="10.85546875" style="1192" customWidth="1"/>
    <col min="15" max="15" width="13.7109375" style="1824" customWidth="1"/>
    <col min="16" max="16" width="44.5703125" style="1825" customWidth="1"/>
    <col min="17" max="17" width="35.42578125" style="1825" customWidth="1"/>
    <col min="18" max="18" width="13.7109375" style="1824" customWidth="1"/>
    <col min="19" max="16384" width="8.7109375" style="1192"/>
  </cols>
  <sheetData>
    <row r="1" spans="1:53" x14ac:dyDescent="0.25">
      <c r="A1" s="3879" t="s">
        <v>2686</v>
      </c>
      <c r="B1" s="3879"/>
      <c r="C1" s="3879"/>
      <c r="D1" s="958"/>
      <c r="E1" s="3825" t="s">
        <v>4719</v>
      </c>
      <c r="F1" s="3894" t="s">
        <v>4717</v>
      </c>
      <c r="G1" s="3895"/>
      <c r="H1" s="3895"/>
      <c r="I1" s="3895"/>
      <c r="J1" s="3895"/>
      <c r="K1" s="3895"/>
      <c r="L1" s="3895"/>
      <c r="M1" s="3895"/>
      <c r="N1" s="3896"/>
      <c r="O1" s="3830" t="s">
        <v>70</v>
      </c>
      <c r="P1" s="3831"/>
      <c r="Q1" s="3831"/>
      <c r="R1" s="3831"/>
      <c r="S1" s="3831"/>
      <c r="T1" s="3831"/>
      <c r="U1" s="3831"/>
      <c r="V1" s="3831"/>
      <c r="W1" s="3831"/>
      <c r="X1" s="3831"/>
      <c r="Y1" s="3831"/>
      <c r="Z1" s="3831"/>
      <c r="AA1" s="3831"/>
      <c r="AB1" s="3831"/>
      <c r="AC1" s="3831"/>
      <c r="AD1" s="3831"/>
      <c r="AE1" s="3831"/>
      <c r="AF1" s="3831"/>
      <c r="AG1" s="3831"/>
      <c r="AH1" s="3831"/>
      <c r="AI1" s="3885" t="s">
        <v>4366</v>
      </c>
      <c r="AJ1" s="3886"/>
      <c r="AK1" s="3886"/>
      <c r="AL1" s="3886"/>
      <c r="AM1" s="3886"/>
      <c r="AN1" s="3886"/>
      <c r="AO1" s="3887"/>
      <c r="AP1" s="3872" t="s">
        <v>85</v>
      </c>
      <c r="AQ1" s="3873"/>
      <c r="AR1" s="3873"/>
      <c r="AS1" s="3873"/>
      <c r="AT1" s="3873"/>
      <c r="AU1" s="3873"/>
      <c r="AV1" s="3873"/>
      <c r="AW1" s="3873"/>
      <c r="AX1" s="3873"/>
      <c r="AY1" s="3873"/>
      <c r="AZ1" s="3873"/>
      <c r="BA1" s="3874"/>
    </row>
    <row r="2" spans="1:53" s="1815" customFormat="1" ht="30" x14ac:dyDescent="0.25">
      <c r="A2" s="3811" t="str">
        <f>HYPERLINK("#Index!A4", "Index Pg")</f>
        <v>Index Pg</v>
      </c>
      <c r="B2" s="1367" t="str">
        <f>HYPERLINK("#'Summary of Abstracts'!A2", "Summary of Abst.")</f>
        <v>Summary of Abst.</v>
      </c>
      <c r="C2" s="836"/>
      <c r="D2" s="988"/>
      <c r="E2" s="3825"/>
      <c r="F2" s="884" t="s">
        <v>118</v>
      </c>
      <c r="G2" s="884" t="s">
        <v>131</v>
      </c>
      <c r="H2" s="884" t="s">
        <v>91</v>
      </c>
      <c r="I2" s="884" t="s">
        <v>4715</v>
      </c>
      <c r="J2" s="884" t="s">
        <v>96</v>
      </c>
      <c r="K2" s="1194" t="s">
        <v>4071</v>
      </c>
      <c r="L2" s="885" t="s">
        <v>4716</v>
      </c>
      <c r="M2" s="884" t="s">
        <v>4720</v>
      </c>
      <c r="N2" s="885" t="s">
        <v>208</v>
      </c>
      <c r="O2" s="887" t="s">
        <v>4365</v>
      </c>
      <c r="P2" s="887" t="s">
        <v>3855</v>
      </c>
      <c r="Q2" s="887" t="s">
        <v>4729</v>
      </c>
      <c r="R2" s="887" t="s">
        <v>4726</v>
      </c>
      <c r="S2" s="887" t="s">
        <v>4727</v>
      </c>
      <c r="T2" s="887" t="s">
        <v>4728</v>
      </c>
      <c r="U2" s="887" t="s">
        <v>4730</v>
      </c>
      <c r="V2" s="887" t="s">
        <v>4704</v>
      </c>
      <c r="W2" s="887" t="s">
        <v>4731</v>
      </c>
      <c r="X2" s="887" t="s">
        <v>33</v>
      </c>
      <c r="Y2" s="887" t="s">
        <v>4732</v>
      </c>
      <c r="Z2" s="887" t="s">
        <v>4733</v>
      </c>
      <c r="AA2" s="887" t="s">
        <v>4723</v>
      </c>
      <c r="AB2" s="887" t="s">
        <v>742</v>
      </c>
      <c r="AC2" s="887" t="s">
        <v>4724</v>
      </c>
      <c r="AD2" s="887" t="s">
        <v>4725</v>
      </c>
      <c r="AE2" s="887" t="s">
        <v>2383</v>
      </c>
      <c r="AF2" s="887" t="s">
        <v>4734</v>
      </c>
      <c r="AG2" s="887" t="s">
        <v>3854</v>
      </c>
      <c r="AH2" s="887" t="s">
        <v>307</v>
      </c>
      <c r="AI2" s="888" t="s">
        <v>293</v>
      </c>
      <c r="AJ2" s="888" t="s">
        <v>114</v>
      </c>
      <c r="AK2" s="888" t="s">
        <v>146</v>
      </c>
      <c r="AL2" s="888" t="s">
        <v>4683</v>
      </c>
      <c r="AM2" s="888" t="s">
        <v>3323</v>
      </c>
      <c r="AN2" s="888" t="s">
        <v>3993</v>
      </c>
      <c r="AO2" s="888" t="s">
        <v>4553</v>
      </c>
      <c r="AP2" s="889" t="s">
        <v>86</v>
      </c>
      <c r="AQ2" s="889" t="s">
        <v>150</v>
      </c>
      <c r="AR2" s="889" t="s">
        <v>399</v>
      </c>
      <c r="AS2" s="889" t="s">
        <v>152</v>
      </c>
      <c r="AT2" s="889" t="s">
        <v>415</v>
      </c>
      <c r="AU2" s="889" t="s">
        <v>4607</v>
      </c>
      <c r="AV2" s="889" t="s">
        <v>4132</v>
      </c>
      <c r="AW2" s="889" t="s">
        <v>312</v>
      </c>
      <c r="AX2" s="889" t="s">
        <v>314</v>
      </c>
      <c r="AY2" s="889" t="s">
        <v>1034</v>
      </c>
      <c r="AZ2" s="889" t="s">
        <v>1020</v>
      </c>
      <c r="BA2" s="889" t="s">
        <v>4718</v>
      </c>
    </row>
    <row r="3" spans="1:53" s="1815" customFormat="1" x14ac:dyDescent="0.25">
      <c r="A3" s="3812"/>
      <c r="B3" s="831" t="str">
        <f>HYPERLINK("#'Budget Summary I'!A1:AL1", "Budget Summary I")</f>
        <v>Budget Summary I</v>
      </c>
      <c r="C3" s="832" t="s">
        <v>4608</v>
      </c>
      <c r="D3" s="988"/>
      <c r="E3" s="1195">
        <f>R7</f>
        <v>0</v>
      </c>
      <c r="F3" s="177"/>
      <c r="G3" s="177"/>
      <c r="H3" s="177"/>
      <c r="I3" s="177"/>
      <c r="J3" s="177"/>
      <c r="K3" s="961"/>
      <c r="L3" s="177"/>
      <c r="M3" s="177"/>
      <c r="N3" s="961"/>
      <c r="O3" s="1816">
        <f>R10+R11</f>
        <v>0</v>
      </c>
      <c r="P3" s="961"/>
      <c r="Q3" s="961"/>
      <c r="R3" s="961"/>
      <c r="S3" s="961"/>
      <c r="T3" s="961"/>
      <c r="U3" s="961">
        <f>R14</f>
        <v>0</v>
      </c>
      <c r="V3" s="961"/>
      <c r="W3" s="961"/>
      <c r="X3" s="961"/>
      <c r="Y3" s="961"/>
      <c r="Z3" s="961"/>
      <c r="AA3" s="961">
        <f>R16</f>
        <v>0</v>
      </c>
      <c r="AB3" s="961"/>
      <c r="AC3" s="961"/>
      <c r="AD3" s="961"/>
      <c r="AE3" s="961">
        <f>R12+R17</f>
        <v>0</v>
      </c>
      <c r="AF3" s="961">
        <f>R13</f>
        <v>0</v>
      </c>
      <c r="AG3" s="961"/>
      <c r="AH3" s="961">
        <f>R15</f>
        <v>0</v>
      </c>
      <c r="AI3" s="961"/>
      <c r="AJ3" s="961"/>
      <c r="AK3" s="961"/>
      <c r="AL3" s="961"/>
      <c r="AM3" s="961"/>
      <c r="AN3" s="961"/>
      <c r="AO3" s="961"/>
      <c r="AP3" s="961">
        <f>R8</f>
        <v>0</v>
      </c>
      <c r="AQ3" s="961"/>
      <c r="AR3" s="961"/>
      <c r="AS3" s="961"/>
      <c r="AT3" s="961"/>
      <c r="AU3" s="961"/>
      <c r="AV3" s="961"/>
      <c r="AW3" s="961"/>
      <c r="AX3" s="961"/>
      <c r="AY3" s="961"/>
      <c r="AZ3" s="961"/>
      <c r="BA3" s="961"/>
    </row>
    <row r="4" spans="1:53" s="1815" customFormat="1" x14ac:dyDescent="0.25">
      <c r="A4" s="3813"/>
      <c r="B4" s="831" t="str">
        <f>HYPERLINK("#'Budget Summary II'!A3:B5", "Budget Summary II")</f>
        <v>Budget Summary II</v>
      </c>
      <c r="C4" s="832" t="s">
        <v>4609</v>
      </c>
      <c r="D4" s="988"/>
      <c r="E4" s="1195">
        <f>O7</f>
        <v>0</v>
      </c>
      <c r="F4" s="177"/>
      <c r="G4" s="177"/>
      <c r="H4" s="177"/>
      <c r="I4" s="177"/>
      <c r="J4" s="177"/>
      <c r="K4" s="961"/>
      <c r="L4" s="177"/>
      <c r="M4" s="177"/>
      <c r="N4" s="961"/>
      <c r="O4" s="961">
        <f>O10+O11</f>
        <v>0</v>
      </c>
      <c r="P4" s="961"/>
      <c r="Q4" s="961"/>
      <c r="R4" s="961"/>
      <c r="S4" s="961"/>
      <c r="T4" s="961"/>
      <c r="U4" s="961">
        <f>O14</f>
        <v>0</v>
      </c>
      <c r="V4" s="961"/>
      <c r="W4" s="961"/>
      <c r="X4" s="961"/>
      <c r="Y4" s="961"/>
      <c r="Z4" s="961"/>
      <c r="AA4" s="961">
        <f>O16</f>
        <v>0</v>
      </c>
      <c r="AB4" s="961"/>
      <c r="AC4" s="961"/>
      <c r="AD4" s="961"/>
      <c r="AE4" s="961">
        <f>O12+O17</f>
        <v>0</v>
      </c>
      <c r="AF4" s="961">
        <f>O13</f>
        <v>0</v>
      </c>
      <c r="AG4" s="961"/>
      <c r="AH4" s="961">
        <f>O15</f>
        <v>0</v>
      </c>
      <c r="AI4" s="961"/>
      <c r="AJ4" s="961"/>
      <c r="AK4" s="961"/>
      <c r="AL4" s="961"/>
      <c r="AM4" s="961"/>
      <c r="AN4" s="961"/>
      <c r="AO4" s="961"/>
      <c r="AP4" s="961">
        <f>O8</f>
        <v>0</v>
      </c>
      <c r="AQ4" s="961"/>
      <c r="AR4" s="961"/>
      <c r="AS4" s="961"/>
      <c r="AT4" s="961"/>
      <c r="AU4" s="961"/>
      <c r="AV4" s="961"/>
      <c r="AW4" s="961"/>
      <c r="AX4" s="961"/>
      <c r="AY4" s="961"/>
      <c r="AZ4" s="961"/>
      <c r="BA4" s="961"/>
    </row>
    <row r="5" spans="1:53" s="1817" customFormat="1" x14ac:dyDescent="0.25">
      <c r="A5" s="3823" t="s">
        <v>53</v>
      </c>
      <c r="B5" s="3823" t="s">
        <v>54</v>
      </c>
      <c r="C5" s="3823" t="s">
        <v>55</v>
      </c>
      <c r="D5" s="3823" t="s">
        <v>56</v>
      </c>
      <c r="E5" s="3823" t="s">
        <v>57</v>
      </c>
      <c r="F5" s="3876" t="s">
        <v>4629</v>
      </c>
      <c r="G5" s="3876"/>
      <c r="H5" s="3876"/>
      <c r="I5" s="3876"/>
      <c r="J5" s="3876"/>
      <c r="K5" s="3876" t="s">
        <v>4640</v>
      </c>
      <c r="L5" s="3876"/>
      <c r="M5" s="3876"/>
      <c r="N5" s="3876"/>
      <c r="O5" s="3876"/>
      <c r="P5" s="3876"/>
      <c r="Q5" s="3823" t="s">
        <v>4670</v>
      </c>
      <c r="R5" s="3823"/>
    </row>
    <row r="6" spans="1:53" s="1818" customFormat="1" ht="60" x14ac:dyDescent="0.2">
      <c r="A6" s="3823"/>
      <c r="B6" s="3823"/>
      <c r="C6" s="3823"/>
      <c r="D6" s="3823"/>
      <c r="E6" s="3823"/>
      <c r="F6" s="896" t="s">
        <v>4630</v>
      </c>
      <c r="G6" s="896" t="s">
        <v>4638</v>
      </c>
      <c r="H6" s="896" t="s">
        <v>4631</v>
      </c>
      <c r="I6" s="896" t="s">
        <v>4639</v>
      </c>
      <c r="J6" s="896" t="s">
        <v>2538</v>
      </c>
      <c r="K6" s="897" t="s">
        <v>58</v>
      </c>
      <c r="L6" s="897" t="s">
        <v>59</v>
      </c>
      <c r="M6" s="1197" t="s">
        <v>60</v>
      </c>
      <c r="N6" s="897" t="s">
        <v>61</v>
      </c>
      <c r="O6" s="898" t="s">
        <v>62</v>
      </c>
      <c r="P6" s="897" t="s">
        <v>5547</v>
      </c>
      <c r="Q6" s="899" t="s">
        <v>2540</v>
      </c>
      <c r="R6" s="900" t="s">
        <v>4671</v>
      </c>
      <c r="S6" s="3454" t="s">
        <v>4724</v>
      </c>
    </row>
    <row r="7" spans="1:53" x14ac:dyDescent="0.25">
      <c r="A7" s="234">
        <v>17</v>
      </c>
      <c r="B7" s="965"/>
      <c r="C7" s="234" t="s">
        <v>2791</v>
      </c>
      <c r="D7" s="966"/>
      <c r="E7" s="966"/>
      <c r="F7" s="234"/>
      <c r="G7" s="234"/>
      <c r="H7" s="224">
        <f>SUM(H8:H9)+SUM(H12:H17)</f>
        <v>0</v>
      </c>
      <c r="I7" s="224">
        <f>SUM(I8:I9)+SUM(I12:I17)</f>
        <v>0</v>
      </c>
      <c r="J7" s="224">
        <f>SUM(J8:J9)+SUM(J12:J17)</f>
        <v>0</v>
      </c>
      <c r="K7" s="234"/>
      <c r="L7" s="234"/>
      <c r="M7" s="439"/>
      <c r="N7" s="234"/>
      <c r="O7" s="224">
        <f>SUM(O8:O9)+SUM(O12:O17)</f>
        <v>0</v>
      </c>
      <c r="P7" s="234"/>
      <c r="Q7" s="234"/>
      <c r="R7" s="224">
        <f>SUM(R8:R9)+SUM(R12:R17)</f>
        <v>0</v>
      </c>
      <c r="S7" s="1192">
        <f>SUM(S8:S17)</f>
        <v>0</v>
      </c>
    </row>
    <row r="8" spans="1:53" s="826" customFormat="1" ht="30" x14ac:dyDescent="0.2">
      <c r="A8" s="857">
        <v>17.100000000000001</v>
      </c>
      <c r="B8" s="1819" t="s">
        <v>2025</v>
      </c>
      <c r="C8" s="1819" t="s">
        <v>3973</v>
      </c>
      <c r="D8" s="1559" t="s">
        <v>85</v>
      </c>
      <c r="E8" s="1820" t="s">
        <v>86</v>
      </c>
      <c r="F8" s="82"/>
      <c r="G8" s="82"/>
      <c r="H8" s="82"/>
      <c r="I8" s="82"/>
      <c r="J8" s="82"/>
      <c r="K8" s="82"/>
      <c r="L8" s="304"/>
      <c r="M8" s="308"/>
      <c r="N8" s="304"/>
      <c r="O8" s="227">
        <f>N8*M8</f>
        <v>0</v>
      </c>
      <c r="P8" s="67"/>
      <c r="Q8" s="103">
        <f>'Abs15. NPCB'!Q43</f>
        <v>0</v>
      </c>
      <c r="R8" s="227">
        <f>'Abs15. NPCB'!R43</f>
        <v>0</v>
      </c>
    </row>
    <row r="9" spans="1:53" s="826" customFormat="1" x14ac:dyDescent="0.2">
      <c r="A9" s="857">
        <v>17.2</v>
      </c>
      <c r="B9" s="510" t="s">
        <v>2041</v>
      </c>
      <c r="C9" s="519" t="s">
        <v>3998</v>
      </c>
      <c r="D9" s="959"/>
      <c r="E9" s="959"/>
      <c r="F9" s="90"/>
      <c r="G9" s="91"/>
      <c r="H9" s="1153"/>
      <c r="I9" s="1153"/>
      <c r="J9" s="1153"/>
      <c r="K9" s="90"/>
      <c r="L9" s="92"/>
      <c r="M9" s="1821"/>
      <c r="N9" s="92"/>
      <c r="O9" s="1153">
        <f>O10+O11</f>
        <v>0</v>
      </c>
      <c r="P9" s="93"/>
      <c r="Q9" s="857"/>
      <c r="R9" s="1153">
        <f>R10+R11</f>
        <v>0</v>
      </c>
    </row>
    <row r="10" spans="1:53" s="826" customFormat="1" ht="30" x14ac:dyDescent="0.2">
      <c r="A10" s="123" t="s">
        <v>3996</v>
      </c>
      <c r="B10" s="510"/>
      <c r="C10" s="502" t="s">
        <v>4000</v>
      </c>
      <c r="D10" s="886" t="s">
        <v>70</v>
      </c>
      <c r="E10" s="1820" t="s">
        <v>4365</v>
      </c>
      <c r="F10" s="2466"/>
      <c r="G10" s="2564"/>
      <c r="H10" s="2565"/>
      <c r="I10" s="96"/>
      <c r="J10" s="97"/>
      <c r="K10" s="94"/>
      <c r="L10" s="304"/>
      <c r="M10" s="308"/>
      <c r="N10" s="304"/>
      <c r="O10" s="227">
        <f t="shared" ref="O10:O17" si="0">N10*M10</f>
        <v>0</v>
      </c>
      <c r="P10" s="2850"/>
      <c r="Q10" s="103">
        <f>'Abs6. CPHC'!Q35</f>
        <v>0</v>
      </c>
      <c r="R10" s="227">
        <f>'Abs6. CPHC'!R35</f>
        <v>0</v>
      </c>
    </row>
    <row r="11" spans="1:53" s="826" customFormat="1" x14ac:dyDescent="0.2">
      <c r="A11" s="123" t="s">
        <v>3997</v>
      </c>
      <c r="B11" s="510"/>
      <c r="C11" s="502" t="s">
        <v>3999</v>
      </c>
      <c r="D11" s="886" t="s">
        <v>70</v>
      </c>
      <c r="E11" s="1820" t="s">
        <v>4365</v>
      </c>
      <c r="F11" s="94"/>
      <c r="G11" s="95"/>
      <c r="H11" s="96"/>
      <c r="I11" s="96"/>
      <c r="J11" s="97"/>
      <c r="K11" s="94"/>
      <c r="L11" s="304"/>
      <c r="M11" s="308"/>
      <c r="N11" s="304"/>
      <c r="O11" s="227">
        <f t="shared" si="0"/>
        <v>0</v>
      </c>
      <c r="P11" s="2850"/>
      <c r="Q11" s="103">
        <f>'Abs6. CPHC'!Q36</f>
        <v>0</v>
      </c>
      <c r="R11" s="227">
        <f>'Abs6. CPHC'!R36</f>
        <v>0</v>
      </c>
    </row>
    <row r="12" spans="1:53" x14ac:dyDescent="0.25">
      <c r="A12" s="857">
        <v>17.3</v>
      </c>
      <c r="B12" s="519"/>
      <c r="C12" s="1697" t="s">
        <v>4129</v>
      </c>
      <c r="D12" s="886" t="s">
        <v>70</v>
      </c>
      <c r="E12" s="1691" t="s">
        <v>2383</v>
      </c>
      <c r="F12" s="370"/>
      <c r="G12" s="370"/>
      <c r="H12" s="370"/>
      <c r="I12" s="370"/>
      <c r="J12" s="370"/>
      <c r="K12" s="370"/>
      <c r="L12" s="304"/>
      <c r="M12" s="308"/>
      <c r="N12" s="304"/>
      <c r="O12" s="227">
        <f t="shared" si="0"/>
        <v>0</v>
      </c>
      <c r="P12" s="67"/>
      <c r="Q12" s="568">
        <f>'Ab4. HMIS-MCTS'!Q27</f>
        <v>0</v>
      </c>
      <c r="R12" s="692">
        <f>'Ab4. HMIS-MCTS'!R27</f>
        <v>0</v>
      </c>
    </row>
    <row r="13" spans="1:53" ht="45" x14ac:dyDescent="0.25">
      <c r="A13" s="857">
        <v>17.399999999999999</v>
      </c>
      <c r="B13" s="519" t="s">
        <v>2313</v>
      </c>
      <c r="C13" s="1697" t="s">
        <v>4130</v>
      </c>
      <c r="D13" s="886" t="s">
        <v>70</v>
      </c>
      <c r="E13" s="1691" t="s">
        <v>2091</v>
      </c>
      <c r="F13" s="370"/>
      <c r="G13" s="370"/>
      <c r="H13" s="370"/>
      <c r="I13" s="370"/>
      <c r="J13" s="370"/>
      <c r="K13" s="370"/>
      <c r="L13" s="304"/>
      <c r="M13" s="308"/>
      <c r="N13" s="304"/>
      <c r="O13" s="327">
        <f t="shared" si="0"/>
        <v>0</v>
      </c>
      <c r="P13" s="67"/>
      <c r="Q13" s="501">
        <f>'Abs5. Blood services &amp; Disorder'!Q32</f>
        <v>0</v>
      </c>
      <c r="R13" s="327">
        <f>'Abs5. Blood services &amp; Disorder'!R32</f>
        <v>0</v>
      </c>
    </row>
    <row r="14" spans="1:53" x14ac:dyDescent="0.25">
      <c r="A14" s="857">
        <v>17.5</v>
      </c>
      <c r="B14" s="519" t="s">
        <v>1154</v>
      </c>
      <c r="C14" s="1697" t="s">
        <v>2314</v>
      </c>
      <c r="D14" s="886" t="s">
        <v>70</v>
      </c>
      <c r="E14" s="1130" t="s">
        <v>4730</v>
      </c>
      <c r="F14" s="370"/>
      <c r="G14" s="370"/>
      <c r="H14" s="370"/>
      <c r="I14" s="370"/>
      <c r="J14" s="370"/>
      <c r="K14" s="2849"/>
      <c r="L14" s="304"/>
      <c r="M14" s="308"/>
      <c r="N14" s="304"/>
      <c r="O14" s="327">
        <f t="shared" si="0"/>
        <v>0</v>
      </c>
      <c r="P14" s="2850"/>
      <c r="Q14" s="3352"/>
      <c r="R14" s="1826"/>
    </row>
    <row r="15" spans="1:53" x14ac:dyDescent="0.25">
      <c r="A15" s="857">
        <v>17.600000000000001</v>
      </c>
      <c r="B15" s="519" t="s">
        <v>2315</v>
      </c>
      <c r="C15" s="1697" t="s">
        <v>2316</v>
      </c>
      <c r="D15" s="886" t="s">
        <v>70</v>
      </c>
      <c r="E15" s="1691" t="s">
        <v>5116</v>
      </c>
      <c r="F15" s="2566"/>
      <c r="G15" s="2566"/>
      <c r="H15" s="2567"/>
      <c r="I15" s="2566"/>
      <c r="J15" s="2566"/>
      <c r="K15" s="2566"/>
      <c r="L15" s="2566"/>
      <c r="M15" s="308"/>
      <c r="N15" s="2566"/>
      <c r="O15" s="327">
        <f t="shared" si="0"/>
        <v>0</v>
      </c>
      <c r="P15" s="2571"/>
      <c r="Q15" s="3492"/>
      <c r="R15" s="1737"/>
    </row>
    <row r="16" spans="1:53" ht="30" x14ac:dyDescent="0.25">
      <c r="A16" s="857">
        <v>17.7</v>
      </c>
      <c r="B16" s="519"/>
      <c r="C16" s="1697" t="s">
        <v>3963</v>
      </c>
      <c r="D16" s="886" t="s">
        <v>70</v>
      </c>
      <c r="E16" s="1691" t="s">
        <v>3895</v>
      </c>
      <c r="F16" s="2566"/>
      <c r="G16" s="2566"/>
      <c r="H16" s="2567"/>
      <c r="I16" s="2566"/>
      <c r="J16" s="2566"/>
      <c r="K16" s="2566"/>
      <c r="L16" s="2566"/>
      <c r="M16" s="308"/>
      <c r="N16" s="2566"/>
      <c r="O16" s="327">
        <f t="shared" si="0"/>
        <v>0</v>
      </c>
      <c r="P16" s="2571"/>
      <c r="Q16" s="3494"/>
      <c r="R16" s="3493"/>
    </row>
    <row r="17" spans="1:18" x14ac:dyDescent="0.25">
      <c r="A17" s="857">
        <v>17.8</v>
      </c>
      <c r="B17" s="519"/>
      <c r="C17" s="1697" t="s">
        <v>2875</v>
      </c>
      <c r="D17" s="886" t="s">
        <v>70</v>
      </c>
      <c r="E17" s="1691" t="s">
        <v>2383</v>
      </c>
      <c r="F17" s="2566"/>
      <c r="G17" s="2568"/>
      <c r="H17" s="2569"/>
      <c r="I17" s="2570"/>
      <c r="J17" s="2568"/>
      <c r="K17" s="2566"/>
      <c r="L17" s="2566"/>
      <c r="M17" s="308"/>
      <c r="N17" s="2566"/>
      <c r="O17" s="327">
        <f t="shared" si="0"/>
        <v>0</v>
      </c>
      <c r="P17" s="2571"/>
      <c r="Q17" s="568">
        <f>'Ab4. HMIS-MCTS'!Q28</f>
        <v>0</v>
      </c>
      <c r="R17" s="692">
        <f>'Ab4. HMIS-MCTS'!R28</f>
        <v>0</v>
      </c>
    </row>
    <row r="20" spans="1:18" x14ac:dyDescent="0.25">
      <c r="N20" s="178" t="s">
        <v>5740</v>
      </c>
      <c r="O20" s="1824">
        <f>O7-O21</f>
        <v>0</v>
      </c>
      <c r="R20" s="1824">
        <f>R7-R21</f>
        <v>0</v>
      </c>
    </row>
    <row r="21" spans="1:18" x14ac:dyDescent="0.25">
      <c r="N21" s="178" t="s">
        <v>5741</v>
      </c>
      <c r="O21" s="1824">
        <f>O14+O10</f>
        <v>0</v>
      </c>
      <c r="R21" s="1824">
        <f>R14+R10</f>
        <v>0</v>
      </c>
    </row>
  </sheetData>
  <sheetProtection formatCells="0" formatColumns="0" formatRows="0" autoFilter="0"/>
  <mergeCells count="15">
    <mergeCell ref="AI1:AO1"/>
    <mergeCell ref="AP1:BA1"/>
    <mergeCell ref="K5:P5"/>
    <mergeCell ref="Q5:R5"/>
    <mergeCell ref="A1:C1"/>
    <mergeCell ref="F5:J5"/>
    <mergeCell ref="A5:A6"/>
    <mergeCell ref="B5:B6"/>
    <mergeCell ref="C5:C6"/>
    <mergeCell ref="D5:D6"/>
    <mergeCell ref="E5:E6"/>
    <mergeCell ref="E1:E2"/>
    <mergeCell ref="F1:N1"/>
    <mergeCell ref="A2:A4"/>
    <mergeCell ref="O1:AH1"/>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BD35"/>
  <sheetViews>
    <sheetView zoomScale="80" zoomScaleNormal="80" workbookViewId="0">
      <pane xSplit="5" ySplit="7" topLeftCell="F8" activePane="bottomRight" state="frozen"/>
      <selection activeCell="A2" sqref="A2:A4"/>
      <selection pane="topRight" activeCell="A2" sqref="A2:A4"/>
      <selection pane="bottomLeft" activeCell="A2" sqref="A2:A4"/>
      <selection pane="bottomRight" activeCell="Q27" sqref="Q27:R27"/>
    </sheetView>
  </sheetViews>
  <sheetFormatPr defaultColWidth="8.85546875" defaultRowHeight="15" x14ac:dyDescent="0.2"/>
  <cols>
    <col min="1" max="1" width="8.85546875" style="73"/>
    <col min="2" max="2" width="8.5703125" style="73" hidden="1" customWidth="1"/>
    <col min="3" max="3" width="33.140625" style="73" bestFit="1" customWidth="1"/>
    <col min="4" max="4" width="9.5703125" style="76" customWidth="1"/>
    <col min="5" max="5" width="12.7109375" style="73" customWidth="1"/>
    <col min="6" max="6" width="9.85546875" style="73" customWidth="1"/>
    <col min="7" max="7" width="14" style="73" customWidth="1"/>
    <col min="8" max="8" width="10.5703125" style="73" customWidth="1"/>
    <col min="9" max="9" width="12.28515625" style="73" customWidth="1"/>
    <col min="10" max="10" width="13.85546875" style="73" customWidth="1"/>
    <col min="11" max="11" width="11.28515625" style="73" customWidth="1"/>
    <col min="12" max="12" width="10.140625" style="73" bestFit="1" customWidth="1"/>
    <col min="13" max="13" width="12.140625" style="700" customWidth="1"/>
    <col min="14" max="14" width="10.140625" style="73" customWidth="1"/>
    <col min="15" max="15" width="15.85546875" style="700" customWidth="1"/>
    <col min="16" max="16" width="41.85546875" style="72" customWidth="1"/>
    <col min="17" max="17" width="37.28515625" style="72" customWidth="1"/>
    <col min="18" max="18" width="14.5703125" style="700" customWidth="1"/>
    <col min="19" max="16384" width="8.85546875" style="73"/>
  </cols>
  <sheetData>
    <row r="1" spans="1:56" ht="14.45" customHeight="1" x14ac:dyDescent="0.2">
      <c r="A1" s="4027" t="s">
        <v>2556</v>
      </c>
      <c r="B1" s="4027"/>
      <c r="C1" s="4027"/>
      <c r="D1" s="87"/>
      <c r="E1" s="4028" t="s">
        <v>4719</v>
      </c>
      <c r="F1" s="4029" t="s">
        <v>4717</v>
      </c>
      <c r="G1" s="4030"/>
      <c r="H1" s="4030"/>
      <c r="I1" s="4030"/>
      <c r="J1" s="4030"/>
      <c r="K1" s="4030"/>
      <c r="L1" s="4030"/>
      <c r="M1" s="4030"/>
      <c r="N1" s="4031"/>
      <c r="O1" s="4035" t="s">
        <v>70</v>
      </c>
      <c r="P1" s="4036"/>
      <c r="Q1" s="4036"/>
      <c r="R1" s="4036"/>
      <c r="S1" s="4036"/>
      <c r="T1" s="4036"/>
      <c r="U1" s="4036"/>
      <c r="V1" s="4036"/>
      <c r="W1" s="4036"/>
      <c r="X1" s="4036"/>
      <c r="Y1" s="4036"/>
      <c r="Z1" s="4036"/>
      <c r="AA1" s="4036"/>
      <c r="AB1" s="4036"/>
      <c r="AC1" s="4036"/>
      <c r="AD1" s="4036"/>
      <c r="AE1" s="4036"/>
      <c r="AF1" s="4036"/>
      <c r="AG1" s="4036"/>
      <c r="AH1" s="4036"/>
      <c r="AI1" s="4037" t="s">
        <v>4366</v>
      </c>
      <c r="AJ1" s="4038"/>
      <c r="AK1" s="4038"/>
      <c r="AL1" s="4038"/>
      <c r="AM1" s="4038"/>
      <c r="AN1" s="4038"/>
      <c r="AO1" s="4039"/>
      <c r="AP1" s="4040" t="s">
        <v>85</v>
      </c>
      <c r="AQ1" s="4041"/>
      <c r="AR1" s="4041"/>
      <c r="AS1" s="4041"/>
      <c r="AT1" s="4041"/>
      <c r="AU1" s="4041"/>
      <c r="AV1" s="4041"/>
      <c r="AW1" s="4041"/>
      <c r="AX1" s="4041"/>
      <c r="AY1" s="4041"/>
      <c r="AZ1" s="4041"/>
      <c r="BA1" s="4042"/>
      <c r="BB1" s="4043" t="s">
        <v>5114</v>
      </c>
      <c r="BC1" s="4044" t="s">
        <v>5115</v>
      </c>
      <c r="BD1" s="4045" t="s">
        <v>5177</v>
      </c>
    </row>
    <row r="2" spans="1:56" s="74" customFormat="1" ht="30" x14ac:dyDescent="0.2">
      <c r="A2" s="4032" t="str">
        <f>HYPERLINK("#Index!A4", "Index Pg")</f>
        <v>Index Pg</v>
      </c>
      <c r="B2" s="278"/>
      <c r="C2" s="108"/>
      <c r="D2" s="83"/>
      <c r="E2" s="4028"/>
      <c r="F2" s="290" t="s">
        <v>118</v>
      </c>
      <c r="G2" s="290" t="s">
        <v>131</v>
      </c>
      <c r="H2" s="290" t="s">
        <v>91</v>
      </c>
      <c r="I2" s="290" t="s">
        <v>4715</v>
      </c>
      <c r="J2" s="290" t="s">
        <v>96</v>
      </c>
      <c r="K2" s="294" t="s">
        <v>4071</v>
      </c>
      <c r="L2" s="205" t="s">
        <v>4716</v>
      </c>
      <c r="M2" s="205" t="s">
        <v>4720</v>
      </c>
      <c r="N2" s="205" t="s">
        <v>208</v>
      </c>
      <c r="O2" s="206" t="s">
        <v>4365</v>
      </c>
      <c r="P2" s="206" t="s">
        <v>3855</v>
      </c>
      <c r="Q2" s="206" t="s">
        <v>4729</v>
      </c>
      <c r="R2" s="206" t="s">
        <v>4726</v>
      </c>
      <c r="S2" s="206" t="s">
        <v>4727</v>
      </c>
      <c r="T2" s="206" t="s">
        <v>4728</v>
      </c>
      <c r="U2" s="206" t="s">
        <v>4730</v>
      </c>
      <c r="V2" s="206" t="s">
        <v>4704</v>
      </c>
      <c r="W2" s="206" t="s">
        <v>4731</v>
      </c>
      <c r="X2" s="206" t="s">
        <v>33</v>
      </c>
      <c r="Y2" s="206" t="s">
        <v>4732</v>
      </c>
      <c r="Z2" s="206" t="s">
        <v>4733</v>
      </c>
      <c r="AA2" s="206" t="s">
        <v>4723</v>
      </c>
      <c r="AB2" s="206" t="s">
        <v>742</v>
      </c>
      <c r="AC2" s="206" t="s">
        <v>4724</v>
      </c>
      <c r="AD2" s="206" t="s">
        <v>4725</v>
      </c>
      <c r="AE2" s="206" t="s">
        <v>2383</v>
      </c>
      <c r="AF2" s="206" t="s">
        <v>4734</v>
      </c>
      <c r="AG2" s="206" t="s">
        <v>3854</v>
      </c>
      <c r="AH2" s="206" t="s">
        <v>307</v>
      </c>
      <c r="AI2" s="291" t="s">
        <v>293</v>
      </c>
      <c r="AJ2" s="291" t="s">
        <v>114</v>
      </c>
      <c r="AK2" s="291" t="s">
        <v>146</v>
      </c>
      <c r="AL2" s="291" t="s">
        <v>4683</v>
      </c>
      <c r="AM2" s="291" t="s">
        <v>3323</v>
      </c>
      <c r="AN2" s="291" t="s">
        <v>3993</v>
      </c>
      <c r="AO2" s="291" t="s">
        <v>4553</v>
      </c>
      <c r="AP2" s="292" t="s">
        <v>86</v>
      </c>
      <c r="AQ2" s="292" t="s">
        <v>150</v>
      </c>
      <c r="AR2" s="292" t="s">
        <v>399</v>
      </c>
      <c r="AS2" s="292" t="s">
        <v>152</v>
      </c>
      <c r="AT2" s="292" t="s">
        <v>415</v>
      </c>
      <c r="AU2" s="292" t="s">
        <v>4607</v>
      </c>
      <c r="AV2" s="292" t="s">
        <v>4132</v>
      </c>
      <c r="AW2" s="292" t="s">
        <v>312</v>
      </c>
      <c r="AX2" s="292" t="s">
        <v>314</v>
      </c>
      <c r="AY2" s="292" t="s">
        <v>1034</v>
      </c>
      <c r="AZ2" s="292" t="s">
        <v>1020</v>
      </c>
      <c r="BA2" s="292" t="s">
        <v>4718</v>
      </c>
      <c r="BB2" s="4043"/>
      <c r="BC2" s="4044"/>
      <c r="BD2" s="4045"/>
    </row>
    <row r="3" spans="1:56" s="74" customFormat="1" x14ac:dyDescent="0.25">
      <c r="A3" s="4033"/>
      <c r="B3" s="277" t="str">
        <f>HYPERLINK("#'Budget Summary I'!A1:AL1", "Budget Summary I")</f>
        <v>Budget Summary I</v>
      </c>
      <c r="C3" s="265" t="s">
        <v>4608</v>
      </c>
      <c r="D3" s="83"/>
      <c r="E3" s="346">
        <f>R7</f>
        <v>0</v>
      </c>
      <c r="F3" s="136"/>
      <c r="G3" s="136"/>
      <c r="H3" s="136"/>
      <c r="I3" s="136"/>
      <c r="J3" s="136"/>
      <c r="K3" s="147"/>
      <c r="L3" s="136"/>
      <c r="M3" s="136"/>
      <c r="N3" s="147"/>
      <c r="O3" s="147"/>
      <c r="P3" s="147"/>
      <c r="Q3" s="147"/>
      <c r="R3" s="147"/>
      <c r="S3" s="147"/>
      <c r="T3" s="147"/>
      <c r="U3" s="147"/>
      <c r="V3" s="147"/>
      <c r="W3" s="147"/>
      <c r="X3" s="147"/>
      <c r="Y3" s="147"/>
      <c r="Z3" s="147"/>
      <c r="AA3" s="147"/>
      <c r="AB3" s="147"/>
      <c r="AC3" s="147"/>
      <c r="AD3" s="147">
        <f>R14</f>
        <v>0</v>
      </c>
      <c r="AE3" s="147"/>
      <c r="AF3" s="147"/>
      <c r="AG3" s="147"/>
      <c r="AH3" s="585"/>
      <c r="AI3" s="147"/>
      <c r="AJ3" s="147"/>
      <c r="AK3" s="147"/>
      <c r="AL3" s="147"/>
      <c r="AM3" s="147"/>
      <c r="AN3" s="147"/>
      <c r="AO3" s="147"/>
      <c r="AP3" s="147"/>
      <c r="AQ3" s="147"/>
      <c r="AR3" s="147"/>
      <c r="AS3" s="147"/>
      <c r="AT3" s="147"/>
      <c r="AU3" s="147"/>
      <c r="AV3" s="147"/>
      <c r="AW3" s="147"/>
      <c r="AX3" s="147"/>
      <c r="AY3" s="147"/>
      <c r="AZ3" s="147"/>
      <c r="BA3" s="147"/>
      <c r="BB3" s="620">
        <f>R8</f>
        <v>0</v>
      </c>
      <c r="BC3" s="620">
        <f>R20</f>
        <v>0</v>
      </c>
      <c r="BD3" s="620">
        <f>R26</f>
        <v>0</v>
      </c>
    </row>
    <row r="4" spans="1:56" s="74" customFormat="1" x14ac:dyDescent="0.25">
      <c r="A4" s="4034"/>
      <c r="B4" s="277" t="str">
        <f>HYPERLINK("#'Budget Summary II'!A3:B5", "Budget Summary II")</f>
        <v>Budget Summary II</v>
      </c>
      <c r="C4" s="265" t="s">
        <v>4609</v>
      </c>
      <c r="D4" s="83"/>
      <c r="E4" s="346">
        <f>O7</f>
        <v>0</v>
      </c>
      <c r="F4" s="136"/>
      <c r="G4" s="136"/>
      <c r="H4" s="136"/>
      <c r="I4" s="136"/>
      <c r="J4" s="136"/>
      <c r="K4" s="147"/>
      <c r="L4" s="136"/>
      <c r="M4" s="136"/>
      <c r="N4" s="147"/>
      <c r="O4" s="147"/>
      <c r="P4" s="147"/>
      <c r="Q4" s="147"/>
      <c r="R4" s="147"/>
      <c r="S4" s="147"/>
      <c r="T4" s="147"/>
      <c r="U4" s="147"/>
      <c r="V4" s="147"/>
      <c r="W4" s="147"/>
      <c r="X4" s="147"/>
      <c r="Y4" s="147"/>
      <c r="Z4" s="147"/>
      <c r="AA4" s="147"/>
      <c r="AB4" s="147"/>
      <c r="AC4" s="147"/>
      <c r="AD4" s="147">
        <f>O14</f>
        <v>0</v>
      </c>
      <c r="AE4" s="147"/>
      <c r="AF4" s="147"/>
      <c r="AG4" s="147"/>
      <c r="AH4" s="585"/>
      <c r="AI4" s="147"/>
      <c r="AJ4" s="147"/>
      <c r="AK4" s="147"/>
      <c r="AL4" s="147"/>
      <c r="AM4" s="147"/>
      <c r="AN4" s="147"/>
      <c r="AO4" s="147"/>
      <c r="AP4" s="147"/>
      <c r="AQ4" s="147"/>
      <c r="AR4" s="147"/>
      <c r="AS4" s="147"/>
      <c r="AT4" s="147"/>
      <c r="AU4" s="147"/>
      <c r="AV4" s="147"/>
      <c r="AW4" s="147"/>
      <c r="AX4" s="147"/>
      <c r="AY4" s="147"/>
      <c r="AZ4" s="147"/>
      <c r="BA4" s="147"/>
      <c r="BB4" s="620">
        <f>O8</f>
        <v>0</v>
      </c>
      <c r="BC4" s="620">
        <f>O20</f>
        <v>0</v>
      </c>
      <c r="BD4" s="620">
        <f>O26</f>
        <v>0</v>
      </c>
    </row>
    <row r="5" spans="1:56" s="75" customFormat="1" ht="14.25" customHeight="1" x14ac:dyDescent="0.2">
      <c r="A5" s="4026" t="s">
        <v>53</v>
      </c>
      <c r="B5" s="4026" t="s">
        <v>54</v>
      </c>
      <c r="C5" s="4026" t="s">
        <v>55</v>
      </c>
      <c r="D5" s="4026" t="s">
        <v>56</v>
      </c>
      <c r="E5" s="4026" t="s">
        <v>57</v>
      </c>
      <c r="F5" s="4025" t="s">
        <v>4629</v>
      </c>
      <c r="G5" s="4025"/>
      <c r="H5" s="4025"/>
      <c r="I5" s="4025"/>
      <c r="J5" s="4025"/>
      <c r="K5" s="4025" t="s">
        <v>4640</v>
      </c>
      <c r="L5" s="4025"/>
      <c r="M5" s="4025"/>
      <c r="N5" s="4025"/>
      <c r="O5" s="4025"/>
      <c r="P5" s="4025"/>
      <c r="Q5" s="4026" t="s">
        <v>4670</v>
      </c>
      <c r="R5" s="4026"/>
    </row>
    <row r="6" spans="1:56" s="76" customFormat="1" ht="60" x14ac:dyDescent="0.2">
      <c r="A6" s="4026"/>
      <c r="B6" s="4026"/>
      <c r="C6" s="4026"/>
      <c r="D6" s="4026"/>
      <c r="E6" s="4026"/>
      <c r="F6" s="57" t="s">
        <v>4630</v>
      </c>
      <c r="G6" s="57" t="s">
        <v>4638</v>
      </c>
      <c r="H6" s="57" t="s">
        <v>4631</v>
      </c>
      <c r="I6" s="57" t="s">
        <v>4639</v>
      </c>
      <c r="J6" s="58" t="s">
        <v>2538</v>
      </c>
      <c r="K6" s="59" t="s">
        <v>58</v>
      </c>
      <c r="L6" s="59" t="s">
        <v>59</v>
      </c>
      <c r="M6" s="129" t="s">
        <v>60</v>
      </c>
      <c r="N6" s="59" t="s">
        <v>61</v>
      </c>
      <c r="O6" s="129" t="s">
        <v>62</v>
      </c>
      <c r="P6" s="59" t="s">
        <v>5547</v>
      </c>
      <c r="Q6" s="60" t="s">
        <v>2540</v>
      </c>
      <c r="R6" s="134" t="s">
        <v>4671</v>
      </c>
      <c r="S6" s="76" t="s">
        <v>4724</v>
      </c>
    </row>
    <row r="7" spans="1:56" s="77" customFormat="1" x14ac:dyDescent="0.2">
      <c r="A7" s="62">
        <v>18</v>
      </c>
      <c r="B7" s="62" t="s">
        <v>2790</v>
      </c>
      <c r="C7" s="62" t="s">
        <v>2789</v>
      </c>
      <c r="D7" s="84"/>
      <c r="E7" s="63"/>
      <c r="F7" s="63"/>
      <c r="G7" s="63"/>
      <c r="H7" s="736">
        <f>H8+H14+H20+H26</f>
        <v>0</v>
      </c>
      <c r="I7" s="63">
        <f>+I8+I14+I20+I26</f>
        <v>0</v>
      </c>
      <c r="J7" s="63"/>
      <c r="K7" s="63"/>
      <c r="L7" s="63"/>
      <c r="M7" s="133"/>
      <c r="N7" s="63"/>
      <c r="O7" s="736">
        <f>O8+O14+O20+O26</f>
        <v>0</v>
      </c>
      <c r="P7" s="63"/>
      <c r="Q7" s="63"/>
      <c r="R7" s="736">
        <f>R8+R14+R20+R26</f>
        <v>0</v>
      </c>
      <c r="S7" s="77">
        <f>SUM(S8:S31)</f>
        <v>0</v>
      </c>
    </row>
    <row r="8" spans="1:56" x14ac:dyDescent="0.2">
      <c r="A8" s="78">
        <v>18.100000000000001</v>
      </c>
      <c r="B8" s="79"/>
      <c r="C8" s="79" t="s">
        <v>4651</v>
      </c>
      <c r="D8" s="85"/>
      <c r="E8" s="79"/>
      <c r="F8" s="79"/>
      <c r="G8" s="79"/>
      <c r="H8" s="2799">
        <f>SUM(H9:H13)</f>
        <v>0</v>
      </c>
      <c r="I8" s="79">
        <f>SUM(I9:I13)</f>
        <v>0</v>
      </c>
      <c r="J8" s="79"/>
      <c r="K8" s="79"/>
      <c r="L8" s="64"/>
      <c r="M8" s="233"/>
      <c r="N8" s="64"/>
      <c r="O8" s="742">
        <f>SUM(O9:O13)</f>
        <v>0</v>
      </c>
      <c r="P8" s="66"/>
      <c r="Q8" s="66"/>
      <c r="R8" s="742">
        <f>SUM(R9:R13)</f>
        <v>0</v>
      </c>
    </row>
    <row r="9" spans="1:56" ht="69" customHeight="1" x14ac:dyDescent="0.2">
      <c r="A9" s="80" t="s">
        <v>4646</v>
      </c>
      <c r="B9" s="81"/>
      <c r="C9" s="82"/>
      <c r="D9" s="86" t="s">
        <v>90</v>
      </c>
      <c r="E9" s="81" t="s">
        <v>205</v>
      </c>
      <c r="F9" s="2242"/>
      <c r="G9" s="2242"/>
      <c r="H9" s="2569"/>
      <c r="I9" s="2798"/>
      <c r="J9" s="81"/>
      <c r="K9" s="82"/>
      <c r="L9" s="304"/>
      <c r="M9" s="327"/>
      <c r="N9" s="304"/>
      <c r="O9" s="735">
        <f>M9*N9</f>
        <v>0</v>
      </c>
      <c r="P9" s="3032"/>
      <c r="Q9" s="68">
        <f>'Ab1. RMNCH+A'!Q477</f>
        <v>0</v>
      </c>
      <c r="R9" s="1827">
        <f>'Ab1. RMNCH+A'!R477</f>
        <v>0</v>
      </c>
    </row>
    <row r="10" spans="1:56" x14ac:dyDescent="0.2">
      <c r="A10" s="80" t="s">
        <v>4647</v>
      </c>
      <c r="B10" s="81"/>
      <c r="C10" s="82"/>
      <c r="D10" s="86" t="s">
        <v>90</v>
      </c>
      <c r="E10" s="81"/>
      <c r="F10" s="81"/>
      <c r="G10" s="81"/>
      <c r="H10" s="2242"/>
      <c r="I10" s="2798"/>
      <c r="J10" s="81"/>
      <c r="K10" s="82"/>
      <c r="L10" s="304"/>
      <c r="M10" s="327"/>
      <c r="N10" s="304"/>
      <c r="O10" s="735">
        <f>M10*N10</f>
        <v>0</v>
      </c>
      <c r="P10" s="2850"/>
      <c r="Q10" s="3342">
        <f>'Ab1. RMNCH+A'!Q478</f>
        <v>0</v>
      </c>
      <c r="R10" s="1827">
        <f>'Ab1. RMNCH+A'!R478</f>
        <v>0</v>
      </c>
    </row>
    <row r="11" spans="1:56" x14ac:dyDescent="0.2">
      <c r="A11" s="80" t="s">
        <v>4648</v>
      </c>
      <c r="B11" s="81"/>
      <c r="C11" s="82"/>
      <c r="D11" s="86" t="s">
        <v>90</v>
      </c>
      <c r="E11" s="81"/>
      <c r="F11" s="81"/>
      <c r="G11" s="81"/>
      <c r="H11" s="2242"/>
      <c r="I11" s="81"/>
      <c r="J11" s="81"/>
      <c r="K11" s="82"/>
      <c r="L11" s="304"/>
      <c r="M11" s="327"/>
      <c r="N11" s="304"/>
      <c r="O11" s="735">
        <f>M11*N11</f>
        <v>0</v>
      </c>
      <c r="P11" s="3032"/>
      <c r="Q11" s="68">
        <f>'Ab1. RMNCH+A'!Q479</f>
        <v>0</v>
      </c>
      <c r="R11" s="1827">
        <f>'Ab1. RMNCH+A'!R479</f>
        <v>0</v>
      </c>
    </row>
    <row r="12" spans="1:56" x14ac:dyDescent="0.2">
      <c r="A12" s="80" t="s">
        <v>4649</v>
      </c>
      <c r="B12" s="81"/>
      <c r="C12" s="82"/>
      <c r="D12" s="86" t="s">
        <v>90</v>
      </c>
      <c r="E12" s="81"/>
      <c r="F12" s="81"/>
      <c r="G12" s="81"/>
      <c r="H12" s="81"/>
      <c r="I12" s="81"/>
      <c r="J12" s="81"/>
      <c r="K12" s="82"/>
      <c r="L12" s="304"/>
      <c r="M12" s="327"/>
      <c r="N12" s="304"/>
      <c r="O12" s="735">
        <f>M12*N12</f>
        <v>0</v>
      </c>
      <c r="P12" s="2850"/>
      <c r="Q12" s="3342">
        <f>'Ab1. RMNCH+A'!Q480</f>
        <v>0</v>
      </c>
      <c r="R12" s="1827">
        <f>'Ab1. RMNCH+A'!R480</f>
        <v>0</v>
      </c>
    </row>
    <row r="13" spans="1:56" x14ac:dyDescent="0.2">
      <c r="A13" s="80" t="s">
        <v>4650</v>
      </c>
      <c r="B13" s="81"/>
      <c r="C13" s="82"/>
      <c r="D13" s="86" t="s">
        <v>90</v>
      </c>
      <c r="E13" s="81"/>
      <c r="F13" s="81"/>
      <c r="G13" s="81"/>
      <c r="H13" s="81"/>
      <c r="I13" s="81"/>
      <c r="J13" s="81"/>
      <c r="K13" s="82"/>
      <c r="L13" s="304"/>
      <c r="M13" s="327"/>
      <c r="N13" s="304"/>
      <c r="O13" s="735">
        <f>M13*N13</f>
        <v>0</v>
      </c>
      <c r="P13" s="3020"/>
      <c r="Q13" s="68">
        <f>'Ab1. RMNCH+A'!Q481</f>
        <v>0</v>
      </c>
      <c r="R13" s="1827">
        <f>'Ab1. RMNCH+A'!R481</f>
        <v>0</v>
      </c>
    </row>
    <row r="14" spans="1:56" x14ac:dyDescent="0.2">
      <c r="A14" s="78">
        <v>18.2</v>
      </c>
      <c r="B14" s="79"/>
      <c r="C14" s="79" t="s">
        <v>4652</v>
      </c>
      <c r="D14" s="85"/>
      <c r="E14" s="79"/>
      <c r="F14" s="79"/>
      <c r="G14" s="79"/>
      <c r="H14" s="2799"/>
      <c r="I14" s="79"/>
      <c r="J14" s="79"/>
      <c r="K14" s="79"/>
      <c r="L14" s="64"/>
      <c r="M14" s="233"/>
      <c r="N14" s="64"/>
      <c r="O14" s="742">
        <f>SUM(O15:O19)</f>
        <v>0</v>
      </c>
      <c r="P14" s="66"/>
      <c r="Q14" s="66"/>
      <c r="R14" s="742">
        <f>SUM(R15:R19)</f>
        <v>0</v>
      </c>
    </row>
    <row r="15" spans="1:56" ht="165" customHeight="1" x14ac:dyDescent="0.2">
      <c r="A15" s="80" t="s">
        <v>4653</v>
      </c>
      <c r="B15" s="81"/>
      <c r="C15" s="82"/>
      <c r="D15" s="69" t="s">
        <v>70</v>
      </c>
      <c r="E15" s="81"/>
      <c r="F15" s="81"/>
      <c r="G15" s="81"/>
      <c r="H15" s="2242"/>
      <c r="I15" s="81"/>
      <c r="J15" s="81"/>
      <c r="K15" s="82"/>
      <c r="L15" s="304"/>
      <c r="M15" s="327"/>
      <c r="N15" s="304"/>
      <c r="O15" s="735">
        <f>M15*N15</f>
        <v>0</v>
      </c>
      <c r="P15" s="2850"/>
      <c r="Q15" s="67"/>
      <c r="R15" s="743"/>
    </row>
    <row r="16" spans="1:56" x14ac:dyDescent="0.2">
      <c r="A16" s="80" t="s">
        <v>4654</v>
      </c>
      <c r="B16" s="81"/>
      <c r="C16" s="82"/>
      <c r="D16" s="69" t="s">
        <v>70</v>
      </c>
      <c r="E16" s="81" t="s">
        <v>70</v>
      </c>
      <c r="F16" s="81"/>
      <c r="G16" s="81"/>
      <c r="H16" s="2242"/>
      <c r="I16" s="81"/>
      <c r="J16" s="81"/>
      <c r="K16" s="82"/>
      <c r="L16" s="304"/>
      <c r="M16" s="327"/>
      <c r="N16" s="304"/>
      <c r="O16" s="735">
        <f>M16*N16</f>
        <v>0</v>
      </c>
      <c r="P16" s="2850"/>
      <c r="Q16" s="67"/>
      <c r="R16" s="743"/>
    </row>
    <row r="17" spans="1:18" x14ac:dyDescent="0.2">
      <c r="A17" s="80" t="s">
        <v>4655</v>
      </c>
      <c r="B17" s="81"/>
      <c r="C17" s="82"/>
      <c r="D17" s="69" t="s">
        <v>70</v>
      </c>
      <c r="E17" s="81"/>
      <c r="F17" s="81"/>
      <c r="G17" s="81"/>
      <c r="H17" s="2242"/>
      <c r="I17" s="81"/>
      <c r="J17" s="81"/>
      <c r="K17" s="82"/>
      <c r="L17" s="304"/>
      <c r="M17" s="327"/>
      <c r="N17" s="304"/>
      <c r="O17" s="735">
        <f>M17*N17</f>
        <v>0</v>
      </c>
      <c r="P17" s="2850"/>
      <c r="Q17" s="67"/>
      <c r="R17" s="743"/>
    </row>
    <row r="18" spans="1:18" x14ac:dyDescent="0.2">
      <c r="A18" s="80" t="s">
        <v>4656</v>
      </c>
      <c r="B18" s="81"/>
      <c r="C18" s="82"/>
      <c r="D18" s="69" t="s">
        <v>70</v>
      </c>
      <c r="E18" s="81"/>
      <c r="F18" s="81"/>
      <c r="G18" s="81"/>
      <c r="H18" s="2242"/>
      <c r="I18" s="81"/>
      <c r="J18" s="81"/>
      <c r="K18" s="82"/>
      <c r="L18" s="304"/>
      <c r="M18" s="327"/>
      <c r="N18" s="304"/>
      <c r="O18" s="735">
        <f>M18*N18</f>
        <v>0</v>
      </c>
      <c r="P18" s="2850"/>
      <c r="Q18" s="67"/>
      <c r="R18" s="743"/>
    </row>
    <row r="19" spans="1:18" x14ac:dyDescent="0.2">
      <c r="A19" s="80" t="s">
        <v>4657</v>
      </c>
      <c r="B19" s="81"/>
      <c r="C19" s="82"/>
      <c r="D19" s="69" t="s">
        <v>70</v>
      </c>
      <c r="E19" s="81"/>
      <c r="F19" s="81"/>
      <c r="G19" s="81"/>
      <c r="H19" s="81"/>
      <c r="I19" s="81"/>
      <c r="J19" s="81"/>
      <c r="K19" s="82"/>
      <c r="L19" s="304"/>
      <c r="M19" s="327"/>
      <c r="N19" s="304"/>
      <c r="O19" s="735">
        <f>M19*N19</f>
        <v>0</v>
      </c>
      <c r="P19" s="3032"/>
      <c r="Q19" s="68"/>
      <c r="R19" s="743"/>
    </row>
    <row r="20" spans="1:18" x14ac:dyDescent="0.2">
      <c r="A20" s="78">
        <v>18.3</v>
      </c>
      <c r="B20" s="79"/>
      <c r="C20" s="79" t="s">
        <v>4658</v>
      </c>
      <c r="D20" s="85"/>
      <c r="E20" s="79"/>
      <c r="F20" s="79"/>
      <c r="G20" s="79"/>
      <c r="H20" s="79"/>
      <c r="I20" s="79"/>
      <c r="J20" s="79"/>
      <c r="K20" s="79"/>
      <c r="L20" s="64"/>
      <c r="M20" s="233"/>
      <c r="N20" s="64"/>
      <c r="O20" s="742">
        <f>SUM(O21:O25)</f>
        <v>0</v>
      </c>
      <c r="P20" s="66"/>
      <c r="Q20" s="66"/>
      <c r="R20" s="742">
        <f>SUM(R21:R25)</f>
        <v>0</v>
      </c>
    </row>
    <row r="21" spans="1:18" x14ac:dyDescent="0.2">
      <c r="A21" s="80" t="s">
        <v>4659</v>
      </c>
      <c r="B21" s="81"/>
      <c r="C21" s="82"/>
      <c r="D21" s="70" t="s">
        <v>4366</v>
      </c>
      <c r="E21" s="81"/>
      <c r="F21" s="81"/>
      <c r="G21" s="81"/>
      <c r="H21" s="81"/>
      <c r="I21" s="81"/>
      <c r="J21" s="81"/>
      <c r="K21" s="82"/>
      <c r="L21" s="304"/>
      <c r="M21" s="327"/>
      <c r="N21" s="304"/>
      <c r="O21" s="735">
        <f>M21*N21</f>
        <v>0</v>
      </c>
      <c r="P21" s="2850"/>
      <c r="Q21" s="67"/>
      <c r="R21" s="3622"/>
    </row>
    <row r="22" spans="1:18" x14ac:dyDescent="0.2">
      <c r="A22" s="80" t="s">
        <v>4660</v>
      </c>
      <c r="B22" s="81"/>
      <c r="C22" s="82"/>
      <c r="D22" s="70" t="s">
        <v>4366</v>
      </c>
      <c r="E22" s="81"/>
      <c r="F22" s="81"/>
      <c r="G22" s="81"/>
      <c r="H22" s="81"/>
      <c r="I22" s="81"/>
      <c r="J22" s="81"/>
      <c r="K22" s="82"/>
      <c r="L22" s="304"/>
      <c r="M22" s="327"/>
      <c r="N22" s="304"/>
      <c r="O22" s="735">
        <f>M22*N22</f>
        <v>0</v>
      </c>
      <c r="P22" s="2850"/>
      <c r="Q22" s="3409"/>
      <c r="R22" s="743"/>
    </row>
    <row r="23" spans="1:18" x14ac:dyDescent="0.2">
      <c r="A23" s="80" t="s">
        <v>4661</v>
      </c>
      <c r="B23" s="81"/>
      <c r="C23" s="82"/>
      <c r="D23" s="70" t="s">
        <v>4366</v>
      </c>
      <c r="E23" s="81"/>
      <c r="F23" s="81"/>
      <c r="G23" s="81"/>
      <c r="H23" s="81"/>
      <c r="I23" s="81"/>
      <c r="J23" s="81"/>
      <c r="K23" s="82"/>
      <c r="L23" s="304"/>
      <c r="M23" s="327"/>
      <c r="N23" s="304"/>
      <c r="O23" s="735">
        <f>M23*N23</f>
        <v>0</v>
      </c>
      <c r="P23" s="2933"/>
      <c r="Q23" s="68"/>
      <c r="R23" s="3622"/>
    </row>
    <row r="24" spans="1:18" x14ac:dyDescent="0.2">
      <c r="A24" s="80" t="s">
        <v>4662</v>
      </c>
      <c r="B24" s="81"/>
      <c r="C24" s="82"/>
      <c r="D24" s="70" t="s">
        <v>4366</v>
      </c>
      <c r="E24" s="81"/>
      <c r="F24" s="81"/>
      <c r="G24" s="81"/>
      <c r="H24" s="81"/>
      <c r="I24" s="81"/>
      <c r="J24" s="81"/>
      <c r="K24" s="82"/>
      <c r="L24" s="304"/>
      <c r="M24" s="327"/>
      <c r="N24" s="304"/>
      <c r="O24" s="735">
        <f>M24*N24</f>
        <v>0</v>
      </c>
      <c r="P24" s="3032"/>
      <c r="Q24" s="68"/>
      <c r="R24" s="743"/>
    </row>
    <row r="25" spans="1:18" x14ac:dyDescent="0.2">
      <c r="A25" s="80" t="s">
        <v>4663</v>
      </c>
      <c r="B25" s="81"/>
      <c r="C25" s="82"/>
      <c r="D25" s="70" t="s">
        <v>4366</v>
      </c>
      <c r="E25" s="81"/>
      <c r="F25" s="81"/>
      <c r="G25" s="81"/>
      <c r="H25" s="81"/>
      <c r="I25" s="81"/>
      <c r="J25" s="81"/>
      <c r="K25" s="82"/>
      <c r="L25" s="304"/>
      <c r="M25" s="327"/>
      <c r="N25" s="304"/>
      <c r="O25" s="735">
        <f>M25*N25</f>
        <v>0</v>
      </c>
      <c r="P25" s="2850"/>
      <c r="Q25" s="68"/>
      <c r="R25" s="3622"/>
    </row>
    <row r="26" spans="1:18" x14ac:dyDescent="0.2">
      <c r="A26" s="78">
        <v>18.399999999999999</v>
      </c>
      <c r="B26" s="79"/>
      <c r="C26" s="79" t="s">
        <v>4664</v>
      </c>
      <c r="D26" s="85"/>
      <c r="E26" s="79"/>
      <c r="F26" s="79"/>
      <c r="G26" s="79"/>
      <c r="H26" s="79"/>
      <c r="I26" s="79"/>
      <c r="J26" s="79"/>
      <c r="K26" s="79"/>
      <c r="L26" s="64"/>
      <c r="M26" s="233"/>
      <c r="N26" s="64"/>
      <c r="O26" s="742">
        <f>SUM(O27:O31)</f>
        <v>0</v>
      </c>
      <c r="P26" s="66"/>
      <c r="Q26" s="66"/>
      <c r="R26" s="742">
        <f>SUM(R27:R31)</f>
        <v>0</v>
      </c>
    </row>
    <row r="27" spans="1:18" x14ac:dyDescent="0.2">
      <c r="A27" s="80" t="s">
        <v>4665</v>
      </c>
      <c r="B27" s="81"/>
      <c r="C27" s="82"/>
      <c r="D27" s="71" t="s">
        <v>85</v>
      </c>
      <c r="E27" s="81"/>
      <c r="F27" s="81"/>
      <c r="G27" s="81"/>
      <c r="H27" s="81"/>
      <c r="I27" s="81"/>
      <c r="J27" s="81"/>
      <c r="K27" s="82"/>
      <c r="L27" s="304"/>
      <c r="M27" s="327"/>
      <c r="N27" s="304"/>
      <c r="O27" s="735">
        <f>M27*N27</f>
        <v>0</v>
      </c>
      <c r="P27" s="3032"/>
      <c r="Q27" s="3624"/>
      <c r="R27" s="743"/>
    </row>
    <row r="28" spans="1:18" x14ac:dyDescent="0.2">
      <c r="A28" s="80" t="s">
        <v>4666</v>
      </c>
      <c r="B28" s="81"/>
      <c r="C28" s="81"/>
      <c r="D28" s="71" t="s">
        <v>85</v>
      </c>
      <c r="E28" s="81"/>
      <c r="F28" s="81"/>
      <c r="G28" s="81"/>
      <c r="H28" s="81"/>
      <c r="I28" s="81"/>
      <c r="J28" s="81"/>
      <c r="K28" s="81"/>
      <c r="L28" s="304"/>
      <c r="M28" s="327"/>
      <c r="N28" s="304"/>
      <c r="O28" s="735">
        <f>M28*N28</f>
        <v>0</v>
      </c>
      <c r="P28" s="68"/>
      <c r="Q28" s="68"/>
      <c r="R28" s="743"/>
    </row>
    <row r="29" spans="1:18" x14ac:dyDescent="0.2">
      <c r="A29" s="80" t="s">
        <v>4667</v>
      </c>
      <c r="B29" s="81"/>
      <c r="C29" s="81"/>
      <c r="D29" s="71" t="s">
        <v>85</v>
      </c>
      <c r="E29" s="81"/>
      <c r="F29" s="81"/>
      <c r="G29" s="81"/>
      <c r="H29" s="81"/>
      <c r="I29" s="81"/>
      <c r="J29" s="81"/>
      <c r="K29" s="81"/>
      <c r="L29" s="304"/>
      <c r="M29" s="327"/>
      <c r="N29" s="304"/>
      <c r="O29" s="735">
        <f>M29*N29</f>
        <v>0</v>
      </c>
      <c r="P29" s="68"/>
      <c r="Q29" s="68"/>
      <c r="R29" s="743"/>
    </row>
    <row r="30" spans="1:18" x14ac:dyDescent="0.2">
      <c r="A30" s="80" t="s">
        <v>4668</v>
      </c>
      <c r="B30" s="81"/>
      <c r="C30" s="81"/>
      <c r="D30" s="71" t="s">
        <v>85</v>
      </c>
      <c r="E30" s="81"/>
      <c r="F30" s="81"/>
      <c r="G30" s="81"/>
      <c r="H30" s="81"/>
      <c r="I30" s="81"/>
      <c r="J30" s="81"/>
      <c r="K30" s="81"/>
      <c r="L30" s="304"/>
      <c r="M30" s="327"/>
      <c r="N30" s="304"/>
      <c r="O30" s="735">
        <f>M30*N30</f>
        <v>0</v>
      </c>
      <c r="P30" s="68"/>
      <c r="Q30" s="68"/>
      <c r="R30" s="743"/>
    </row>
    <row r="31" spans="1:18" x14ac:dyDescent="0.2">
      <c r="A31" s="80" t="s">
        <v>4669</v>
      </c>
      <c r="B31" s="81"/>
      <c r="C31" s="81"/>
      <c r="D31" s="71" t="s">
        <v>85</v>
      </c>
      <c r="E31" s="81"/>
      <c r="F31" s="81"/>
      <c r="G31" s="81"/>
      <c r="H31" s="81"/>
      <c r="I31" s="81"/>
      <c r="J31" s="81"/>
      <c r="K31" s="81"/>
      <c r="L31" s="304"/>
      <c r="M31" s="327"/>
      <c r="N31" s="304"/>
      <c r="O31" s="735">
        <f>M31*N31</f>
        <v>0</v>
      </c>
      <c r="P31" s="68"/>
      <c r="Q31" s="68"/>
      <c r="R31" s="743"/>
    </row>
    <row r="34" spans="14:18" x14ac:dyDescent="0.2">
      <c r="N34" s="178"/>
    </row>
    <row r="35" spans="14:18" x14ac:dyDescent="0.2">
      <c r="N35" s="178"/>
      <c r="O35" s="700">
        <f>O7</f>
        <v>0</v>
      </c>
      <c r="R35" s="700">
        <f>R7</f>
        <v>0</v>
      </c>
    </row>
  </sheetData>
  <sheetProtection formatCells="0" formatColumns="0" formatRows="0" insertRows="0" autoFilter="0"/>
  <autoFilter ref="A6:R31"/>
  <mergeCells count="18">
    <mergeCell ref="AI1:AO1"/>
    <mergeCell ref="AP1:BA1"/>
    <mergeCell ref="BB1:BB2"/>
    <mergeCell ref="BC1:BC2"/>
    <mergeCell ref="BD1:BD2"/>
    <mergeCell ref="K5:P5"/>
    <mergeCell ref="Q5:R5"/>
    <mergeCell ref="A1:C1"/>
    <mergeCell ref="F5:J5"/>
    <mergeCell ref="A5:A6"/>
    <mergeCell ref="B5:B6"/>
    <mergeCell ref="C5:C6"/>
    <mergeCell ref="D5:D6"/>
    <mergeCell ref="E5:E6"/>
    <mergeCell ref="E1:E2"/>
    <mergeCell ref="F1:N1"/>
    <mergeCell ref="A2:A4"/>
    <mergeCell ref="O1:AH1"/>
  </mergeCells>
  <phoneticPr fontId="57" type="noConversion"/>
  <pageMargins left="0.7" right="0.7" top="0.75" bottom="0.75" header="0.3" footer="0.3"/>
  <pageSetup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S276"/>
  <sheetViews>
    <sheetView zoomScaleNormal="100" workbookViewId="0">
      <pane xSplit="4" ySplit="7" topLeftCell="E74" activePane="bottomRight" state="frozen"/>
      <selection activeCell="Q14" sqref="Q14"/>
      <selection pane="topRight" activeCell="Q14" sqref="Q14"/>
      <selection pane="bottomLeft" activeCell="Q14" sqref="Q14"/>
      <selection pane="bottomRight" activeCell="O80" sqref="O80"/>
    </sheetView>
  </sheetViews>
  <sheetFormatPr defaultColWidth="8.7109375" defaultRowHeight="15" x14ac:dyDescent="0.2"/>
  <cols>
    <col min="1" max="1" width="12.42578125" style="826" customWidth="1"/>
    <col min="2" max="2" width="20.42578125" style="826" hidden="1" customWidth="1"/>
    <col min="3" max="3" width="31.42578125" style="826" customWidth="1"/>
    <col min="4" max="4" width="14.140625" style="826" customWidth="1"/>
    <col min="5" max="5" width="19" style="826" customWidth="1"/>
    <col min="6" max="6" width="12.85546875" style="826" customWidth="1"/>
    <col min="7" max="7" width="14.85546875" style="826" customWidth="1"/>
    <col min="8" max="8" width="8.7109375" style="826" customWidth="1"/>
    <col min="9" max="9" width="15.140625" style="826" customWidth="1"/>
    <col min="10" max="10" width="10.7109375" style="826" customWidth="1"/>
    <col min="11" max="11" width="13.42578125" style="826" customWidth="1"/>
    <col min="12" max="12" width="10.85546875" style="826" customWidth="1"/>
    <col min="13" max="13" width="8.7109375" style="826" customWidth="1"/>
    <col min="14" max="14" width="14.42578125" style="880" customWidth="1"/>
    <col min="15" max="15" width="61.7109375" style="881" customWidth="1"/>
    <col min="16" max="16" width="37.85546875" style="881" customWidth="1"/>
    <col min="17" max="17" width="11.42578125" style="826" customWidth="1"/>
    <col min="18" max="16384" width="8.7109375" style="826"/>
  </cols>
  <sheetData>
    <row r="1" spans="1:19" ht="15" customHeight="1" x14ac:dyDescent="0.2">
      <c r="A1" s="4046" t="s">
        <v>3128</v>
      </c>
      <c r="B1" s="4046"/>
      <c r="C1" s="4046"/>
      <c r="D1" s="4046"/>
      <c r="E1" s="4046"/>
      <c r="F1" s="4046"/>
      <c r="G1" s="4046"/>
      <c r="H1" s="4046"/>
      <c r="I1" s="4046"/>
      <c r="J1" s="4046"/>
      <c r="K1" s="4046"/>
      <c r="L1" s="4046"/>
      <c r="M1" s="4046"/>
      <c r="N1" s="4046"/>
      <c r="O1" s="4046"/>
      <c r="P1" s="4046"/>
      <c r="Q1" s="4046"/>
    </row>
    <row r="2" spans="1:19" s="828" customFormat="1" x14ac:dyDescent="0.25">
      <c r="A2" s="3811" t="str">
        <f>HYPERLINK("#Index!A4", "Index Pg")</f>
        <v>Index Pg</v>
      </c>
      <c r="B2" s="1367" t="str">
        <f>HYPERLINK("#'Summary of Abstracts'!A2", "Summary of Abst.")</f>
        <v>Summary of Abst.</v>
      </c>
      <c r="C2" s="1367" t="str">
        <f>HYPERLINK("#'NUHM Summary'!A4:A5", "NUHM Summary Sheet.")</f>
        <v>NUHM Summary Sheet.</v>
      </c>
      <c r="D2" s="829"/>
      <c r="E2" s="830" t="s">
        <v>5356</v>
      </c>
      <c r="F2" s="830" t="s">
        <v>5357</v>
      </c>
      <c r="G2" s="830" t="s">
        <v>5358</v>
      </c>
      <c r="H2" s="830" t="s">
        <v>5359</v>
      </c>
      <c r="I2" s="830" t="s">
        <v>5360</v>
      </c>
      <c r="J2" s="830" t="s">
        <v>5361</v>
      </c>
      <c r="K2" s="830" t="s">
        <v>5362</v>
      </c>
      <c r="L2" s="830" t="s">
        <v>5363</v>
      </c>
      <c r="M2" s="830" t="s">
        <v>5364</v>
      </c>
      <c r="N2" s="830" t="s">
        <v>5365</v>
      </c>
      <c r="O2" s="1828"/>
      <c r="P2" s="1828"/>
      <c r="Q2" s="1828"/>
      <c r="R2" s="826"/>
      <c r="S2" s="826"/>
    </row>
    <row r="3" spans="1:19" s="1834" customFormat="1" x14ac:dyDescent="0.25">
      <c r="A3" s="3812"/>
      <c r="B3" s="831" t="str">
        <f>HYPERLINK("#'Budget Summary I'!A1:AL1", "Budget Summary I")</f>
        <v>Budget Summary I</v>
      </c>
      <c r="C3" s="832" t="s">
        <v>4608</v>
      </c>
      <c r="D3" s="833">
        <f>Q7</f>
        <v>0</v>
      </c>
      <c r="E3" s="834">
        <f>Q49</f>
        <v>0</v>
      </c>
      <c r="F3" s="834">
        <f>Q89</f>
        <v>0</v>
      </c>
      <c r="G3" s="834">
        <f>Q93+Q100+Q105+Q106+Q113+Q114+Q116</f>
        <v>0</v>
      </c>
      <c r="H3" s="834">
        <f>Q172</f>
        <v>0</v>
      </c>
      <c r="I3" s="834">
        <f>Q186+Q187+Q189+Q188</f>
        <v>0</v>
      </c>
      <c r="J3" s="1829">
        <f>Q206</f>
        <v>0</v>
      </c>
      <c r="K3" s="1830">
        <f>Q209</f>
        <v>0</v>
      </c>
      <c r="L3" s="1830">
        <f>Q228</f>
        <v>0</v>
      </c>
      <c r="M3" s="1830">
        <f>Q237</f>
        <v>0</v>
      </c>
      <c r="N3" s="1831">
        <f>Q271</f>
        <v>0</v>
      </c>
      <c r="O3" s="1832"/>
      <c r="P3" s="1833"/>
      <c r="Q3" s="1832"/>
      <c r="R3" s="868"/>
      <c r="S3" s="868"/>
    </row>
    <row r="4" spans="1:19" s="1834" customFormat="1" x14ac:dyDescent="0.25">
      <c r="A4" s="3813"/>
      <c r="B4" s="831" t="str">
        <f>HYPERLINK("#'Budget Summary II'!A3:B5", "Budget Summary II")</f>
        <v>Budget Summary II</v>
      </c>
      <c r="C4" s="832" t="s">
        <v>4609</v>
      </c>
      <c r="D4" s="833">
        <f>N7</f>
        <v>2306.9120000000003</v>
      </c>
      <c r="E4" s="834">
        <f>N49</f>
        <v>0</v>
      </c>
      <c r="F4" s="834">
        <f>N89</f>
        <v>0</v>
      </c>
      <c r="G4" s="834">
        <f>N93+N100+N105+N106+N113+N114+N116</f>
        <v>0</v>
      </c>
      <c r="H4" s="834">
        <f>N172</f>
        <v>0</v>
      </c>
      <c r="I4" s="834">
        <f>N186+N187+N189+N188</f>
        <v>0</v>
      </c>
      <c r="J4" s="1829">
        <f>N206</f>
        <v>0</v>
      </c>
      <c r="K4" s="1830">
        <f>N209</f>
        <v>0</v>
      </c>
      <c r="L4" s="1830">
        <f>N228</f>
        <v>0</v>
      </c>
      <c r="M4" s="1830">
        <f>N237</f>
        <v>0</v>
      </c>
      <c r="N4" s="1831">
        <f>N271</f>
        <v>0</v>
      </c>
      <c r="O4" s="1832"/>
      <c r="P4" s="1833"/>
      <c r="Q4" s="1832"/>
      <c r="R4" s="868"/>
      <c r="S4" s="868"/>
    </row>
    <row r="5" spans="1:19" s="836" customFormat="1" ht="15" customHeight="1" x14ac:dyDescent="0.2">
      <c r="A5" s="3814" t="s">
        <v>53</v>
      </c>
      <c r="B5" s="3814" t="s">
        <v>54</v>
      </c>
      <c r="C5" s="3814" t="s">
        <v>55</v>
      </c>
      <c r="D5" s="3814" t="s">
        <v>4672</v>
      </c>
      <c r="E5" s="3877" t="s">
        <v>4629</v>
      </c>
      <c r="F5" s="3888"/>
      <c r="G5" s="3888"/>
      <c r="H5" s="3888"/>
      <c r="I5" s="3889"/>
      <c r="J5" s="3877" t="s">
        <v>4640</v>
      </c>
      <c r="K5" s="3888"/>
      <c r="L5" s="3888"/>
      <c r="M5" s="3888"/>
      <c r="N5" s="3888"/>
      <c r="O5" s="3889"/>
      <c r="P5" s="3890" t="s">
        <v>4670</v>
      </c>
      <c r="Q5" s="3891"/>
      <c r="R5" s="835"/>
      <c r="S5" s="835"/>
    </row>
    <row r="6" spans="1:19" s="835" customFormat="1" ht="60" x14ac:dyDescent="0.2">
      <c r="A6" s="3815"/>
      <c r="B6" s="3815"/>
      <c r="C6" s="3815"/>
      <c r="D6" s="3815"/>
      <c r="E6" s="896" t="s">
        <v>4630</v>
      </c>
      <c r="F6" s="896" t="s">
        <v>4638</v>
      </c>
      <c r="G6" s="896" t="s">
        <v>4631</v>
      </c>
      <c r="H6" s="896" t="s">
        <v>4639</v>
      </c>
      <c r="I6" s="896" t="s">
        <v>2538</v>
      </c>
      <c r="J6" s="897" t="s">
        <v>58</v>
      </c>
      <c r="K6" s="897" t="s">
        <v>59</v>
      </c>
      <c r="L6" s="1197" t="s">
        <v>60</v>
      </c>
      <c r="M6" s="897" t="s">
        <v>61</v>
      </c>
      <c r="N6" s="1197" t="s">
        <v>62</v>
      </c>
      <c r="O6" s="897" t="s">
        <v>63</v>
      </c>
      <c r="P6" s="899" t="s">
        <v>2540</v>
      </c>
      <c r="Q6" s="1198" t="s">
        <v>4671</v>
      </c>
      <c r="R6" s="835" t="s">
        <v>4724</v>
      </c>
    </row>
    <row r="7" spans="1:19" s="839" customFormat="1" x14ac:dyDescent="0.2">
      <c r="A7" s="184"/>
      <c r="B7" s="184"/>
      <c r="C7" s="184" t="s">
        <v>3956</v>
      </c>
      <c r="D7" s="184"/>
      <c r="E7" s="184"/>
      <c r="F7" s="184"/>
      <c r="G7" s="1835"/>
      <c r="H7" s="1835"/>
      <c r="I7" s="1835"/>
      <c r="J7" s="184"/>
      <c r="K7" s="184"/>
      <c r="L7" s="184"/>
      <c r="M7" s="184"/>
      <c r="N7" s="1835">
        <f>N8+N38+N51+N70+N77+N91+N118+N120+N174+N195+N204+N207+N210+N223+N227+N230+N270+N273</f>
        <v>2306.9120000000003</v>
      </c>
      <c r="O7" s="184"/>
      <c r="P7" s="184"/>
      <c r="Q7" s="1835">
        <f>Q8+Q38+Q51+Q70+Q77+Q91+Q118+Q120+Q174+Q195+Q204+Q207+Q210+Q223+Q227+Q230+Q270+Q273</f>
        <v>0</v>
      </c>
      <c r="R7" s="839">
        <f>SUM(R8:R274)</f>
        <v>0</v>
      </c>
    </row>
    <row r="8" spans="1:19" x14ac:dyDescent="0.2">
      <c r="A8" s="184" t="s">
        <v>3129</v>
      </c>
      <c r="B8" s="184"/>
      <c r="C8" s="184" t="s">
        <v>4</v>
      </c>
      <c r="D8" s="184"/>
      <c r="E8" s="184"/>
      <c r="F8" s="184"/>
      <c r="G8" s="1835"/>
      <c r="H8" s="1835"/>
      <c r="I8" s="1835"/>
      <c r="J8" s="184"/>
      <c r="K8" s="184"/>
      <c r="L8" s="184"/>
      <c r="M8" s="184"/>
      <c r="N8" s="1835">
        <f>N9+N33+N30</f>
        <v>42</v>
      </c>
      <c r="O8" s="184"/>
      <c r="P8" s="184"/>
      <c r="Q8" s="1835">
        <f>Q9+Q33+Q30</f>
        <v>0</v>
      </c>
    </row>
    <row r="9" spans="1:19" x14ac:dyDescent="0.2">
      <c r="A9" s="840" t="s">
        <v>3130</v>
      </c>
      <c r="B9" s="840"/>
      <c r="C9" s="840" t="s">
        <v>5</v>
      </c>
      <c r="D9" s="840"/>
      <c r="E9" s="840"/>
      <c r="F9" s="840"/>
      <c r="G9" s="1836"/>
      <c r="H9" s="1836"/>
      <c r="I9" s="1836"/>
      <c r="J9" s="840"/>
      <c r="K9" s="840"/>
      <c r="L9" s="840"/>
      <c r="M9" s="840"/>
      <c r="N9" s="1836">
        <f>N10+N18</f>
        <v>0</v>
      </c>
      <c r="O9" s="840"/>
      <c r="P9" s="840"/>
      <c r="Q9" s="1836">
        <f>Q10+Q18</f>
        <v>0</v>
      </c>
    </row>
    <row r="10" spans="1:19" ht="30" x14ac:dyDescent="0.2">
      <c r="A10" s="3034" t="s">
        <v>3131</v>
      </c>
      <c r="B10" s="842" t="s">
        <v>2944</v>
      </c>
      <c r="C10" s="842" t="s">
        <v>2945</v>
      </c>
      <c r="D10" s="842"/>
      <c r="E10" s="571"/>
      <c r="F10" s="571"/>
      <c r="G10" s="571"/>
      <c r="H10" s="571"/>
      <c r="I10" s="571"/>
      <c r="J10" s="571"/>
      <c r="K10" s="304"/>
      <c r="L10" s="327"/>
      <c r="M10" s="304"/>
      <c r="N10" s="1837">
        <f>SUM(N11:N17)</f>
        <v>0</v>
      </c>
      <c r="O10" s="572"/>
      <c r="P10" s="1090"/>
      <c r="Q10" s="1837">
        <f>SUM(Q11:Q17)</f>
        <v>0</v>
      </c>
    </row>
    <row r="11" spans="1:19" x14ac:dyDescent="0.2">
      <c r="A11" s="3034" t="s">
        <v>4815</v>
      </c>
      <c r="B11" s="842"/>
      <c r="C11" s="843" t="s">
        <v>5555</v>
      </c>
      <c r="D11" s="842" t="s">
        <v>293</v>
      </c>
      <c r="E11" s="571"/>
      <c r="F11" s="571"/>
      <c r="G11" s="571"/>
      <c r="H11" s="571"/>
      <c r="I11" s="571"/>
      <c r="J11" s="571"/>
      <c r="K11" s="304"/>
      <c r="L11" s="327"/>
      <c r="M11" s="304"/>
      <c r="N11" s="1837">
        <f t="shared" ref="N11:N17" si="0">L11*M11</f>
        <v>0</v>
      </c>
      <c r="O11" s="572"/>
      <c r="P11" s="1090">
        <f>'Abs8. IDSP'!Q38</f>
        <v>0</v>
      </c>
      <c r="Q11" s="1091">
        <f>'Abs8. IDSP'!R38</f>
        <v>0</v>
      </c>
    </row>
    <row r="12" spans="1:19" x14ac:dyDescent="0.2">
      <c r="A12" s="3034" t="s">
        <v>4816</v>
      </c>
      <c r="B12" s="842"/>
      <c r="C12" s="843" t="s">
        <v>5285</v>
      </c>
      <c r="D12" s="842" t="s">
        <v>114</v>
      </c>
      <c r="E12" s="571"/>
      <c r="F12" s="571"/>
      <c r="G12" s="571"/>
      <c r="H12" s="571"/>
      <c r="I12" s="571"/>
      <c r="J12" s="571"/>
      <c r="K12" s="304"/>
      <c r="L12" s="327"/>
      <c r="M12" s="304"/>
      <c r="N12" s="1837">
        <f t="shared" si="0"/>
        <v>0</v>
      </c>
      <c r="O12" s="572"/>
      <c r="P12" s="1090">
        <f>'Abs9. NVBDCP'!Q137</f>
        <v>0</v>
      </c>
      <c r="Q12" s="1091">
        <f>'Abs9. NVBDCP'!R137</f>
        <v>0</v>
      </c>
    </row>
    <row r="13" spans="1:19" ht="15.75" x14ac:dyDescent="0.2">
      <c r="A13" s="3034" t="s">
        <v>4817</v>
      </c>
      <c r="B13" s="842"/>
      <c r="C13" s="843" t="s">
        <v>5287</v>
      </c>
      <c r="D13" s="842" t="s">
        <v>146</v>
      </c>
      <c r="E13" s="571"/>
      <c r="F13" s="571"/>
      <c r="G13" s="571"/>
      <c r="H13" s="571"/>
      <c r="I13" s="571"/>
      <c r="J13" s="3069"/>
      <c r="K13" s="3070"/>
      <c r="L13" s="327"/>
      <c r="M13" s="304"/>
      <c r="N13" s="1837">
        <f t="shared" si="0"/>
        <v>0</v>
      </c>
      <c r="O13" s="3144"/>
      <c r="P13" s="1090">
        <f>'Abs10. NLEP'!Q51</f>
        <v>0</v>
      </c>
      <c r="Q13" s="1091">
        <f>'Abs10. NLEP'!R51</f>
        <v>0</v>
      </c>
    </row>
    <row r="14" spans="1:19" ht="15.75" x14ac:dyDescent="0.2">
      <c r="A14" s="3034" t="s">
        <v>4818</v>
      </c>
      <c r="B14" s="842"/>
      <c r="C14" s="843" t="s">
        <v>5286</v>
      </c>
      <c r="D14" s="842" t="s">
        <v>4683</v>
      </c>
      <c r="E14" s="571"/>
      <c r="F14" s="571"/>
      <c r="G14" s="571"/>
      <c r="H14" s="571"/>
      <c r="I14" s="571"/>
      <c r="J14" s="3069"/>
      <c r="K14" s="3070"/>
      <c r="L14" s="327"/>
      <c r="M14" s="304"/>
      <c r="N14" s="1837">
        <f t="shared" si="0"/>
        <v>0</v>
      </c>
      <c r="O14" s="3666"/>
      <c r="P14" s="1090">
        <f>'Abs11. NTEP'!Q67</f>
        <v>0</v>
      </c>
      <c r="Q14" s="1091">
        <f>'Abs11. NTEP'!R67</f>
        <v>0</v>
      </c>
    </row>
    <row r="15" spans="1:19" x14ac:dyDescent="0.2">
      <c r="A15" s="3034" t="s">
        <v>5567</v>
      </c>
      <c r="B15" s="842"/>
      <c r="C15" s="843" t="s">
        <v>5290</v>
      </c>
      <c r="D15" s="842" t="s">
        <v>3323</v>
      </c>
      <c r="E15" s="571"/>
      <c r="F15" s="571"/>
      <c r="G15" s="571"/>
      <c r="H15" s="571"/>
      <c r="I15" s="571"/>
      <c r="J15" s="571"/>
      <c r="K15" s="304"/>
      <c r="L15" s="327"/>
      <c r="M15" s="304"/>
      <c r="N15" s="1837">
        <f t="shared" si="0"/>
        <v>0</v>
      </c>
      <c r="O15" s="3667"/>
      <c r="P15" s="1090">
        <f>'Abs12. NVHCP'!Q48</f>
        <v>0</v>
      </c>
      <c r="Q15" s="1091">
        <f>'Abs12. NVHCP'!R48</f>
        <v>0</v>
      </c>
    </row>
    <row r="16" spans="1:19" x14ac:dyDescent="0.2">
      <c r="A16" s="3034" t="s">
        <v>5568</v>
      </c>
      <c r="B16" s="842"/>
      <c r="C16" s="843" t="s">
        <v>5288</v>
      </c>
      <c r="D16" s="842" t="s">
        <v>3993</v>
      </c>
      <c r="E16" s="571"/>
      <c r="F16" s="571"/>
      <c r="G16" s="571"/>
      <c r="H16" s="571"/>
      <c r="I16" s="571"/>
      <c r="J16" s="571"/>
      <c r="K16" s="304"/>
      <c r="L16" s="327"/>
      <c r="M16" s="304"/>
      <c r="N16" s="1837">
        <f t="shared" si="0"/>
        <v>0</v>
      </c>
      <c r="O16" s="572"/>
      <c r="P16" s="1090">
        <f>'Abs13. NRCP'!Q20</f>
        <v>0</v>
      </c>
      <c r="Q16" s="1091">
        <f>'Abs13. NRCP'!R20</f>
        <v>0</v>
      </c>
    </row>
    <row r="17" spans="1:17" x14ac:dyDescent="0.2">
      <c r="A17" s="3034" t="s">
        <v>5569</v>
      </c>
      <c r="B17" s="842"/>
      <c r="C17" s="843" t="s">
        <v>5556</v>
      </c>
      <c r="D17" s="842" t="s">
        <v>4553</v>
      </c>
      <c r="E17" s="571"/>
      <c r="F17" s="571"/>
      <c r="G17" s="571"/>
      <c r="H17" s="571"/>
      <c r="I17" s="571"/>
      <c r="J17" s="571"/>
      <c r="K17" s="304"/>
      <c r="L17" s="327"/>
      <c r="M17" s="304"/>
      <c r="N17" s="1837">
        <f t="shared" si="0"/>
        <v>0</v>
      </c>
      <c r="O17" s="572"/>
      <c r="P17" s="1090">
        <f>'Abs14. PPCL'!Q21</f>
        <v>0</v>
      </c>
      <c r="Q17" s="1091">
        <f>'Abs14. PPCL'!R21</f>
        <v>0</v>
      </c>
    </row>
    <row r="18" spans="1:17" ht="30" x14ac:dyDescent="0.2">
      <c r="A18" s="3034" t="s">
        <v>3132</v>
      </c>
      <c r="B18" s="842"/>
      <c r="C18" s="842" t="s">
        <v>2946</v>
      </c>
      <c r="D18" s="842"/>
      <c r="E18" s="571"/>
      <c r="F18" s="571"/>
      <c r="G18" s="571"/>
      <c r="H18" s="571"/>
      <c r="I18" s="571"/>
      <c r="J18" s="571"/>
      <c r="K18" s="304"/>
      <c r="L18" s="327"/>
      <c r="M18" s="304"/>
      <c r="N18" s="1837">
        <f>SUM(N19:N29)</f>
        <v>0</v>
      </c>
      <c r="O18" s="572"/>
      <c r="P18" s="1090"/>
      <c r="Q18" s="1837">
        <f>SUM(Q19:Q29)</f>
        <v>0</v>
      </c>
    </row>
    <row r="19" spans="1:17" ht="30" x14ac:dyDescent="0.2">
      <c r="A19" s="3034" t="s">
        <v>5295</v>
      </c>
      <c r="B19" s="842"/>
      <c r="C19" s="842" t="s">
        <v>5557</v>
      </c>
      <c r="D19" s="842" t="s">
        <v>86</v>
      </c>
      <c r="E19" s="571"/>
      <c r="F19" s="571"/>
      <c r="G19" s="571"/>
      <c r="H19" s="571"/>
      <c r="I19" s="571"/>
      <c r="J19" s="571"/>
      <c r="K19" s="304"/>
      <c r="L19" s="327"/>
      <c r="M19" s="304"/>
      <c r="N19" s="1837">
        <f t="shared" ref="N19:N29" si="1">L19*M19</f>
        <v>0</v>
      </c>
      <c r="O19" s="572"/>
      <c r="P19" s="572"/>
      <c r="Q19" s="573"/>
    </row>
    <row r="20" spans="1:17" ht="30" x14ac:dyDescent="0.2">
      <c r="A20" s="3034" t="s">
        <v>5296</v>
      </c>
      <c r="B20" s="842"/>
      <c r="C20" s="842" t="s">
        <v>5291</v>
      </c>
      <c r="D20" s="842" t="s">
        <v>150</v>
      </c>
      <c r="E20" s="571"/>
      <c r="F20" s="571"/>
      <c r="G20" s="571"/>
      <c r="H20" s="571"/>
      <c r="I20" s="571"/>
      <c r="J20" s="571"/>
      <c r="K20" s="304"/>
      <c r="L20" s="327"/>
      <c r="M20" s="304"/>
      <c r="N20" s="1837">
        <f t="shared" si="1"/>
        <v>0</v>
      </c>
      <c r="O20" s="572"/>
      <c r="P20" s="572"/>
      <c r="Q20" s="573"/>
    </row>
    <row r="21" spans="1:17" ht="30" x14ac:dyDescent="0.2">
      <c r="A21" s="3034" t="s">
        <v>5297</v>
      </c>
      <c r="B21" s="842"/>
      <c r="C21" s="842" t="s">
        <v>5293</v>
      </c>
      <c r="D21" s="842" t="s">
        <v>399</v>
      </c>
      <c r="E21" s="571"/>
      <c r="F21" s="571"/>
      <c r="G21" s="571"/>
      <c r="H21" s="571"/>
      <c r="I21" s="571"/>
      <c r="J21" s="571"/>
      <c r="K21" s="304"/>
      <c r="L21" s="327"/>
      <c r="M21" s="304"/>
      <c r="N21" s="1837">
        <f t="shared" si="1"/>
        <v>0</v>
      </c>
      <c r="O21" s="572"/>
      <c r="P21" s="572"/>
      <c r="Q21" s="573"/>
    </row>
    <row r="22" spans="1:17" ht="30" x14ac:dyDescent="0.2">
      <c r="A22" s="3034" t="s">
        <v>5298</v>
      </c>
      <c r="B22" s="842"/>
      <c r="C22" s="842" t="s">
        <v>5292</v>
      </c>
      <c r="D22" s="842" t="s">
        <v>152</v>
      </c>
      <c r="E22" s="571"/>
      <c r="F22" s="571"/>
      <c r="G22" s="571"/>
      <c r="H22" s="571"/>
      <c r="I22" s="571"/>
      <c r="J22" s="571"/>
      <c r="K22" s="304"/>
      <c r="L22" s="327"/>
      <c r="M22" s="304"/>
      <c r="N22" s="1837">
        <f t="shared" si="1"/>
        <v>0</v>
      </c>
      <c r="O22" s="572"/>
      <c r="P22" s="572"/>
      <c r="Q22" s="573"/>
    </row>
    <row r="23" spans="1:17" ht="30" x14ac:dyDescent="0.2">
      <c r="A23" s="3034" t="s">
        <v>5299</v>
      </c>
      <c r="B23" s="842"/>
      <c r="C23" s="842" t="s">
        <v>5294</v>
      </c>
      <c r="D23" s="842" t="s">
        <v>415</v>
      </c>
      <c r="E23" s="571"/>
      <c r="F23" s="571"/>
      <c r="G23" s="571"/>
      <c r="H23" s="571"/>
      <c r="I23" s="571"/>
      <c r="J23" s="571"/>
      <c r="K23" s="304"/>
      <c r="L23" s="327"/>
      <c r="M23" s="304"/>
      <c r="N23" s="1837">
        <f t="shared" si="1"/>
        <v>0</v>
      </c>
      <c r="O23" s="572"/>
      <c r="P23" s="572"/>
      <c r="Q23" s="573"/>
    </row>
    <row r="24" spans="1:17" ht="30" x14ac:dyDescent="0.2">
      <c r="A24" s="3034" t="s">
        <v>5300</v>
      </c>
      <c r="B24" s="842"/>
      <c r="C24" s="842" t="s">
        <v>5558</v>
      </c>
      <c r="D24" s="842" t="s">
        <v>4925</v>
      </c>
      <c r="E24" s="571"/>
      <c r="F24" s="571"/>
      <c r="G24" s="571"/>
      <c r="H24" s="571"/>
      <c r="I24" s="571"/>
      <c r="J24" s="571"/>
      <c r="K24" s="304"/>
      <c r="L24" s="327"/>
      <c r="M24" s="304"/>
      <c r="N24" s="1837">
        <f t="shared" si="1"/>
        <v>0</v>
      </c>
      <c r="O24" s="572"/>
      <c r="P24" s="572"/>
      <c r="Q24" s="573"/>
    </row>
    <row r="25" spans="1:17" ht="30" x14ac:dyDescent="0.2">
      <c r="A25" s="3034" t="s">
        <v>5301</v>
      </c>
      <c r="B25" s="842"/>
      <c r="C25" s="842" t="s">
        <v>5559</v>
      </c>
      <c r="D25" s="842" t="s">
        <v>4132</v>
      </c>
      <c r="E25" s="571"/>
      <c r="F25" s="571"/>
      <c r="G25" s="571"/>
      <c r="H25" s="571"/>
      <c r="I25" s="571"/>
      <c r="J25" s="571"/>
      <c r="K25" s="304"/>
      <c r="L25" s="327"/>
      <c r="M25" s="304"/>
      <c r="N25" s="1837">
        <f t="shared" si="1"/>
        <v>0</v>
      </c>
      <c r="O25" s="572"/>
      <c r="P25" s="572"/>
      <c r="Q25" s="573"/>
    </row>
    <row r="26" spans="1:17" ht="30" x14ac:dyDescent="0.2">
      <c r="A26" s="3034" t="s">
        <v>5563</v>
      </c>
      <c r="B26" s="842"/>
      <c r="C26" s="842" t="s">
        <v>5560</v>
      </c>
      <c r="D26" s="842" t="s">
        <v>1020</v>
      </c>
      <c r="E26" s="571"/>
      <c r="F26" s="571"/>
      <c r="G26" s="571"/>
      <c r="H26" s="571"/>
      <c r="I26" s="571"/>
      <c r="J26" s="571"/>
      <c r="K26" s="304"/>
      <c r="L26" s="327"/>
      <c r="M26" s="304"/>
      <c r="N26" s="1837">
        <f t="shared" si="1"/>
        <v>0</v>
      </c>
      <c r="O26" s="572"/>
      <c r="P26" s="572"/>
      <c r="Q26" s="573"/>
    </row>
    <row r="27" spans="1:17" ht="30" x14ac:dyDescent="0.2">
      <c r="A27" s="3034" t="s">
        <v>5564</v>
      </c>
      <c r="B27" s="842"/>
      <c r="C27" s="842" t="s">
        <v>5561</v>
      </c>
      <c r="D27" s="842" t="s">
        <v>1034</v>
      </c>
      <c r="E27" s="571"/>
      <c r="F27" s="571"/>
      <c r="G27" s="571"/>
      <c r="H27" s="571"/>
      <c r="I27" s="571"/>
      <c r="J27" s="571"/>
      <c r="K27" s="304"/>
      <c r="L27" s="327"/>
      <c r="M27" s="304"/>
      <c r="N27" s="1837">
        <f t="shared" si="1"/>
        <v>0</v>
      </c>
      <c r="O27" s="572"/>
      <c r="P27" s="572"/>
      <c r="Q27" s="573"/>
    </row>
    <row r="28" spans="1:17" ht="30" x14ac:dyDescent="0.2">
      <c r="A28" s="3034" t="s">
        <v>5565</v>
      </c>
      <c r="B28" s="842"/>
      <c r="C28" s="842" t="s">
        <v>5562</v>
      </c>
      <c r="D28" s="842" t="s">
        <v>312</v>
      </c>
      <c r="E28" s="571"/>
      <c r="F28" s="571"/>
      <c r="G28" s="571"/>
      <c r="H28" s="571"/>
      <c r="I28" s="571"/>
      <c r="J28" s="571"/>
      <c r="K28" s="304"/>
      <c r="L28" s="327"/>
      <c r="M28" s="304"/>
      <c r="N28" s="1837">
        <f t="shared" si="1"/>
        <v>0</v>
      </c>
      <c r="O28" s="572"/>
      <c r="P28" s="572"/>
      <c r="Q28" s="573"/>
    </row>
    <row r="29" spans="1:17" ht="30" x14ac:dyDescent="0.2">
      <c r="A29" s="3034" t="s">
        <v>5566</v>
      </c>
      <c r="B29" s="842"/>
      <c r="C29" s="842" t="s">
        <v>5289</v>
      </c>
      <c r="D29" s="842" t="s">
        <v>314</v>
      </c>
      <c r="E29" s="571"/>
      <c r="F29" s="571"/>
      <c r="G29" s="571"/>
      <c r="H29" s="571"/>
      <c r="I29" s="571"/>
      <c r="J29" s="571"/>
      <c r="K29" s="304"/>
      <c r="L29" s="327"/>
      <c r="M29" s="304"/>
      <c r="N29" s="1837">
        <f t="shared" si="1"/>
        <v>0</v>
      </c>
      <c r="O29" s="572"/>
      <c r="P29" s="572"/>
      <c r="Q29" s="573"/>
    </row>
    <row r="30" spans="1:17" x14ac:dyDescent="0.2">
      <c r="A30" s="844" t="s">
        <v>3133</v>
      </c>
      <c r="B30" s="845"/>
      <c r="C30" s="846" t="s">
        <v>42</v>
      </c>
      <c r="D30" s="846"/>
      <c r="E30" s="1843"/>
      <c r="F30" s="1843"/>
      <c r="G30" s="660"/>
      <c r="H30" s="660"/>
      <c r="I30" s="660"/>
      <c r="J30" s="1843"/>
      <c r="K30" s="1843"/>
      <c r="L30" s="660"/>
      <c r="M30" s="1844"/>
      <c r="N30" s="660">
        <f>N31+N32</f>
        <v>0</v>
      </c>
      <c r="O30" s="577"/>
      <c r="P30" s="577"/>
      <c r="Q30" s="660">
        <f>Q31+Q32</f>
        <v>0</v>
      </c>
    </row>
    <row r="31" spans="1:17" x14ac:dyDescent="0.2">
      <c r="A31" s="555" t="s">
        <v>3134</v>
      </c>
      <c r="B31" s="847"/>
      <c r="C31" s="495" t="s">
        <v>2947</v>
      </c>
      <c r="D31" s="495" t="s">
        <v>118</v>
      </c>
      <c r="E31" s="320"/>
      <c r="F31" s="320"/>
      <c r="G31" s="320"/>
      <c r="H31" s="320"/>
      <c r="I31" s="320"/>
      <c r="J31" s="320"/>
      <c r="K31" s="304"/>
      <c r="L31" s="327"/>
      <c r="M31" s="304"/>
      <c r="N31" s="1837">
        <f>L31*M31</f>
        <v>0</v>
      </c>
      <c r="O31" s="196"/>
      <c r="P31" s="196"/>
      <c r="Q31" s="325"/>
    </row>
    <row r="32" spans="1:17" x14ac:dyDescent="0.2">
      <c r="A32" s="555" t="s">
        <v>3135</v>
      </c>
      <c r="B32" s="847"/>
      <c r="C32" s="495" t="s">
        <v>2948</v>
      </c>
      <c r="D32" s="495" t="s">
        <v>91</v>
      </c>
      <c r="E32" s="320"/>
      <c r="F32" s="320"/>
      <c r="G32" s="320"/>
      <c r="H32" s="320"/>
      <c r="I32" s="320"/>
      <c r="J32" s="320"/>
      <c r="K32" s="304"/>
      <c r="L32" s="327"/>
      <c r="M32" s="304"/>
      <c r="N32" s="1837">
        <f>L32*M32</f>
        <v>0</v>
      </c>
      <c r="O32" s="196"/>
      <c r="P32" s="196"/>
      <c r="Q32" s="325"/>
    </row>
    <row r="33" spans="1:17" x14ac:dyDescent="0.2">
      <c r="A33" s="840" t="s">
        <v>3136</v>
      </c>
      <c r="B33" s="840"/>
      <c r="C33" s="840" t="s">
        <v>45</v>
      </c>
      <c r="D33" s="840"/>
      <c r="E33" s="181"/>
      <c r="F33" s="181"/>
      <c r="G33" s="1836"/>
      <c r="H33" s="1836"/>
      <c r="I33" s="1836"/>
      <c r="J33" s="181"/>
      <c r="K33" s="181"/>
      <c r="L33" s="840"/>
      <c r="M33" s="181"/>
      <c r="N33" s="1836">
        <f>SUM(N34:N37)</f>
        <v>42</v>
      </c>
      <c r="O33" s="181"/>
      <c r="P33" s="181"/>
      <c r="Q33" s="1836">
        <f>SUM(Q34:Q37)</f>
        <v>0</v>
      </c>
    </row>
    <row r="34" spans="1:17" ht="30" x14ac:dyDescent="0.2">
      <c r="A34" s="3034" t="s">
        <v>3137</v>
      </c>
      <c r="B34" s="3034" t="s">
        <v>2949</v>
      </c>
      <c r="C34" s="3034" t="s">
        <v>2950</v>
      </c>
      <c r="D34" s="3034" t="s">
        <v>5348</v>
      </c>
      <c r="E34" s="2800"/>
      <c r="F34" s="2801"/>
      <c r="G34" s="2802"/>
      <c r="H34" s="2801"/>
      <c r="I34" s="2801"/>
      <c r="J34" s="2803" t="s">
        <v>5736</v>
      </c>
      <c r="K34" s="2801">
        <v>15000</v>
      </c>
      <c r="L34" s="327">
        <f>+K34/100000</f>
        <v>0.15</v>
      </c>
      <c r="M34" s="304">
        <v>280</v>
      </c>
      <c r="N34" s="1837">
        <f>L34*M34</f>
        <v>42</v>
      </c>
      <c r="O34" s="3671" t="s">
        <v>5941</v>
      </c>
      <c r="P34" s="67"/>
      <c r="Q34" s="573"/>
    </row>
    <row r="35" spans="1:17" ht="30" x14ac:dyDescent="0.2">
      <c r="A35" s="3034" t="s">
        <v>3138</v>
      </c>
      <c r="B35" s="3034" t="s">
        <v>2951</v>
      </c>
      <c r="C35" s="3034" t="s">
        <v>2952</v>
      </c>
      <c r="D35" s="3034" t="s">
        <v>5348</v>
      </c>
      <c r="E35" s="67"/>
      <c r="F35" s="67"/>
      <c r="G35" s="67"/>
      <c r="H35" s="67"/>
      <c r="I35" s="67"/>
      <c r="J35" s="67"/>
      <c r="K35" s="304"/>
      <c r="L35" s="327"/>
      <c r="M35" s="304"/>
      <c r="N35" s="1837">
        <f>L35*M35</f>
        <v>0</v>
      </c>
      <c r="O35" s="67"/>
      <c r="P35" s="67"/>
      <c r="Q35" s="573"/>
    </row>
    <row r="36" spans="1:17" ht="30" x14ac:dyDescent="0.2">
      <c r="A36" s="3034" t="s">
        <v>3139</v>
      </c>
      <c r="B36" s="3034" t="s">
        <v>2953</v>
      </c>
      <c r="C36" s="3034" t="s">
        <v>2954</v>
      </c>
      <c r="D36" s="3034" t="s">
        <v>5348</v>
      </c>
      <c r="E36" s="67"/>
      <c r="F36" s="67"/>
      <c r="G36" s="67"/>
      <c r="H36" s="67"/>
      <c r="I36" s="67"/>
      <c r="J36" s="67"/>
      <c r="K36" s="304"/>
      <c r="L36" s="327"/>
      <c r="M36" s="304"/>
      <c r="N36" s="1837">
        <f>L36*M36</f>
        <v>0</v>
      </c>
      <c r="O36" s="67"/>
      <c r="P36" s="67"/>
      <c r="Q36" s="573"/>
    </row>
    <row r="37" spans="1:17" x14ac:dyDescent="0.2">
      <c r="A37" s="3034" t="s">
        <v>3140</v>
      </c>
      <c r="B37" s="3033"/>
      <c r="C37" s="842" t="s">
        <v>307</v>
      </c>
      <c r="D37" s="3034" t="s">
        <v>5348</v>
      </c>
      <c r="E37" s="171"/>
      <c r="F37" s="171"/>
      <c r="G37" s="171"/>
      <c r="H37" s="171"/>
      <c r="I37" s="171"/>
      <c r="J37" s="171"/>
      <c r="K37" s="304"/>
      <c r="L37" s="327"/>
      <c r="M37" s="304"/>
      <c r="N37" s="1837">
        <f>L37*M37</f>
        <v>0</v>
      </c>
      <c r="O37" s="67"/>
      <c r="P37" s="67"/>
      <c r="Q37" s="573"/>
    </row>
    <row r="38" spans="1:17" ht="31.5" x14ac:dyDescent="0.2">
      <c r="A38" s="3063" t="s">
        <v>3141</v>
      </c>
      <c r="B38" s="3063"/>
      <c r="C38" s="3063" t="s">
        <v>6</v>
      </c>
      <c r="D38" s="3063"/>
      <c r="E38" s="3087"/>
      <c r="F38" s="3087"/>
      <c r="G38" s="3064"/>
      <c r="H38" s="3064"/>
      <c r="I38" s="3064"/>
      <c r="J38" s="3087"/>
      <c r="K38" s="3087"/>
      <c r="L38" s="3063"/>
      <c r="M38" s="3087"/>
      <c r="N38" s="3064">
        <f>N39+N42+N45</f>
        <v>84</v>
      </c>
      <c r="O38" s="3087"/>
      <c r="P38" s="117"/>
      <c r="Q38" s="1835">
        <f>Q39+Q42+Q45</f>
        <v>0</v>
      </c>
    </row>
    <row r="39" spans="1:17" ht="15.75" x14ac:dyDescent="0.2">
      <c r="A39" s="3065" t="s">
        <v>3142</v>
      </c>
      <c r="B39" s="3065"/>
      <c r="C39" s="3065" t="s">
        <v>7</v>
      </c>
      <c r="D39" s="3065"/>
      <c r="E39" s="3015"/>
      <c r="F39" s="3015"/>
      <c r="G39" s="3066"/>
      <c r="H39" s="3066"/>
      <c r="I39" s="3066"/>
      <c r="J39" s="3015"/>
      <c r="K39" s="3015"/>
      <c r="L39" s="3065"/>
      <c r="M39" s="3015"/>
      <c r="N39" s="3066">
        <f>SUM(N40:N41)</f>
        <v>0</v>
      </c>
      <c r="O39" s="3015"/>
      <c r="P39" s="181"/>
      <c r="Q39" s="1836">
        <f>SUM(Q40:Q41)</f>
        <v>0</v>
      </c>
    </row>
    <row r="40" spans="1:17" ht="31.5" x14ac:dyDescent="0.2">
      <c r="A40" s="3067" t="s">
        <v>3143</v>
      </c>
      <c r="B40" s="3067" t="s">
        <v>2955</v>
      </c>
      <c r="C40" s="3067" t="s">
        <v>2956</v>
      </c>
      <c r="D40" s="3067" t="s">
        <v>5348</v>
      </c>
      <c r="E40" s="3081"/>
      <c r="F40" s="3083"/>
      <c r="G40" s="3088"/>
      <c r="H40" s="3083"/>
      <c r="I40" s="3083"/>
      <c r="J40" s="3083"/>
      <c r="K40" s="3083"/>
      <c r="L40" s="3071"/>
      <c r="M40" s="3070"/>
      <c r="N40" s="3072">
        <f>L40*M40</f>
        <v>0</v>
      </c>
      <c r="O40" s="3418"/>
      <c r="P40" s="67"/>
      <c r="Q40" s="573"/>
    </row>
    <row r="41" spans="1:17" ht="15.75" x14ac:dyDescent="0.2">
      <c r="A41" s="3067" t="s">
        <v>3144</v>
      </c>
      <c r="B41" s="3085"/>
      <c r="C41" s="3068" t="s">
        <v>307</v>
      </c>
      <c r="D41" s="3067" t="s">
        <v>5348</v>
      </c>
      <c r="E41" s="3081"/>
      <c r="F41" s="3089"/>
      <c r="G41" s="3090"/>
      <c r="H41" s="3089"/>
      <c r="I41" s="3089"/>
      <c r="J41" s="3089"/>
      <c r="K41" s="3089"/>
      <c r="L41" s="3071"/>
      <c r="M41" s="3070"/>
      <c r="N41" s="3072">
        <f>L41*M41</f>
        <v>0</v>
      </c>
      <c r="O41" s="3083"/>
      <c r="P41" s="124"/>
      <c r="Q41" s="325"/>
    </row>
    <row r="42" spans="1:17" ht="15.75" x14ac:dyDescent="0.2">
      <c r="A42" s="3065" t="s">
        <v>3145</v>
      </c>
      <c r="B42" s="3065"/>
      <c r="C42" s="3065" t="s">
        <v>8</v>
      </c>
      <c r="D42" s="3065"/>
      <c r="E42" s="3015"/>
      <c r="F42" s="3015"/>
      <c r="G42" s="3066"/>
      <c r="H42" s="3066"/>
      <c r="I42" s="3066"/>
      <c r="J42" s="3015"/>
      <c r="K42" s="3015"/>
      <c r="L42" s="3065"/>
      <c r="M42" s="3015"/>
      <c r="N42" s="3066">
        <f>SUM(N43:N44)</f>
        <v>0</v>
      </c>
      <c r="O42" s="3015"/>
      <c r="P42" s="181"/>
      <c r="Q42" s="1836">
        <f>SUM(Q43:Q44)</f>
        <v>0</v>
      </c>
    </row>
    <row r="43" spans="1:17" ht="15.75" x14ac:dyDescent="0.2">
      <c r="A43" s="3067" t="s">
        <v>3146</v>
      </c>
      <c r="B43" s="3067" t="s">
        <v>2957</v>
      </c>
      <c r="C43" s="3067" t="s">
        <v>2958</v>
      </c>
      <c r="D43" s="3067" t="s">
        <v>5348</v>
      </c>
      <c r="E43" s="3081"/>
      <c r="F43" s="3084"/>
      <c r="G43" s="3073"/>
      <c r="H43" s="3084"/>
      <c r="I43" s="3084"/>
      <c r="J43" s="3083"/>
      <c r="K43" s="3084"/>
      <c r="L43" s="3071"/>
      <c r="M43" s="3070"/>
      <c r="N43" s="3072">
        <f>L43*M43</f>
        <v>0</v>
      </c>
      <c r="O43" s="3418"/>
      <c r="P43" s="67"/>
      <c r="Q43" s="573"/>
    </row>
    <row r="44" spans="1:17" ht="15.75" x14ac:dyDescent="0.2">
      <c r="A44" s="3067" t="s">
        <v>3147</v>
      </c>
      <c r="B44" s="3067"/>
      <c r="C44" s="3067" t="s">
        <v>307</v>
      </c>
      <c r="D44" s="3067" t="s">
        <v>5348</v>
      </c>
      <c r="E44" s="3084"/>
      <c r="F44" s="3084"/>
      <c r="G44" s="3084"/>
      <c r="H44" s="3084"/>
      <c r="I44" s="3084"/>
      <c r="J44" s="3084"/>
      <c r="K44" s="3070"/>
      <c r="L44" s="3071"/>
      <c r="M44" s="3070"/>
      <c r="N44" s="3072">
        <f>L44*M44</f>
        <v>0</v>
      </c>
      <c r="O44" s="3084"/>
      <c r="P44" s="67"/>
      <c r="Q44" s="573"/>
    </row>
    <row r="45" spans="1:17" ht="15.75" x14ac:dyDescent="0.2">
      <c r="A45" s="3065" t="s">
        <v>3148</v>
      </c>
      <c r="B45" s="3065"/>
      <c r="C45" s="3065" t="s">
        <v>9</v>
      </c>
      <c r="D45" s="3065"/>
      <c r="E45" s="3015"/>
      <c r="F45" s="3015"/>
      <c r="G45" s="3066"/>
      <c r="H45" s="3066"/>
      <c r="I45" s="3066"/>
      <c r="J45" s="3015"/>
      <c r="K45" s="3015"/>
      <c r="L45" s="3065"/>
      <c r="M45" s="3015"/>
      <c r="N45" s="3066">
        <f>SUM(N46:N50)</f>
        <v>84</v>
      </c>
      <c r="O45" s="3015"/>
      <c r="P45" s="181"/>
      <c r="Q45" s="1836">
        <f>SUM(Q46:Q50)</f>
        <v>0</v>
      </c>
    </row>
    <row r="46" spans="1:17" ht="15.75" x14ac:dyDescent="0.2">
      <c r="A46" s="3067" t="s">
        <v>3149</v>
      </c>
      <c r="B46" s="3067" t="s">
        <v>2959</v>
      </c>
      <c r="C46" s="3067" t="s">
        <v>2960</v>
      </c>
      <c r="D46" s="3067" t="s">
        <v>5348</v>
      </c>
      <c r="E46" s="3081"/>
      <c r="F46" s="3083"/>
      <c r="G46" s="3073"/>
      <c r="H46" s="3083"/>
      <c r="I46" s="3083"/>
      <c r="J46" s="3083"/>
      <c r="K46" s="3083"/>
      <c r="L46" s="3071"/>
      <c r="M46" s="3070"/>
      <c r="N46" s="3072">
        <f>L46*M46</f>
        <v>0</v>
      </c>
      <c r="O46" s="3418"/>
      <c r="P46" s="67"/>
      <c r="Q46" s="573"/>
    </row>
    <row r="47" spans="1:17" ht="63" x14ac:dyDescent="0.2">
      <c r="A47" s="3091" t="s">
        <v>3150</v>
      </c>
      <c r="B47" s="3067" t="s">
        <v>2961</v>
      </c>
      <c r="C47" s="3067" t="s">
        <v>5302</v>
      </c>
      <c r="D47" s="3067" t="s">
        <v>5348</v>
      </c>
      <c r="E47" s="3081"/>
      <c r="F47" s="3083"/>
      <c r="G47" s="3073"/>
      <c r="H47" s="3083"/>
      <c r="I47" s="3083"/>
      <c r="J47" s="2803" t="s">
        <v>5943</v>
      </c>
      <c r="K47" s="3083">
        <v>10000</v>
      </c>
      <c r="L47" s="327">
        <f>+K47/100000</f>
        <v>0.1</v>
      </c>
      <c r="M47" s="3070">
        <v>840</v>
      </c>
      <c r="N47" s="3072">
        <f>L47*M47</f>
        <v>84</v>
      </c>
      <c r="O47" s="3671" t="s">
        <v>5942</v>
      </c>
      <c r="P47" s="67"/>
      <c r="Q47" s="573"/>
    </row>
    <row r="48" spans="1:17" s="828" customFormat="1" ht="47.25" x14ac:dyDescent="0.2">
      <c r="A48" s="3091" t="s">
        <v>3151</v>
      </c>
      <c r="B48" s="3091" t="s">
        <v>3085</v>
      </c>
      <c r="C48" s="3091" t="s">
        <v>3086</v>
      </c>
      <c r="D48" s="3067" t="s">
        <v>5348</v>
      </c>
      <c r="E48" s="3089"/>
      <c r="F48" s="3089"/>
      <c r="G48" s="3089"/>
      <c r="H48" s="3089"/>
      <c r="I48" s="3089"/>
      <c r="J48" s="3089"/>
      <c r="K48" s="3092"/>
      <c r="L48" s="3071"/>
      <c r="M48" s="3070"/>
      <c r="N48" s="3093">
        <f>L48*M48</f>
        <v>0</v>
      </c>
      <c r="O48" s="3418"/>
      <c r="P48" s="124"/>
      <c r="Q48" s="325"/>
    </row>
    <row r="49" spans="1:17" s="828" customFormat="1" ht="31.5" x14ac:dyDescent="0.2">
      <c r="A49" s="3091" t="s">
        <v>4565</v>
      </c>
      <c r="B49" s="3091"/>
      <c r="C49" s="3091" t="s">
        <v>4570</v>
      </c>
      <c r="D49" s="3091" t="s">
        <v>5349</v>
      </c>
      <c r="E49" s="3089"/>
      <c r="F49" s="3089"/>
      <c r="G49" s="3089"/>
      <c r="H49" s="3089"/>
      <c r="I49" s="3089"/>
      <c r="J49" s="3089"/>
      <c r="K49" s="3070"/>
      <c r="L49" s="3071"/>
      <c r="M49" s="3070"/>
      <c r="N49" s="3093">
        <f>L49*M49</f>
        <v>0</v>
      </c>
      <c r="O49" s="3418"/>
      <c r="P49" s="124"/>
      <c r="Q49" s="325"/>
    </row>
    <row r="50" spans="1:17" ht="15.75" x14ac:dyDescent="0.2">
      <c r="A50" s="3062" t="s">
        <v>4569</v>
      </c>
      <c r="B50" s="3085"/>
      <c r="C50" s="3068" t="s">
        <v>307</v>
      </c>
      <c r="D50" s="3068"/>
      <c r="E50" s="3086"/>
      <c r="F50" s="3086"/>
      <c r="G50" s="3086"/>
      <c r="H50" s="3086"/>
      <c r="I50" s="3086"/>
      <c r="J50" s="3086"/>
      <c r="K50" s="3070"/>
      <c r="L50" s="3071"/>
      <c r="M50" s="3070"/>
      <c r="N50" s="3093">
        <f>L50*M50</f>
        <v>0</v>
      </c>
      <c r="O50" s="3084"/>
      <c r="P50" s="67"/>
      <c r="Q50" s="573"/>
    </row>
    <row r="51" spans="1:17" ht="15.75" x14ac:dyDescent="0.2">
      <c r="A51" s="3063" t="s">
        <v>3152</v>
      </c>
      <c r="B51" s="3063"/>
      <c r="C51" s="3063" t="s">
        <v>10</v>
      </c>
      <c r="D51" s="3063"/>
      <c r="E51" s="3087"/>
      <c r="F51" s="3087"/>
      <c r="G51" s="3064"/>
      <c r="H51" s="3064"/>
      <c r="I51" s="3064"/>
      <c r="J51" s="3087"/>
      <c r="K51" s="3087"/>
      <c r="L51" s="3063"/>
      <c r="M51" s="3087"/>
      <c r="N51" s="3064">
        <f>N52+N64</f>
        <v>0</v>
      </c>
      <c r="O51" s="3087"/>
      <c r="P51" s="117"/>
      <c r="Q51" s="1835">
        <f>Q52+Q64</f>
        <v>0</v>
      </c>
    </row>
    <row r="52" spans="1:17" ht="15.75" x14ac:dyDescent="0.2">
      <c r="A52" s="3065" t="s">
        <v>3153</v>
      </c>
      <c r="B52" s="3065"/>
      <c r="C52" s="3065" t="s">
        <v>11</v>
      </c>
      <c r="D52" s="3065"/>
      <c r="E52" s="3015"/>
      <c r="F52" s="3015"/>
      <c r="G52" s="3066"/>
      <c r="H52" s="3066"/>
      <c r="I52" s="3066"/>
      <c r="J52" s="3015"/>
      <c r="K52" s="3015"/>
      <c r="L52" s="3065"/>
      <c r="M52" s="3015"/>
      <c r="N52" s="3066">
        <f>N53+N57+N60</f>
        <v>0</v>
      </c>
      <c r="O52" s="3015"/>
      <c r="P52" s="181"/>
      <c r="Q52" s="1836">
        <f>Q53+Q57+Q60</f>
        <v>0</v>
      </c>
    </row>
    <row r="53" spans="1:17" ht="15.75" x14ac:dyDescent="0.2">
      <c r="A53" s="3094" t="s">
        <v>3154</v>
      </c>
      <c r="B53" s="3094" t="s">
        <v>2962</v>
      </c>
      <c r="C53" s="3094" t="s">
        <v>2963</v>
      </c>
      <c r="D53" s="3094"/>
      <c r="E53" s="3014"/>
      <c r="F53" s="3014"/>
      <c r="G53" s="3095"/>
      <c r="H53" s="3095"/>
      <c r="I53" s="3095"/>
      <c r="J53" s="3014"/>
      <c r="K53" s="3014"/>
      <c r="L53" s="3094"/>
      <c r="M53" s="3014"/>
      <c r="N53" s="3095">
        <f>SUM(N54:N56)</f>
        <v>0</v>
      </c>
      <c r="O53" s="3014"/>
      <c r="P53" s="118"/>
      <c r="Q53" s="1112">
        <f>SUM(Q54:Q56)</f>
        <v>0</v>
      </c>
    </row>
    <row r="54" spans="1:17" ht="71.25" x14ac:dyDescent="0.2">
      <c r="A54" s="3091" t="s">
        <v>3155</v>
      </c>
      <c r="B54" s="3067" t="s">
        <v>2964</v>
      </c>
      <c r="C54" s="3067" t="s">
        <v>2965</v>
      </c>
      <c r="D54" s="3067" t="s">
        <v>5350</v>
      </c>
      <c r="E54" s="3084"/>
      <c r="F54" s="3084"/>
      <c r="G54" s="3084"/>
      <c r="H54" s="3084"/>
      <c r="I54" s="3084"/>
      <c r="J54" s="3083"/>
      <c r="K54" s="3083"/>
      <c r="L54" s="3071"/>
      <c r="M54" s="3070">
        <v>723</v>
      </c>
      <c r="N54" s="3072">
        <f>L54*M54</f>
        <v>0</v>
      </c>
      <c r="O54" s="3672" t="s">
        <v>5946</v>
      </c>
      <c r="P54" s="67"/>
      <c r="Q54" s="573"/>
    </row>
    <row r="55" spans="1:17" ht="47.25" x14ac:dyDescent="0.2">
      <c r="A55" s="3067" t="s">
        <v>3156</v>
      </c>
      <c r="B55" s="3067"/>
      <c r="C55" s="3067" t="s">
        <v>3891</v>
      </c>
      <c r="D55" s="3067" t="s">
        <v>5350</v>
      </c>
      <c r="E55" s="3084"/>
      <c r="F55" s="3084"/>
      <c r="G55" s="3084"/>
      <c r="H55" s="3084"/>
      <c r="I55" s="3084"/>
      <c r="J55" s="3084"/>
      <c r="K55" s="3070"/>
      <c r="L55" s="3071"/>
      <c r="M55" s="3070"/>
      <c r="N55" s="3072">
        <f>L55*M55</f>
        <v>0</v>
      </c>
      <c r="O55" s="3084"/>
      <c r="P55" s="67"/>
      <c r="Q55" s="573"/>
    </row>
    <row r="56" spans="1:17" ht="31.5" x14ac:dyDescent="0.2">
      <c r="A56" s="3067" t="s">
        <v>3157</v>
      </c>
      <c r="B56" s="3067" t="s">
        <v>2966</v>
      </c>
      <c r="C56" s="3067" t="s">
        <v>2967</v>
      </c>
      <c r="D56" s="3067" t="s">
        <v>5350</v>
      </c>
      <c r="E56" s="3084"/>
      <c r="F56" s="3084"/>
      <c r="G56" s="3084"/>
      <c r="H56" s="3084"/>
      <c r="I56" s="3084"/>
      <c r="J56" s="3084"/>
      <c r="K56" s="3070"/>
      <c r="L56" s="3071"/>
      <c r="M56" s="3070"/>
      <c r="N56" s="3072">
        <f>L56*M56</f>
        <v>0</v>
      </c>
      <c r="O56" s="3084"/>
      <c r="P56" s="67"/>
      <c r="Q56" s="573"/>
    </row>
    <row r="57" spans="1:17" ht="15.75" x14ac:dyDescent="0.2">
      <c r="A57" s="3094" t="s">
        <v>3158</v>
      </c>
      <c r="B57" s="3094" t="s">
        <v>2968</v>
      </c>
      <c r="C57" s="3094" t="s">
        <v>2969</v>
      </c>
      <c r="D57" s="3094"/>
      <c r="E57" s="3014"/>
      <c r="F57" s="3014"/>
      <c r="G57" s="3095"/>
      <c r="H57" s="3095"/>
      <c r="I57" s="3095"/>
      <c r="J57" s="3014"/>
      <c r="K57" s="3096"/>
      <c r="L57" s="3095"/>
      <c r="M57" s="3096"/>
      <c r="N57" s="3095">
        <f>SUM(N58:N59)</f>
        <v>0</v>
      </c>
      <c r="O57" s="3014"/>
      <c r="P57" s="118"/>
      <c r="Q57" s="1112">
        <f>SUM(Q58:Q59)</f>
        <v>0</v>
      </c>
    </row>
    <row r="58" spans="1:17" s="828" customFormat="1" ht="31.5" x14ac:dyDescent="0.2">
      <c r="A58" s="3097" t="s">
        <v>4792</v>
      </c>
      <c r="B58" s="3097"/>
      <c r="C58" s="3098" t="s">
        <v>5303</v>
      </c>
      <c r="D58" s="3067" t="s">
        <v>5350</v>
      </c>
      <c r="E58" s="3099"/>
      <c r="F58" s="3099"/>
      <c r="G58" s="3099"/>
      <c r="H58" s="3099"/>
      <c r="I58" s="3099"/>
      <c r="J58" s="3099"/>
      <c r="K58" s="3070"/>
      <c r="L58" s="3071"/>
      <c r="M58" s="3070"/>
      <c r="N58" s="3072">
        <f>L58*M58</f>
        <v>0</v>
      </c>
      <c r="O58" s="3099"/>
      <c r="P58" s="251"/>
      <c r="Q58" s="325"/>
    </row>
    <row r="59" spans="1:17" s="828" customFormat="1" ht="15.75" x14ac:dyDescent="0.2">
      <c r="A59" s="3097" t="s">
        <v>4793</v>
      </c>
      <c r="B59" s="3097"/>
      <c r="C59" s="3098" t="s">
        <v>3326</v>
      </c>
      <c r="D59" s="3067" t="s">
        <v>5350</v>
      </c>
      <c r="E59" s="3099"/>
      <c r="F59" s="3099"/>
      <c r="G59" s="3099"/>
      <c r="H59" s="3099"/>
      <c r="I59" s="3099"/>
      <c r="J59" s="3099"/>
      <c r="K59" s="3070"/>
      <c r="L59" s="3071"/>
      <c r="M59" s="3070"/>
      <c r="N59" s="3072">
        <f>L59*M59</f>
        <v>0</v>
      </c>
      <c r="O59" s="3099"/>
      <c r="P59" s="251"/>
      <c r="Q59" s="325"/>
    </row>
    <row r="60" spans="1:17" ht="15.75" x14ac:dyDescent="0.2">
      <c r="A60" s="3094" t="s">
        <v>3159</v>
      </c>
      <c r="B60" s="3094"/>
      <c r="C60" s="3094" t="s">
        <v>4846</v>
      </c>
      <c r="D60" s="3094"/>
      <c r="E60" s="3014"/>
      <c r="F60" s="3014"/>
      <c r="G60" s="3095"/>
      <c r="H60" s="3095"/>
      <c r="I60" s="3095"/>
      <c r="J60" s="3014"/>
      <c r="K60" s="3014"/>
      <c r="L60" s="3094"/>
      <c r="M60" s="3014"/>
      <c r="N60" s="3095">
        <f>SUM(N61:N63)</f>
        <v>0</v>
      </c>
      <c r="O60" s="3014"/>
      <c r="P60" s="118"/>
      <c r="Q60" s="1112">
        <f>SUM(Q61:Q63)</f>
        <v>0</v>
      </c>
    </row>
    <row r="61" spans="1:17" ht="31.5" x14ac:dyDescent="0.2">
      <c r="A61" s="3100" t="s">
        <v>3160</v>
      </c>
      <c r="B61" s="3101" t="s">
        <v>2970</v>
      </c>
      <c r="C61" s="3101" t="s">
        <v>4847</v>
      </c>
      <c r="D61" s="3067" t="s">
        <v>5350</v>
      </c>
      <c r="E61" s="3102"/>
      <c r="F61" s="3102"/>
      <c r="G61" s="3102"/>
      <c r="H61" s="3102"/>
      <c r="I61" s="3102"/>
      <c r="J61" s="3103"/>
      <c r="K61" s="3103"/>
      <c r="L61" s="3071"/>
      <c r="M61" s="3070"/>
      <c r="N61" s="3072">
        <f>L61*M61</f>
        <v>0</v>
      </c>
      <c r="O61" s="3209"/>
      <c r="P61" s="115"/>
      <c r="Q61" s="573"/>
    </row>
    <row r="62" spans="1:17" ht="15.75" x14ac:dyDescent="0.2">
      <c r="A62" s="3100" t="s">
        <v>5304</v>
      </c>
      <c r="B62" s="3101"/>
      <c r="C62" s="3101" t="s">
        <v>367</v>
      </c>
      <c r="D62" s="3067" t="s">
        <v>5350</v>
      </c>
      <c r="E62" s="3102"/>
      <c r="F62" s="3102"/>
      <c r="G62" s="3102"/>
      <c r="H62" s="3102"/>
      <c r="I62" s="3102"/>
      <c r="J62" s="3102"/>
      <c r="K62" s="3070"/>
      <c r="L62" s="3071"/>
      <c r="M62" s="3070"/>
      <c r="N62" s="3072">
        <f>L62*M62</f>
        <v>0</v>
      </c>
      <c r="O62" s="3104"/>
      <c r="P62" s="115"/>
      <c r="Q62" s="573"/>
    </row>
    <row r="63" spans="1:17" ht="15.75" x14ac:dyDescent="0.2">
      <c r="A63" s="3100" t="s">
        <v>5305</v>
      </c>
      <c r="B63" s="3101"/>
      <c r="C63" s="3101" t="s">
        <v>4523</v>
      </c>
      <c r="D63" s="3067" t="s">
        <v>5350</v>
      </c>
      <c r="E63" s="3102"/>
      <c r="F63" s="3102"/>
      <c r="G63" s="3102"/>
      <c r="H63" s="3102"/>
      <c r="I63" s="3102"/>
      <c r="J63" s="3102"/>
      <c r="K63" s="3070"/>
      <c r="L63" s="3071"/>
      <c r="M63" s="3070"/>
      <c r="N63" s="3072">
        <f>L63*M63</f>
        <v>0</v>
      </c>
      <c r="O63" s="3104"/>
      <c r="P63" s="115"/>
      <c r="Q63" s="573"/>
    </row>
    <row r="64" spans="1:17" ht="31.5" x14ac:dyDescent="0.2">
      <c r="A64" s="3065" t="s">
        <v>3161</v>
      </c>
      <c r="B64" s="3065"/>
      <c r="C64" s="3065" t="s">
        <v>12</v>
      </c>
      <c r="D64" s="3065"/>
      <c r="E64" s="3015"/>
      <c r="F64" s="3015"/>
      <c r="G64" s="3066"/>
      <c r="H64" s="3066"/>
      <c r="I64" s="3066"/>
      <c r="J64" s="3015"/>
      <c r="K64" s="3015"/>
      <c r="L64" s="3065"/>
      <c r="M64" s="3015"/>
      <c r="N64" s="3066">
        <f>N65</f>
        <v>0</v>
      </c>
      <c r="O64" s="3015"/>
      <c r="P64" s="181"/>
      <c r="Q64" s="1836">
        <f>Q65</f>
        <v>0</v>
      </c>
    </row>
    <row r="65" spans="1:17" ht="15.75" x14ac:dyDescent="0.2">
      <c r="A65" s="3094" t="s">
        <v>3162</v>
      </c>
      <c r="B65" s="3094" t="s">
        <v>2971</v>
      </c>
      <c r="C65" s="3094" t="s">
        <v>2972</v>
      </c>
      <c r="D65" s="3094"/>
      <c r="E65" s="3014"/>
      <c r="F65" s="3014"/>
      <c r="G65" s="3095"/>
      <c r="H65" s="3095"/>
      <c r="I65" s="3095"/>
      <c r="J65" s="3014"/>
      <c r="K65" s="3014"/>
      <c r="L65" s="3094"/>
      <c r="M65" s="3014"/>
      <c r="N65" s="3095">
        <f>SUM(N66:N69)</f>
        <v>0</v>
      </c>
      <c r="O65" s="3014"/>
      <c r="P65" s="118"/>
      <c r="Q65" s="1112">
        <f>SUM(Q66:Q69)</f>
        <v>0</v>
      </c>
    </row>
    <row r="66" spans="1:17" ht="15.75" x14ac:dyDescent="0.2">
      <c r="A66" s="3067" t="s">
        <v>3163</v>
      </c>
      <c r="B66" s="3067" t="s">
        <v>2973</v>
      </c>
      <c r="C66" s="3067" t="s">
        <v>2974</v>
      </c>
      <c r="D66" s="3067" t="s">
        <v>5350</v>
      </c>
      <c r="E66" s="3084"/>
      <c r="F66" s="3084"/>
      <c r="G66" s="3084"/>
      <c r="H66" s="3084"/>
      <c r="I66" s="3084"/>
      <c r="J66" s="3084"/>
      <c r="K66" s="3070"/>
      <c r="L66" s="3071"/>
      <c r="M66" s="3070"/>
      <c r="N66" s="3072">
        <f>L66*M66</f>
        <v>0</v>
      </c>
      <c r="O66" s="3084"/>
      <c r="P66" s="67"/>
      <c r="Q66" s="573"/>
    </row>
    <row r="67" spans="1:17" ht="47.25" x14ac:dyDescent="0.2">
      <c r="A67" s="3067" t="s">
        <v>3164</v>
      </c>
      <c r="B67" s="3067" t="s">
        <v>2975</v>
      </c>
      <c r="C67" s="3067" t="s">
        <v>2976</v>
      </c>
      <c r="D67" s="3067" t="s">
        <v>5350</v>
      </c>
      <c r="E67" s="3084"/>
      <c r="F67" s="3084"/>
      <c r="G67" s="3084"/>
      <c r="H67" s="3084"/>
      <c r="I67" s="3084"/>
      <c r="J67" s="3105"/>
      <c r="K67" s="3084"/>
      <c r="L67" s="3071"/>
      <c r="M67" s="3070"/>
      <c r="N67" s="3072">
        <f>L67*M67</f>
        <v>0</v>
      </c>
      <c r="O67" s="3418"/>
      <c r="P67" s="67"/>
      <c r="Q67" s="573"/>
    </row>
    <row r="68" spans="1:17" ht="15.75" x14ac:dyDescent="0.2">
      <c r="A68" s="3067" t="s">
        <v>4015</v>
      </c>
      <c r="B68" s="3067"/>
      <c r="C68" s="3106" t="s">
        <v>606</v>
      </c>
      <c r="D68" s="3067" t="s">
        <v>5350</v>
      </c>
      <c r="E68" s="3084"/>
      <c r="F68" s="3084"/>
      <c r="G68" s="3084"/>
      <c r="H68" s="3084"/>
      <c r="I68" s="3084"/>
      <c r="J68" s="3084"/>
      <c r="K68" s="3070"/>
      <c r="L68" s="3071"/>
      <c r="M68" s="3070"/>
      <c r="N68" s="3072">
        <f>L68*M68</f>
        <v>0</v>
      </c>
      <c r="O68" s="3084"/>
      <c r="P68" s="67"/>
      <c r="Q68" s="573"/>
    </row>
    <row r="69" spans="1:17" ht="15.75" x14ac:dyDescent="0.2">
      <c r="A69" s="3075" t="s">
        <v>3165</v>
      </c>
      <c r="B69" s="3076"/>
      <c r="C69" s="3077" t="s">
        <v>5570</v>
      </c>
      <c r="D69" s="3067" t="s">
        <v>5350</v>
      </c>
      <c r="E69" s="3078"/>
      <c r="F69" s="3078"/>
      <c r="G69" s="3078"/>
      <c r="H69" s="3078"/>
      <c r="I69" s="3078"/>
      <c r="J69" s="3078"/>
      <c r="K69" s="3070"/>
      <c r="L69" s="3071"/>
      <c r="M69" s="3070"/>
      <c r="N69" s="3072">
        <f>L69*M69</f>
        <v>0</v>
      </c>
      <c r="O69" s="3079"/>
      <c r="P69" s="1845" t="s">
        <v>5306</v>
      </c>
      <c r="Q69" s="325"/>
    </row>
    <row r="70" spans="1:17" ht="15.75" x14ac:dyDescent="0.2">
      <c r="A70" s="3063" t="s">
        <v>3166</v>
      </c>
      <c r="B70" s="3063"/>
      <c r="C70" s="3063" t="s">
        <v>2978</v>
      </c>
      <c r="D70" s="3063"/>
      <c r="E70" s="3087"/>
      <c r="F70" s="3087"/>
      <c r="G70" s="3064"/>
      <c r="H70" s="3064"/>
      <c r="I70" s="3064"/>
      <c r="J70" s="3087"/>
      <c r="K70" s="3087"/>
      <c r="L70" s="3063"/>
      <c r="M70" s="3087"/>
      <c r="N70" s="3064">
        <f>N71+N74+N75+N76</f>
        <v>0</v>
      </c>
      <c r="O70" s="3087"/>
      <c r="P70" s="117"/>
      <c r="Q70" s="1835">
        <f>Q71+Q74+Q75+Q76</f>
        <v>0</v>
      </c>
    </row>
    <row r="71" spans="1:17" ht="15.75" x14ac:dyDescent="0.2">
      <c r="A71" s="3065" t="s">
        <v>3167</v>
      </c>
      <c r="B71" s="3065" t="s">
        <v>2979</v>
      </c>
      <c r="C71" s="3065" t="s">
        <v>2980</v>
      </c>
      <c r="D71" s="3065"/>
      <c r="E71" s="3015"/>
      <c r="F71" s="3015"/>
      <c r="G71" s="3066"/>
      <c r="H71" s="3066"/>
      <c r="I71" s="3066"/>
      <c r="J71" s="3015"/>
      <c r="K71" s="3015"/>
      <c r="L71" s="3065"/>
      <c r="M71" s="3015"/>
      <c r="N71" s="3066">
        <f>SUM(N72:N73)</f>
        <v>0</v>
      </c>
      <c r="O71" s="3015"/>
      <c r="P71" s="181"/>
      <c r="Q71" s="1836">
        <f>SUM(Q72:Q73)</f>
        <v>0</v>
      </c>
    </row>
    <row r="72" spans="1:17" ht="15.75" x14ac:dyDescent="0.2">
      <c r="A72" s="3108" t="s">
        <v>3168</v>
      </c>
      <c r="B72" s="3067" t="s">
        <v>2981</v>
      </c>
      <c r="C72" s="3067" t="s">
        <v>2982</v>
      </c>
      <c r="D72" s="3067" t="s">
        <v>5348</v>
      </c>
      <c r="E72" s="3081"/>
      <c r="F72" s="3083"/>
      <c r="G72" s="3073"/>
      <c r="H72" s="3083"/>
      <c r="I72" s="3083"/>
      <c r="J72" s="3083"/>
      <c r="K72" s="3083"/>
      <c r="L72" s="3071"/>
      <c r="M72" s="3070"/>
      <c r="N72" s="3072">
        <f>L72*M72</f>
        <v>0</v>
      </c>
      <c r="O72" s="3418"/>
      <c r="P72" s="3409"/>
      <c r="Q72" s="573"/>
    </row>
    <row r="73" spans="1:17" ht="15.75" x14ac:dyDescent="0.2">
      <c r="A73" s="3108" t="s">
        <v>3169</v>
      </c>
      <c r="B73" s="3067" t="s">
        <v>2983</v>
      </c>
      <c r="C73" s="3067" t="s">
        <v>2984</v>
      </c>
      <c r="D73" s="3067" t="s">
        <v>5348</v>
      </c>
      <c r="E73" s="3081"/>
      <c r="F73" s="3083"/>
      <c r="G73" s="3073"/>
      <c r="H73" s="3083"/>
      <c r="I73" s="3083"/>
      <c r="J73" s="3083"/>
      <c r="K73" s="3083"/>
      <c r="L73" s="3071"/>
      <c r="M73" s="3070"/>
      <c r="N73" s="3072">
        <f>L73*M73</f>
        <v>0</v>
      </c>
      <c r="O73" s="3418"/>
      <c r="P73" s="67"/>
      <c r="Q73" s="573"/>
    </row>
    <row r="74" spans="1:17" ht="15.75" x14ac:dyDescent="0.2">
      <c r="A74" s="3109" t="s">
        <v>3170</v>
      </c>
      <c r="B74" s="3065" t="s">
        <v>2985</v>
      </c>
      <c r="C74" s="3065" t="s">
        <v>2986</v>
      </c>
      <c r="D74" s="3110" t="s">
        <v>5348</v>
      </c>
      <c r="E74" s="3015"/>
      <c r="F74" s="3015"/>
      <c r="G74" s="3015"/>
      <c r="H74" s="3015"/>
      <c r="I74" s="3015"/>
      <c r="J74" s="3015"/>
      <c r="K74" s="3015"/>
      <c r="L74" s="3066"/>
      <c r="M74" s="3015"/>
      <c r="N74" s="3066">
        <f>L74*M74</f>
        <v>0</v>
      </c>
      <c r="O74" s="181"/>
      <c r="P74" s="181"/>
      <c r="Q74" s="570"/>
    </row>
    <row r="75" spans="1:17" ht="31.5" x14ac:dyDescent="0.2">
      <c r="A75" s="3065" t="s">
        <v>3171</v>
      </c>
      <c r="B75" s="3065" t="s">
        <v>2987</v>
      </c>
      <c r="C75" s="3065" t="s">
        <v>2988</v>
      </c>
      <c r="D75" s="3110" t="s">
        <v>5348</v>
      </c>
      <c r="E75" s="3015"/>
      <c r="F75" s="3015"/>
      <c r="G75" s="3015"/>
      <c r="H75" s="3015"/>
      <c r="I75" s="3015"/>
      <c r="J75" s="3015"/>
      <c r="K75" s="3015"/>
      <c r="L75" s="3066"/>
      <c r="M75" s="3015"/>
      <c r="N75" s="3066">
        <f>L75*M75</f>
        <v>0</v>
      </c>
      <c r="O75" s="181"/>
      <c r="P75" s="181"/>
      <c r="Q75" s="570"/>
    </row>
    <row r="76" spans="1:17" ht="15.75" x14ac:dyDescent="0.2">
      <c r="A76" s="3065" t="s">
        <v>3172</v>
      </c>
      <c r="B76" s="3065" t="s">
        <v>2989</v>
      </c>
      <c r="C76" s="3065" t="s">
        <v>2990</v>
      </c>
      <c r="D76" s="3110" t="s">
        <v>5350</v>
      </c>
      <c r="E76" s="3015"/>
      <c r="F76" s="3015"/>
      <c r="G76" s="3015"/>
      <c r="H76" s="3015"/>
      <c r="I76" s="3015"/>
      <c r="J76" s="3015"/>
      <c r="K76" s="3015"/>
      <c r="L76" s="3066"/>
      <c r="M76" s="3015"/>
      <c r="N76" s="3066">
        <f>L76*M76</f>
        <v>0</v>
      </c>
      <c r="O76" s="3406"/>
      <c r="P76" s="3406"/>
      <c r="Q76" s="570"/>
    </row>
    <row r="77" spans="1:17" ht="15.75" x14ac:dyDescent="0.2">
      <c r="A77" s="3063" t="s">
        <v>3173</v>
      </c>
      <c r="B77" s="3063"/>
      <c r="C77" s="3063" t="s">
        <v>14</v>
      </c>
      <c r="D77" s="3063"/>
      <c r="E77" s="3087"/>
      <c r="F77" s="3087"/>
      <c r="G77" s="3064"/>
      <c r="H77" s="3064"/>
      <c r="I77" s="3064"/>
      <c r="J77" s="3087"/>
      <c r="K77" s="3087"/>
      <c r="L77" s="3063"/>
      <c r="M77" s="3087"/>
      <c r="N77" s="3064">
        <f>N78+N84+N88</f>
        <v>8</v>
      </c>
      <c r="O77" s="3087"/>
      <c r="P77" s="117"/>
      <c r="Q77" s="1835">
        <f>Q78+Q84+Q88</f>
        <v>0</v>
      </c>
    </row>
    <row r="78" spans="1:17" ht="31.5" x14ac:dyDescent="0.2">
      <c r="A78" s="3065" t="s">
        <v>3174</v>
      </c>
      <c r="B78" s="3065"/>
      <c r="C78" s="3065" t="s">
        <v>15</v>
      </c>
      <c r="D78" s="3065"/>
      <c r="E78" s="3015"/>
      <c r="F78" s="3015"/>
      <c r="G78" s="3066"/>
      <c r="H78" s="3066"/>
      <c r="I78" s="3066"/>
      <c r="J78" s="3015"/>
      <c r="K78" s="3015"/>
      <c r="L78" s="3065"/>
      <c r="M78" s="3015"/>
      <c r="N78" s="3066">
        <f>SUM(N79:N83)</f>
        <v>8</v>
      </c>
      <c r="O78" s="3015"/>
      <c r="P78" s="181"/>
      <c r="Q78" s="1836">
        <f>SUM(Q79:Q83)</f>
        <v>0</v>
      </c>
    </row>
    <row r="79" spans="1:17" ht="63" x14ac:dyDescent="0.2">
      <c r="A79" s="3067" t="s">
        <v>3175</v>
      </c>
      <c r="B79" s="3085" t="s">
        <v>2991</v>
      </c>
      <c r="C79" s="3068" t="s">
        <v>2992</v>
      </c>
      <c r="D79" s="3067" t="s">
        <v>5348</v>
      </c>
      <c r="E79" s="3086"/>
      <c r="F79" s="3086"/>
      <c r="G79" s="3086"/>
      <c r="H79" s="3086"/>
      <c r="I79" s="3086"/>
      <c r="J79" s="3086" t="s">
        <v>6024</v>
      </c>
      <c r="K79" s="3070">
        <v>400000</v>
      </c>
      <c r="L79" s="3071">
        <f>+K79/100000</f>
        <v>4</v>
      </c>
      <c r="M79" s="3070">
        <v>2</v>
      </c>
      <c r="N79" s="3072">
        <f>L79*M79</f>
        <v>8</v>
      </c>
      <c r="O79" s="3725" t="s">
        <v>6025</v>
      </c>
      <c r="P79" s="67"/>
      <c r="Q79" s="573"/>
    </row>
    <row r="80" spans="1:17" ht="15.75" x14ac:dyDescent="0.2">
      <c r="A80" s="3067" t="s">
        <v>3176</v>
      </c>
      <c r="B80" s="3085" t="s">
        <v>2993</v>
      </c>
      <c r="C80" s="3068" t="s">
        <v>2994</v>
      </c>
      <c r="D80" s="3067" t="s">
        <v>5348</v>
      </c>
      <c r="E80" s="3086"/>
      <c r="F80" s="3086"/>
      <c r="G80" s="3086"/>
      <c r="H80" s="3086"/>
      <c r="I80" s="3086"/>
      <c r="J80" s="3086"/>
      <c r="K80" s="3070"/>
      <c r="L80" s="3071"/>
      <c r="M80" s="3070"/>
      <c r="N80" s="3072">
        <f>L80*M80</f>
        <v>0</v>
      </c>
      <c r="O80" s="3083"/>
      <c r="P80" s="67"/>
      <c r="Q80" s="573"/>
    </row>
    <row r="81" spans="1:17" ht="15.75" x14ac:dyDescent="0.2">
      <c r="A81" s="3067" t="s">
        <v>3177</v>
      </c>
      <c r="B81" s="3085" t="s">
        <v>2993</v>
      </c>
      <c r="C81" s="3068" t="s">
        <v>2995</v>
      </c>
      <c r="D81" s="3067" t="s">
        <v>5348</v>
      </c>
      <c r="E81" s="3086"/>
      <c r="F81" s="3086"/>
      <c r="G81" s="3086"/>
      <c r="H81" s="3086"/>
      <c r="I81" s="3086"/>
      <c r="J81" s="3086"/>
      <c r="K81" s="3070"/>
      <c r="L81" s="3071"/>
      <c r="M81" s="3070"/>
      <c r="N81" s="3072">
        <f>L81*M81</f>
        <v>0</v>
      </c>
      <c r="O81" s="3084"/>
      <c r="P81" s="67"/>
      <c r="Q81" s="573"/>
    </row>
    <row r="82" spans="1:17" ht="15.75" x14ac:dyDescent="0.2">
      <c r="A82" s="3091" t="s">
        <v>3178</v>
      </c>
      <c r="B82" s="3067" t="s">
        <v>2996</v>
      </c>
      <c r="C82" s="3067" t="s">
        <v>2997</v>
      </c>
      <c r="D82" s="3067" t="s">
        <v>5348</v>
      </c>
      <c r="E82" s="3084"/>
      <c r="F82" s="3084"/>
      <c r="G82" s="3084"/>
      <c r="H82" s="3084"/>
      <c r="I82" s="3084"/>
      <c r="J82" s="3083"/>
      <c r="K82" s="3082"/>
      <c r="L82" s="3071"/>
      <c r="M82" s="3070"/>
      <c r="N82" s="3072">
        <f>L82*M82</f>
        <v>0</v>
      </c>
      <c r="O82" s="3418"/>
      <c r="P82" s="67"/>
      <c r="Q82" s="573"/>
    </row>
    <row r="83" spans="1:17" ht="15.75" x14ac:dyDescent="0.2">
      <c r="A83" s="3067" t="s">
        <v>5307</v>
      </c>
      <c r="B83" s="3067"/>
      <c r="C83" s="3067" t="s">
        <v>1310</v>
      </c>
      <c r="D83" s="3067" t="s">
        <v>5348</v>
      </c>
      <c r="E83" s="3084"/>
      <c r="F83" s="3084"/>
      <c r="G83" s="3084"/>
      <c r="H83" s="3084"/>
      <c r="I83" s="3084"/>
      <c r="J83" s="3084"/>
      <c r="K83" s="3070"/>
      <c r="L83" s="3071"/>
      <c r="M83" s="3070"/>
      <c r="N83" s="3072">
        <f>L83*M83</f>
        <v>0</v>
      </c>
      <c r="O83" s="3083"/>
      <c r="P83" s="67"/>
      <c r="Q83" s="573"/>
    </row>
    <row r="84" spans="1:17" ht="15.75" x14ac:dyDescent="0.2">
      <c r="A84" s="3065" t="s">
        <v>3179</v>
      </c>
      <c r="B84" s="3065"/>
      <c r="C84" s="3065" t="s">
        <v>16</v>
      </c>
      <c r="D84" s="3065"/>
      <c r="E84" s="3015"/>
      <c r="F84" s="3015"/>
      <c r="G84" s="3066"/>
      <c r="H84" s="3066"/>
      <c r="I84" s="3066"/>
      <c r="J84" s="3015"/>
      <c r="K84" s="3015"/>
      <c r="L84" s="3065"/>
      <c r="M84" s="3015"/>
      <c r="N84" s="3066">
        <f>SUM(N85:N87)</f>
        <v>0</v>
      </c>
      <c r="O84" s="3015"/>
      <c r="P84" s="181"/>
      <c r="Q84" s="1836">
        <f>SUM(Q85:Q87)</f>
        <v>0</v>
      </c>
    </row>
    <row r="85" spans="1:17" ht="15.75" x14ac:dyDescent="0.2">
      <c r="A85" s="3067" t="s">
        <v>3180</v>
      </c>
      <c r="B85" s="3067" t="s">
        <v>2998</v>
      </c>
      <c r="C85" s="3067" t="s">
        <v>2992</v>
      </c>
      <c r="D85" s="3067" t="s">
        <v>5348</v>
      </c>
      <c r="E85" s="3084"/>
      <c r="F85" s="3084"/>
      <c r="G85" s="3084"/>
      <c r="H85" s="3084"/>
      <c r="I85" s="3084"/>
      <c r="J85" s="3083"/>
      <c r="K85" s="3084"/>
      <c r="L85" s="3071"/>
      <c r="M85" s="3070"/>
      <c r="N85" s="3072">
        <f>L85*M85</f>
        <v>0</v>
      </c>
      <c r="O85" s="3144"/>
      <c r="P85" s="67"/>
      <c r="Q85" s="573"/>
    </row>
    <row r="86" spans="1:17" ht="15.75" x14ac:dyDescent="0.2">
      <c r="A86" s="3067" t="s">
        <v>3181</v>
      </c>
      <c r="B86" s="3067" t="s">
        <v>2999</v>
      </c>
      <c r="C86" s="3067" t="s">
        <v>2994</v>
      </c>
      <c r="D86" s="3067" t="s">
        <v>5348</v>
      </c>
      <c r="E86" s="3081"/>
      <c r="F86" s="3082"/>
      <c r="G86" s="3073"/>
      <c r="H86" s="3082"/>
      <c r="I86" s="3082"/>
      <c r="J86" s="3083"/>
      <c r="K86" s="3082"/>
      <c r="L86" s="3071"/>
      <c r="M86" s="3070"/>
      <c r="N86" s="3072">
        <f>L86*M86</f>
        <v>0</v>
      </c>
      <c r="O86" s="3144"/>
      <c r="P86" s="67"/>
      <c r="Q86" s="573"/>
    </row>
    <row r="87" spans="1:17" ht="31.5" x14ac:dyDescent="0.2">
      <c r="A87" s="3067" t="s">
        <v>3182</v>
      </c>
      <c r="B87" s="3067" t="s">
        <v>3000</v>
      </c>
      <c r="C87" s="3067" t="s">
        <v>3001</v>
      </c>
      <c r="D87" s="3067" t="s">
        <v>5348</v>
      </c>
      <c r="E87" s="3084"/>
      <c r="F87" s="3084"/>
      <c r="G87" s="3084"/>
      <c r="H87" s="3084"/>
      <c r="I87" s="3084"/>
      <c r="J87" s="3084"/>
      <c r="K87" s="3070"/>
      <c r="L87" s="3071"/>
      <c r="M87" s="3070"/>
      <c r="N87" s="3072">
        <f>L87*M87</f>
        <v>0</v>
      </c>
      <c r="O87" s="3084"/>
      <c r="P87" s="67"/>
      <c r="Q87" s="573"/>
    </row>
    <row r="88" spans="1:17" ht="31.5" x14ac:dyDescent="0.2">
      <c r="A88" s="3065" t="s">
        <v>3183</v>
      </c>
      <c r="B88" s="3065"/>
      <c r="C88" s="3065" t="s">
        <v>17</v>
      </c>
      <c r="D88" s="3065"/>
      <c r="E88" s="3015"/>
      <c r="F88" s="3015"/>
      <c r="G88" s="3066"/>
      <c r="H88" s="3066"/>
      <c r="I88" s="3066"/>
      <c r="J88" s="3015"/>
      <c r="K88" s="3015"/>
      <c r="L88" s="3065"/>
      <c r="M88" s="3015"/>
      <c r="N88" s="3066">
        <f>N89+N90</f>
        <v>0</v>
      </c>
      <c r="O88" s="3015"/>
      <c r="P88" s="181"/>
      <c r="Q88" s="1836">
        <f>Q89+Q90</f>
        <v>0</v>
      </c>
    </row>
    <row r="89" spans="1:17" ht="31.5" x14ac:dyDescent="0.2">
      <c r="A89" s="3091" t="s">
        <v>3184</v>
      </c>
      <c r="B89" s="3085"/>
      <c r="C89" s="3068" t="s">
        <v>3929</v>
      </c>
      <c r="D89" s="3067" t="s">
        <v>5349</v>
      </c>
      <c r="E89" s="3081"/>
      <c r="F89" s="3089"/>
      <c r="G89" s="3080"/>
      <c r="H89" s="3089"/>
      <c r="I89" s="3089"/>
      <c r="J89" s="3086"/>
      <c r="K89" s="3070"/>
      <c r="L89" s="3071"/>
      <c r="M89" s="3070"/>
      <c r="N89" s="3072">
        <f>L89*M89</f>
        <v>0</v>
      </c>
      <c r="O89" s="3083"/>
      <c r="P89" s="67"/>
      <c r="Q89" s="573"/>
    </row>
    <row r="90" spans="1:17" ht="15.75" x14ac:dyDescent="0.2">
      <c r="A90" s="3067" t="s">
        <v>4016</v>
      </c>
      <c r="B90" s="3112"/>
      <c r="C90" s="3068" t="s">
        <v>3876</v>
      </c>
      <c r="D90" s="3067" t="s">
        <v>5348</v>
      </c>
      <c r="E90" s="3086"/>
      <c r="F90" s="3086"/>
      <c r="G90" s="3086"/>
      <c r="H90" s="3086"/>
      <c r="I90" s="3086"/>
      <c r="J90" s="3086"/>
      <c r="K90" s="3070"/>
      <c r="L90" s="3071"/>
      <c r="M90" s="3070"/>
      <c r="N90" s="3072">
        <f>L90*M90</f>
        <v>0</v>
      </c>
      <c r="O90" s="3084"/>
      <c r="P90" s="67"/>
      <c r="Q90" s="573"/>
    </row>
    <row r="91" spans="1:17" ht="15.75" x14ac:dyDescent="0.2">
      <c r="A91" s="3063" t="s">
        <v>3185</v>
      </c>
      <c r="B91" s="3063"/>
      <c r="C91" s="3063" t="s">
        <v>18</v>
      </c>
      <c r="D91" s="3063"/>
      <c r="E91" s="3087"/>
      <c r="F91" s="3087"/>
      <c r="G91" s="3064"/>
      <c r="H91" s="3064"/>
      <c r="I91" s="3064"/>
      <c r="J91" s="3087"/>
      <c r="K91" s="3087"/>
      <c r="L91" s="3063"/>
      <c r="M91" s="3087"/>
      <c r="N91" s="3064">
        <f>N92+N103+N115</f>
        <v>0</v>
      </c>
      <c r="O91" s="3087"/>
      <c r="P91" s="117"/>
      <c r="Q91" s="1835">
        <f>Q92+Q103+Q115</f>
        <v>0</v>
      </c>
    </row>
    <row r="92" spans="1:17" ht="15.75" x14ac:dyDescent="0.2">
      <c r="A92" s="3065" t="s">
        <v>3186</v>
      </c>
      <c r="B92" s="3065"/>
      <c r="C92" s="3065" t="s">
        <v>1586</v>
      </c>
      <c r="D92" s="3065"/>
      <c r="E92" s="3015"/>
      <c r="F92" s="3015"/>
      <c r="G92" s="3066"/>
      <c r="H92" s="3066"/>
      <c r="I92" s="3066"/>
      <c r="J92" s="3015"/>
      <c r="K92" s="3015"/>
      <c r="L92" s="3065"/>
      <c r="M92" s="3015"/>
      <c r="N92" s="3066">
        <f>SUM(N93:N99)</f>
        <v>0</v>
      </c>
      <c r="O92" s="3015"/>
      <c r="P92" s="181"/>
      <c r="Q92" s="1836">
        <f>SUM(Q93:Q99)</f>
        <v>0</v>
      </c>
    </row>
    <row r="93" spans="1:17" s="828" customFormat="1" ht="15.75" x14ac:dyDescent="0.2">
      <c r="A93" s="3091" t="s">
        <v>3187</v>
      </c>
      <c r="B93" s="3109"/>
      <c r="C93" s="3106" t="s">
        <v>4567</v>
      </c>
      <c r="D93" s="3067" t="s">
        <v>5349</v>
      </c>
      <c r="E93" s="3113"/>
      <c r="F93" s="3113"/>
      <c r="G93" s="3113"/>
      <c r="H93" s="3113"/>
      <c r="I93" s="3113"/>
      <c r="J93" s="3113"/>
      <c r="K93" s="3070"/>
      <c r="L93" s="3071"/>
      <c r="M93" s="3070"/>
      <c r="N93" s="3093">
        <f t="shared" ref="N93:N98" si="2">L93*M93</f>
        <v>0</v>
      </c>
      <c r="O93" s="3113"/>
      <c r="P93" s="102"/>
      <c r="Q93" s="574"/>
    </row>
    <row r="94" spans="1:17" ht="15.75" x14ac:dyDescent="0.2">
      <c r="A94" s="3067" t="s">
        <v>3188</v>
      </c>
      <c r="B94" s="3067" t="s">
        <v>3002</v>
      </c>
      <c r="C94" s="3067" t="s">
        <v>3003</v>
      </c>
      <c r="D94" s="3067" t="s">
        <v>5351</v>
      </c>
      <c r="E94" s="3084"/>
      <c r="F94" s="3084"/>
      <c r="G94" s="3084"/>
      <c r="H94" s="3084"/>
      <c r="I94" s="3084"/>
      <c r="J94" s="3084"/>
      <c r="K94" s="3070"/>
      <c r="L94" s="3071"/>
      <c r="M94" s="3070"/>
      <c r="N94" s="3072">
        <f t="shared" si="2"/>
        <v>0</v>
      </c>
      <c r="O94" s="3418"/>
      <c r="P94" s="67"/>
      <c r="Q94" s="573"/>
    </row>
    <row r="95" spans="1:17" ht="15.75" x14ac:dyDescent="0.2">
      <c r="A95" s="3067" t="s">
        <v>3189</v>
      </c>
      <c r="B95" s="3067" t="s">
        <v>3004</v>
      </c>
      <c r="C95" s="3067" t="s">
        <v>3005</v>
      </c>
      <c r="D95" s="3067" t="s">
        <v>5351</v>
      </c>
      <c r="E95" s="3084"/>
      <c r="F95" s="3084"/>
      <c r="G95" s="3084"/>
      <c r="H95" s="3084"/>
      <c r="I95" s="3084"/>
      <c r="J95" s="3084"/>
      <c r="K95" s="3070"/>
      <c r="L95" s="3071"/>
      <c r="M95" s="3070"/>
      <c r="N95" s="3072">
        <f t="shared" si="2"/>
        <v>0</v>
      </c>
      <c r="O95" s="3418"/>
      <c r="P95" s="67"/>
      <c r="Q95" s="573"/>
    </row>
    <row r="96" spans="1:17" ht="15.75" x14ac:dyDescent="0.2">
      <c r="A96" s="3067" t="s">
        <v>3314</v>
      </c>
      <c r="B96" s="3067" t="s">
        <v>3006</v>
      </c>
      <c r="C96" s="3067" t="s">
        <v>3007</v>
      </c>
      <c r="D96" s="3067" t="s">
        <v>5351</v>
      </c>
      <c r="E96" s="3084"/>
      <c r="F96" s="3084"/>
      <c r="G96" s="3084"/>
      <c r="H96" s="3084"/>
      <c r="I96" s="3084"/>
      <c r="J96" s="3084"/>
      <c r="K96" s="3070"/>
      <c r="L96" s="3071"/>
      <c r="M96" s="3070"/>
      <c r="N96" s="3072">
        <f t="shared" si="2"/>
        <v>0</v>
      </c>
      <c r="O96" s="3418"/>
      <c r="P96" s="67"/>
      <c r="Q96" s="573"/>
    </row>
    <row r="97" spans="1:17" ht="31.5" x14ac:dyDescent="0.2">
      <c r="A97" s="3067" t="s">
        <v>4566</v>
      </c>
      <c r="B97" s="3067"/>
      <c r="C97" s="3067" t="s">
        <v>5309</v>
      </c>
      <c r="D97" s="3067" t="s">
        <v>5351</v>
      </c>
      <c r="E97" s="3084"/>
      <c r="F97" s="3084"/>
      <c r="G97" s="3084"/>
      <c r="H97" s="3084"/>
      <c r="I97" s="3084"/>
      <c r="J97" s="3084"/>
      <c r="K97" s="3070"/>
      <c r="L97" s="3071"/>
      <c r="M97" s="3070"/>
      <c r="N97" s="3072">
        <f t="shared" si="2"/>
        <v>0</v>
      </c>
      <c r="O97" s="3418"/>
      <c r="P97" s="67"/>
      <c r="Q97" s="573"/>
    </row>
    <row r="98" spans="1:17" ht="15.75" x14ac:dyDescent="0.2">
      <c r="A98" s="3067" t="s">
        <v>5308</v>
      </c>
      <c r="B98" s="3067"/>
      <c r="C98" s="3067" t="s">
        <v>1310</v>
      </c>
      <c r="D98" s="3067" t="s">
        <v>5351</v>
      </c>
      <c r="E98" s="3084"/>
      <c r="F98" s="3084"/>
      <c r="G98" s="3084"/>
      <c r="H98" s="3084"/>
      <c r="I98" s="3084"/>
      <c r="J98" s="3084"/>
      <c r="K98" s="3070"/>
      <c r="L98" s="3071"/>
      <c r="M98" s="3070"/>
      <c r="N98" s="3072">
        <f t="shared" si="2"/>
        <v>0</v>
      </c>
      <c r="O98" s="3418"/>
      <c r="P98" s="67"/>
      <c r="Q98" s="573"/>
    </row>
    <row r="99" spans="1:17" s="856" customFormat="1" ht="15.75" x14ac:dyDescent="0.2">
      <c r="A99" s="3109" t="s">
        <v>5312</v>
      </c>
      <c r="B99" s="3109" t="s">
        <v>3198</v>
      </c>
      <c r="C99" s="3109" t="s">
        <v>4959</v>
      </c>
      <c r="D99" s="3109"/>
      <c r="E99" s="3115"/>
      <c r="F99" s="3115"/>
      <c r="G99" s="3115"/>
      <c r="H99" s="3115"/>
      <c r="I99" s="3115"/>
      <c r="J99" s="3115"/>
      <c r="K99" s="3115"/>
      <c r="L99" s="3071"/>
      <c r="M99" s="3116"/>
      <c r="N99" s="3117">
        <f>N100+N101+N102</f>
        <v>0</v>
      </c>
      <c r="O99" s="3118"/>
      <c r="P99" s="610"/>
      <c r="Q99" s="1838">
        <f>Q100+Q101+Q102</f>
        <v>0</v>
      </c>
    </row>
    <row r="100" spans="1:17" ht="47.25" x14ac:dyDescent="0.2">
      <c r="A100" s="3091" t="s">
        <v>5313</v>
      </c>
      <c r="B100" s="3067" t="s">
        <v>4586</v>
      </c>
      <c r="C100" s="3091" t="s">
        <v>4584</v>
      </c>
      <c r="D100" s="3091" t="s">
        <v>5349</v>
      </c>
      <c r="E100" s="3119"/>
      <c r="F100" s="3119"/>
      <c r="G100" s="3119"/>
      <c r="H100" s="3119"/>
      <c r="I100" s="3119"/>
      <c r="J100" s="3119"/>
      <c r="K100" s="3070"/>
      <c r="L100" s="3071"/>
      <c r="M100" s="3070"/>
      <c r="N100" s="3072">
        <f>L100*M100</f>
        <v>0</v>
      </c>
      <c r="O100" s="3418"/>
      <c r="P100" s="67"/>
      <c r="Q100" s="573"/>
    </row>
    <row r="101" spans="1:17" ht="63" x14ac:dyDescent="0.2">
      <c r="A101" s="3067" t="s">
        <v>5314</v>
      </c>
      <c r="B101" s="3067" t="s">
        <v>4587</v>
      </c>
      <c r="C101" s="3091" t="s">
        <v>4585</v>
      </c>
      <c r="D101" s="3091" t="s">
        <v>5348</v>
      </c>
      <c r="E101" s="3119"/>
      <c r="F101" s="3119"/>
      <c r="G101" s="3119"/>
      <c r="H101" s="3119"/>
      <c r="I101" s="3119"/>
      <c r="J101" s="3119"/>
      <c r="K101" s="3070"/>
      <c r="L101" s="3071"/>
      <c r="M101" s="3070"/>
      <c r="N101" s="3072">
        <f>L101*M101</f>
        <v>0</v>
      </c>
      <c r="O101" s="3084"/>
      <c r="P101" s="67"/>
      <c r="Q101" s="573"/>
    </row>
    <row r="102" spans="1:17" ht="15.75" x14ac:dyDescent="0.2">
      <c r="A102" s="3067" t="s">
        <v>5315</v>
      </c>
      <c r="B102" s="3067" t="s">
        <v>4588</v>
      </c>
      <c r="C102" s="3091" t="s">
        <v>2977</v>
      </c>
      <c r="D102" s="3091" t="s">
        <v>5348</v>
      </c>
      <c r="E102" s="3119"/>
      <c r="F102" s="3119"/>
      <c r="G102" s="3119"/>
      <c r="H102" s="3119"/>
      <c r="I102" s="3119"/>
      <c r="J102" s="3119"/>
      <c r="K102" s="3070"/>
      <c r="L102" s="3071"/>
      <c r="M102" s="3070"/>
      <c r="N102" s="3072">
        <f>L102*M102</f>
        <v>0</v>
      </c>
      <c r="O102" s="3084"/>
      <c r="P102" s="67"/>
      <c r="Q102" s="573"/>
    </row>
    <row r="103" spans="1:17" ht="31.5" x14ac:dyDescent="0.2">
      <c r="A103" s="3065" t="s">
        <v>3190</v>
      </c>
      <c r="B103" s="3065"/>
      <c r="C103" s="3065" t="s">
        <v>4571</v>
      </c>
      <c r="D103" s="3065"/>
      <c r="E103" s="3015"/>
      <c r="F103" s="3015"/>
      <c r="G103" s="3066"/>
      <c r="H103" s="3066"/>
      <c r="I103" s="3066"/>
      <c r="J103" s="3015"/>
      <c r="K103" s="3015"/>
      <c r="L103" s="3065"/>
      <c r="M103" s="3015"/>
      <c r="N103" s="3066">
        <f>N104+N108+N111+N112</f>
        <v>0</v>
      </c>
      <c r="O103" s="3015"/>
      <c r="P103" s="181"/>
      <c r="Q103" s="1836">
        <f>Q104+Q108+Q111+Q112</f>
        <v>0</v>
      </c>
    </row>
    <row r="104" spans="1:17" s="858" customFormat="1" ht="15.75" x14ac:dyDescent="0.2">
      <c r="A104" s="3120" t="s">
        <v>3191</v>
      </c>
      <c r="B104" s="3120"/>
      <c r="C104" s="3120" t="s">
        <v>4568</v>
      </c>
      <c r="D104" s="3120"/>
      <c r="E104" s="3121"/>
      <c r="F104" s="3121"/>
      <c r="G104" s="3117"/>
      <c r="H104" s="3117"/>
      <c r="I104" s="3117"/>
      <c r="J104" s="3121"/>
      <c r="K104" s="3121"/>
      <c r="L104" s="3071"/>
      <c r="M104" s="3116"/>
      <c r="N104" s="3117">
        <f>SUM(N105:N107)</f>
        <v>0</v>
      </c>
      <c r="O104" s="3121"/>
      <c r="P104" s="93"/>
      <c r="Q104" s="1838">
        <f>SUM(Q105:Q107)</f>
        <v>0</v>
      </c>
    </row>
    <row r="105" spans="1:17" s="828" customFormat="1" ht="65.099999999999994" customHeight="1" x14ac:dyDescent="0.2">
      <c r="A105" s="3091" t="s">
        <v>4576</v>
      </c>
      <c r="B105" s="3091" t="s">
        <v>3008</v>
      </c>
      <c r="C105" s="3091" t="s">
        <v>4581</v>
      </c>
      <c r="D105" s="3091" t="s">
        <v>5349</v>
      </c>
      <c r="E105" s="3122"/>
      <c r="F105" s="3083"/>
      <c r="G105" s="3080"/>
      <c r="H105" s="3083"/>
      <c r="I105" s="3083"/>
      <c r="J105" s="3083"/>
      <c r="K105" s="3083"/>
      <c r="L105" s="3071"/>
      <c r="M105" s="3070"/>
      <c r="N105" s="3093">
        <f>L105*M105</f>
        <v>0</v>
      </c>
      <c r="O105" s="3668"/>
      <c r="P105" s="124"/>
      <c r="Q105" s="325"/>
    </row>
    <row r="106" spans="1:17" s="828" customFormat="1" ht="63" x14ac:dyDescent="0.2">
      <c r="A106" s="3091" t="s">
        <v>4577</v>
      </c>
      <c r="B106" s="3091" t="s">
        <v>4574</v>
      </c>
      <c r="C106" s="3091" t="s">
        <v>4575</v>
      </c>
      <c r="D106" s="3091" t="s">
        <v>5349</v>
      </c>
      <c r="E106" s="3122"/>
      <c r="F106" s="3123"/>
      <c r="G106" s="3080"/>
      <c r="H106" s="3083"/>
      <c r="I106" s="3123"/>
      <c r="J106" s="3124"/>
      <c r="K106" s="3123"/>
      <c r="L106" s="3071"/>
      <c r="M106" s="3070"/>
      <c r="N106" s="3093">
        <f>L106*M106</f>
        <v>0</v>
      </c>
      <c r="O106" s="3668"/>
      <c r="P106" s="124"/>
      <c r="Q106" s="325"/>
    </row>
    <row r="107" spans="1:17" s="828" customFormat="1" ht="15.75" x14ac:dyDescent="0.2">
      <c r="A107" s="3091" t="s">
        <v>5310</v>
      </c>
      <c r="B107" s="3091"/>
      <c r="C107" s="3091" t="s">
        <v>3876</v>
      </c>
      <c r="D107" s="3091" t="s">
        <v>5348</v>
      </c>
      <c r="E107" s="3083"/>
      <c r="F107" s="3083"/>
      <c r="G107" s="3083"/>
      <c r="H107" s="3083"/>
      <c r="I107" s="3083"/>
      <c r="J107" s="3083"/>
      <c r="K107" s="3070"/>
      <c r="L107" s="3071"/>
      <c r="M107" s="3070"/>
      <c r="N107" s="3093">
        <f>L107*M107</f>
        <v>0</v>
      </c>
      <c r="O107" s="3083"/>
      <c r="P107" s="124"/>
      <c r="Q107" s="325"/>
    </row>
    <row r="108" spans="1:17" s="856" customFormat="1" ht="15.75" x14ac:dyDescent="0.2">
      <c r="A108" s="3125" t="s">
        <v>3192</v>
      </c>
      <c r="B108" s="3125"/>
      <c r="C108" s="3126" t="s">
        <v>1791</v>
      </c>
      <c r="D108" s="3126"/>
      <c r="E108" s="3127"/>
      <c r="F108" s="3127"/>
      <c r="G108" s="3128"/>
      <c r="H108" s="3128"/>
      <c r="I108" s="3128"/>
      <c r="J108" s="3127"/>
      <c r="K108" s="3127"/>
      <c r="L108" s="3128"/>
      <c r="M108" s="3129"/>
      <c r="N108" s="3128">
        <f>SUM(N109:N110)</f>
        <v>0</v>
      </c>
      <c r="O108" s="3127"/>
      <c r="P108" s="575"/>
      <c r="Q108" s="1839">
        <f>SUM(Q109:Q110)</f>
        <v>0</v>
      </c>
    </row>
    <row r="109" spans="1:17" ht="15.75" x14ac:dyDescent="0.2">
      <c r="A109" s="3130" t="s">
        <v>4578</v>
      </c>
      <c r="B109" s="3067" t="s">
        <v>3009</v>
      </c>
      <c r="C109" s="3067" t="s">
        <v>3010</v>
      </c>
      <c r="D109" s="3067" t="s">
        <v>5350</v>
      </c>
      <c r="E109" s="3081"/>
      <c r="F109" s="3084"/>
      <c r="G109" s="3073"/>
      <c r="H109" s="3084"/>
      <c r="I109" s="3084"/>
      <c r="J109" s="3084"/>
      <c r="K109" s="3084"/>
      <c r="L109" s="3071"/>
      <c r="M109" s="3070"/>
      <c r="N109" s="3072">
        <f>L109*M109</f>
        <v>0</v>
      </c>
      <c r="O109" s="3669"/>
      <c r="P109" s="67"/>
      <c r="Q109" s="573"/>
    </row>
    <row r="110" spans="1:17" ht="15.75" x14ac:dyDescent="0.2">
      <c r="A110" s="3067" t="s">
        <v>4579</v>
      </c>
      <c r="B110" s="3067" t="s">
        <v>3011</v>
      </c>
      <c r="C110" s="3067" t="s">
        <v>5311</v>
      </c>
      <c r="D110" s="3067" t="s">
        <v>5350</v>
      </c>
      <c r="E110" s="3084"/>
      <c r="F110" s="3084"/>
      <c r="G110" s="3084"/>
      <c r="H110" s="3084"/>
      <c r="I110" s="3084"/>
      <c r="J110" s="3084"/>
      <c r="K110" s="3070"/>
      <c r="L110" s="3071"/>
      <c r="M110" s="3070"/>
      <c r="N110" s="3072">
        <f>L110*M110</f>
        <v>0</v>
      </c>
      <c r="O110" s="3418"/>
      <c r="P110" s="67"/>
      <c r="Q110" s="573"/>
    </row>
    <row r="111" spans="1:17" s="856" customFormat="1" ht="31.5" x14ac:dyDescent="0.2">
      <c r="A111" s="3120" t="s">
        <v>3193</v>
      </c>
      <c r="B111" s="3131" t="s">
        <v>3012</v>
      </c>
      <c r="C111" s="3131" t="s">
        <v>1879</v>
      </c>
      <c r="D111" s="3131" t="s">
        <v>5348</v>
      </c>
      <c r="E111" s="3081"/>
      <c r="F111" s="3132"/>
      <c r="G111" s="3133"/>
      <c r="H111" s="3132"/>
      <c r="I111" s="3132"/>
      <c r="J111" s="3124"/>
      <c r="K111" s="3124"/>
      <c r="L111" s="3071"/>
      <c r="M111" s="3070"/>
      <c r="N111" s="3134">
        <f>L111*M111</f>
        <v>0</v>
      </c>
      <c r="O111" s="3407"/>
      <c r="P111" s="119"/>
      <c r="Q111" s="576">
        <v>0</v>
      </c>
    </row>
    <row r="112" spans="1:17" s="828" customFormat="1" ht="15.75" x14ac:dyDescent="0.2">
      <c r="A112" s="3137" t="s">
        <v>3194</v>
      </c>
      <c r="B112" s="3138"/>
      <c r="C112" s="3139" t="s">
        <v>4582</v>
      </c>
      <c r="D112" s="3139"/>
      <c r="E112" s="3140"/>
      <c r="F112" s="3140"/>
      <c r="G112" s="3141"/>
      <c r="H112" s="3141"/>
      <c r="I112" s="3141"/>
      <c r="J112" s="3140"/>
      <c r="K112" s="3140"/>
      <c r="L112" s="3141"/>
      <c r="M112" s="3142"/>
      <c r="N112" s="3141">
        <f>SUM(N113:N114)</f>
        <v>0</v>
      </c>
      <c r="O112" s="3140"/>
      <c r="P112" s="158"/>
      <c r="Q112" s="1841">
        <f>SUM(Q113:Q114)</f>
        <v>0</v>
      </c>
    </row>
    <row r="113" spans="1:17" s="828" customFormat="1" ht="47.25" x14ac:dyDescent="0.2">
      <c r="A113" s="3120" t="s">
        <v>3195</v>
      </c>
      <c r="B113" s="3091"/>
      <c r="C113" s="3091" t="s">
        <v>4580</v>
      </c>
      <c r="D113" s="3091" t="s">
        <v>5349</v>
      </c>
      <c r="E113" s="3143"/>
      <c r="F113" s="3144"/>
      <c r="G113" s="3083"/>
      <c r="H113" s="3083"/>
      <c r="I113" s="3083"/>
      <c r="J113" s="3145"/>
      <c r="K113" s="3144"/>
      <c r="L113" s="3071"/>
      <c r="M113" s="3070"/>
      <c r="N113" s="3093">
        <f>L113*M113</f>
        <v>0</v>
      </c>
      <c r="O113" s="3407"/>
      <c r="P113" s="124"/>
      <c r="Q113" s="325"/>
    </row>
    <row r="114" spans="1:17" s="828" customFormat="1" ht="47.25" x14ac:dyDescent="0.2">
      <c r="A114" s="3146" t="s">
        <v>3196</v>
      </c>
      <c r="B114" s="3091"/>
      <c r="C114" s="3091" t="s">
        <v>4583</v>
      </c>
      <c r="D114" s="3091" t="s">
        <v>5349</v>
      </c>
      <c r="E114" s="3083"/>
      <c r="F114" s="3083"/>
      <c r="G114" s="3083"/>
      <c r="H114" s="3083"/>
      <c r="I114" s="3083"/>
      <c r="J114" s="3083"/>
      <c r="K114" s="3070"/>
      <c r="L114" s="3071"/>
      <c r="M114" s="3070"/>
      <c r="N114" s="3093">
        <f>L114*M114</f>
        <v>0</v>
      </c>
      <c r="O114" s="3418"/>
      <c r="P114" s="124"/>
      <c r="Q114" s="325"/>
    </row>
    <row r="115" spans="1:17" s="867" customFormat="1" ht="15.75" x14ac:dyDescent="0.2">
      <c r="A115" s="3065" t="s">
        <v>3197</v>
      </c>
      <c r="B115" s="3065" t="s">
        <v>3304</v>
      </c>
      <c r="C115" s="3065" t="s">
        <v>4939</v>
      </c>
      <c r="D115" s="3065"/>
      <c r="E115" s="3015"/>
      <c r="F115" s="3015"/>
      <c r="G115" s="3066"/>
      <c r="H115" s="3066"/>
      <c r="I115" s="3066"/>
      <c r="J115" s="3015"/>
      <c r="K115" s="3015"/>
      <c r="L115" s="3065"/>
      <c r="M115" s="3015"/>
      <c r="N115" s="3066">
        <f>SUM(N116:N117)</f>
        <v>0</v>
      </c>
      <c r="O115" s="3015"/>
      <c r="P115" s="181"/>
      <c r="Q115" s="1836">
        <f>SUM(Q116:Q117)</f>
        <v>0</v>
      </c>
    </row>
    <row r="116" spans="1:17" s="868" customFormat="1" ht="31.5" x14ac:dyDescent="0.2">
      <c r="A116" s="3147" t="s">
        <v>4605</v>
      </c>
      <c r="B116" s="3076" t="s">
        <v>3930</v>
      </c>
      <c r="C116" s="3077" t="s">
        <v>3932</v>
      </c>
      <c r="D116" s="3077" t="s">
        <v>5347</v>
      </c>
      <c r="E116" s="3148"/>
      <c r="F116" s="3148"/>
      <c r="G116" s="3148"/>
      <c r="H116" s="3148"/>
      <c r="I116" s="3148"/>
      <c r="J116" s="3148"/>
      <c r="K116" s="3070"/>
      <c r="L116" s="3071"/>
      <c r="M116" s="3070"/>
      <c r="N116" s="3134">
        <f>L116*M116</f>
        <v>0</v>
      </c>
      <c r="O116" s="3149"/>
      <c r="P116" s="435"/>
      <c r="Q116" s="573"/>
    </row>
    <row r="117" spans="1:17" s="868" customFormat="1" ht="15.75" x14ac:dyDescent="0.2">
      <c r="A117" s="3075" t="s">
        <v>5316</v>
      </c>
      <c r="B117" s="3076" t="s">
        <v>3931</v>
      </c>
      <c r="C117" s="3067" t="s">
        <v>1310</v>
      </c>
      <c r="D117" s="3067" t="s">
        <v>3303</v>
      </c>
      <c r="E117" s="3148"/>
      <c r="F117" s="3148"/>
      <c r="G117" s="3148"/>
      <c r="H117" s="3148"/>
      <c r="I117" s="3148"/>
      <c r="J117" s="3148"/>
      <c r="K117" s="3070"/>
      <c r="L117" s="3071"/>
      <c r="M117" s="3070"/>
      <c r="N117" s="3134">
        <f>L117*M117</f>
        <v>0</v>
      </c>
      <c r="O117" s="3149"/>
      <c r="P117" s="435"/>
      <c r="Q117" s="573"/>
    </row>
    <row r="118" spans="1:17" ht="15.75" x14ac:dyDescent="0.2">
      <c r="A118" s="3063" t="s">
        <v>3199</v>
      </c>
      <c r="B118" s="3063"/>
      <c r="C118" s="3063" t="s">
        <v>20</v>
      </c>
      <c r="D118" s="3063"/>
      <c r="E118" s="3087"/>
      <c r="F118" s="3087"/>
      <c r="G118" s="3064"/>
      <c r="H118" s="3064"/>
      <c r="I118" s="3064"/>
      <c r="J118" s="3087"/>
      <c r="K118" s="3087"/>
      <c r="L118" s="3063"/>
      <c r="M118" s="3087"/>
      <c r="N118" s="3064">
        <f>N119</f>
        <v>0</v>
      </c>
      <c r="O118" s="3087"/>
      <c r="P118" s="117"/>
      <c r="Q118" s="1835">
        <f>Q119</f>
        <v>0</v>
      </c>
    </row>
    <row r="119" spans="1:17" ht="15.75" x14ac:dyDescent="0.2">
      <c r="A119" s="3067" t="s">
        <v>3200</v>
      </c>
      <c r="B119" s="3067"/>
      <c r="C119" s="3067" t="s">
        <v>4454</v>
      </c>
      <c r="D119" s="3067" t="s">
        <v>5348</v>
      </c>
      <c r="E119" s="3084"/>
      <c r="F119" s="3084"/>
      <c r="G119" s="3084"/>
      <c r="H119" s="3084"/>
      <c r="I119" s="3084"/>
      <c r="J119" s="3084"/>
      <c r="K119" s="3070"/>
      <c r="L119" s="3071"/>
      <c r="M119" s="3070"/>
      <c r="N119" s="3072">
        <f>L119*M119</f>
        <v>0</v>
      </c>
      <c r="O119" s="3084"/>
      <c r="P119" s="67"/>
      <c r="Q119" s="573"/>
    </row>
    <row r="120" spans="1:17" ht="31.5" x14ac:dyDescent="0.2">
      <c r="A120" s="3063" t="s">
        <v>3201</v>
      </c>
      <c r="B120" s="3063"/>
      <c r="C120" s="3063" t="s">
        <v>21</v>
      </c>
      <c r="D120" s="3063"/>
      <c r="E120" s="3087"/>
      <c r="F120" s="3087"/>
      <c r="G120" s="3064"/>
      <c r="H120" s="3064"/>
      <c r="I120" s="3064"/>
      <c r="J120" s="3087"/>
      <c r="K120" s="3087"/>
      <c r="L120" s="3063"/>
      <c r="M120" s="3087"/>
      <c r="N120" s="3064">
        <f>N121+N169+N170+N171</f>
        <v>1760.4720000000002</v>
      </c>
      <c r="O120" s="3087"/>
      <c r="P120" s="117"/>
      <c r="Q120" s="1835">
        <f>Q121+Q169+Q170+Q171</f>
        <v>0</v>
      </c>
    </row>
    <row r="121" spans="1:17" ht="15.75" x14ac:dyDescent="0.2">
      <c r="A121" s="3065" t="s">
        <v>3202</v>
      </c>
      <c r="B121" s="3065"/>
      <c r="C121" s="3065" t="s">
        <v>41</v>
      </c>
      <c r="D121" s="3065"/>
      <c r="E121" s="3015"/>
      <c r="F121" s="3015"/>
      <c r="G121" s="3066"/>
      <c r="H121" s="3066"/>
      <c r="I121" s="3066"/>
      <c r="J121" s="3015"/>
      <c r="K121" s="3015"/>
      <c r="L121" s="3065"/>
      <c r="M121" s="3015"/>
      <c r="N121" s="3066">
        <f>N122+N126+N130+N134+N138+N142+N150+N152+N162+N166</f>
        <v>1760.4720000000002</v>
      </c>
      <c r="O121" s="3015"/>
      <c r="P121" s="181"/>
      <c r="Q121" s="1836">
        <f>Q122+Q126+Q130+Q134+Q138+Q142+Q150+Q152+Q162+Q166</f>
        <v>0</v>
      </c>
    </row>
    <row r="122" spans="1:17" ht="15.75" x14ac:dyDescent="0.2">
      <c r="A122" s="3094" t="s">
        <v>3203</v>
      </c>
      <c r="B122" s="3094" t="s">
        <v>3014</v>
      </c>
      <c r="C122" s="3094" t="s">
        <v>3015</v>
      </c>
      <c r="D122" s="3094"/>
      <c r="E122" s="3014"/>
      <c r="F122" s="3014"/>
      <c r="G122" s="3095"/>
      <c r="H122" s="3095"/>
      <c r="I122" s="3095"/>
      <c r="J122" s="3014"/>
      <c r="K122" s="3014"/>
      <c r="L122" s="3094"/>
      <c r="M122" s="3014"/>
      <c r="N122" s="3095">
        <f>SUM(N123:N125)</f>
        <v>382.95</v>
      </c>
      <c r="O122" s="3014"/>
      <c r="P122" s="118"/>
      <c r="Q122" s="1112">
        <f>SUM(Q123:Q125)</f>
        <v>0</v>
      </c>
    </row>
    <row r="123" spans="1:17" ht="31.5" x14ac:dyDescent="0.2">
      <c r="A123" s="3067" t="s">
        <v>3204</v>
      </c>
      <c r="B123" s="3067" t="s">
        <v>3016</v>
      </c>
      <c r="C123" s="3067" t="s">
        <v>2992</v>
      </c>
      <c r="D123" s="3067" t="s">
        <v>5352</v>
      </c>
      <c r="E123" s="3081"/>
      <c r="F123" s="3082"/>
      <c r="G123" s="3150"/>
      <c r="H123" s="3082"/>
      <c r="I123" s="3082"/>
      <c r="J123" s="3083" t="s">
        <v>5944</v>
      </c>
      <c r="K123" s="3082">
        <v>45000</v>
      </c>
      <c r="L123" s="3071">
        <f>+K123/100000</f>
        <v>0.45</v>
      </c>
      <c r="M123" s="3070">
        <v>851</v>
      </c>
      <c r="N123" s="3072">
        <f>L123*M123</f>
        <v>382.95</v>
      </c>
      <c r="O123" s="3671" t="s">
        <v>5945</v>
      </c>
      <c r="P123" s="67"/>
      <c r="Q123" s="573"/>
    </row>
    <row r="124" spans="1:17" ht="15.75" x14ac:dyDescent="0.2">
      <c r="A124" s="3067" t="s">
        <v>3205</v>
      </c>
      <c r="B124" s="3067" t="s">
        <v>3017</v>
      </c>
      <c r="C124" s="3067" t="s">
        <v>2994</v>
      </c>
      <c r="D124" s="3067" t="s">
        <v>5352</v>
      </c>
      <c r="E124" s="3084"/>
      <c r="F124" s="3084"/>
      <c r="G124" s="3084"/>
      <c r="H124" s="3084"/>
      <c r="I124" s="3084"/>
      <c r="J124" s="3084"/>
      <c r="K124" s="3070"/>
      <c r="L124" s="3071"/>
      <c r="M124" s="3070"/>
      <c r="N124" s="3072">
        <f>L124*M124</f>
        <v>0</v>
      </c>
      <c r="O124" s="3084"/>
      <c r="P124" s="67"/>
      <c r="Q124" s="573"/>
    </row>
    <row r="125" spans="1:17" ht="15.75" x14ac:dyDescent="0.2">
      <c r="A125" s="3067" t="s">
        <v>3206</v>
      </c>
      <c r="B125" s="3067" t="s">
        <v>3018</v>
      </c>
      <c r="C125" s="3067" t="s">
        <v>2995</v>
      </c>
      <c r="D125" s="3067" t="s">
        <v>5352</v>
      </c>
      <c r="E125" s="3084"/>
      <c r="F125" s="3084"/>
      <c r="G125" s="3084"/>
      <c r="H125" s="3084"/>
      <c r="I125" s="3084"/>
      <c r="J125" s="3084"/>
      <c r="K125" s="3070"/>
      <c r="L125" s="3071"/>
      <c r="M125" s="3070"/>
      <c r="N125" s="3072">
        <f>L125*M125</f>
        <v>0</v>
      </c>
      <c r="O125" s="3084"/>
      <c r="P125" s="67"/>
      <c r="Q125" s="573"/>
    </row>
    <row r="126" spans="1:17" ht="15.75" x14ac:dyDescent="0.2">
      <c r="A126" s="3094" t="s">
        <v>3207</v>
      </c>
      <c r="B126" s="3094" t="s">
        <v>3019</v>
      </c>
      <c r="C126" s="3094" t="s">
        <v>3020</v>
      </c>
      <c r="D126" s="3094"/>
      <c r="E126" s="3014"/>
      <c r="F126" s="3014"/>
      <c r="G126" s="3095"/>
      <c r="H126" s="3095"/>
      <c r="I126" s="3095"/>
      <c r="J126" s="3014"/>
      <c r="K126" s="3014"/>
      <c r="L126" s="3094"/>
      <c r="M126" s="3014"/>
      <c r="N126" s="3095">
        <f>SUM(N127:N129)</f>
        <v>785.86200000000008</v>
      </c>
      <c r="O126" s="3014"/>
      <c r="P126" s="118"/>
      <c r="Q126" s="1112">
        <f>SUM(Q127:Q129)</f>
        <v>0</v>
      </c>
    </row>
    <row r="127" spans="1:17" ht="42.75" x14ac:dyDescent="0.2">
      <c r="A127" s="3067" t="s">
        <v>3208</v>
      </c>
      <c r="B127" s="3067" t="s">
        <v>3021</v>
      </c>
      <c r="C127" s="3067" t="s">
        <v>2992</v>
      </c>
      <c r="D127" s="3067" t="s">
        <v>5352</v>
      </c>
      <c r="E127" s="3081"/>
      <c r="F127" s="3082"/>
      <c r="G127" s="3150"/>
      <c r="H127" s="3082"/>
      <c r="I127" s="3082"/>
      <c r="J127" s="3083" t="s">
        <v>5947</v>
      </c>
      <c r="K127" s="3082">
        <v>61370</v>
      </c>
      <c r="L127" s="3071">
        <f>+K127/100000</f>
        <v>0.61370000000000002</v>
      </c>
      <c r="M127" s="3070">
        <f>1145+115</f>
        <v>1260</v>
      </c>
      <c r="N127" s="3072">
        <f>L127*M127</f>
        <v>773.26200000000006</v>
      </c>
      <c r="O127" s="3691" t="s">
        <v>5967</v>
      </c>
      <c r="P127" s="3410"/>
      <c r="Q127" s="573"/>
    </row>
    <row r="128" spans="1:17" ht="31.5" x14ac:dyDescent="0.2">
      <c r="A128" s="3067" t="s">
        <v>3209</v>
      </c>
      <c r="B128" s="3067" t="s">
        <v>3022</v>
      </c>
      <c r="C128" s="3067" t="s">
        <v>2994</v>
      </c>
      <c r="D128" s="3067" t="s">
        <v>5352</v>
      </c>
      <c r="E128" s="3084"/>
      <c r="F128" s="3084"/>
      <c r="G128" s="3084"/>
      <c r="H128" s="3084"/>
      <c r="I128" s="3084"/>
      <c r="J128" s="3418" t="s">
        <v>5947</v>
      </c>
      <c r="K128" s="3070">
        <v>60000</v>
      </c>
      <c r="L128" s="3071">
        <f>+K128/100000</f>
        <v>0.6</v>
      </c>
      <c r="M128" s="3070">
        <v>21</v>
      </c>
      <c r="N128" s="3072">
        <f>L128*M128</f>
        <v>12.6</v>
      </c>
      <c r="O128" s="3691" t="s">
        <v>5968</v>
      </c>
      <c r="P128" s="67"/>
      <c r="Q128" s="573"/>
    </row>
    <row r="129" spans="1:17" ht="15.75" x14ac:dyDescent="0.2">
      <c r="A129" s="3067" t="s">
        <v>3210</v>
      </c>
      <c r="B129" s="3067" t="s">
        <v>3023</v>
      </c>
      <c r="C129" s="3067" t="s">
        <v>2995</v>
      </c>
      <c r="D129" s="3067" t="s">
        <v>5352</v>
      </c>
      <c r="E129" s="3084"/>
      <c r="F129" s="3084"/>
      <c r="G129" s="3084"/>
      <c r="H129" s="3084"/>
      <c r="I129" s="3084"/>
      <c r="J129" s="3084"/>
      <c r="K129" s="3070"/>
      <c r="L129" s="3071"/>
      <c r="M129" s="3070"/>
      <c r="N129" s="3072">
        <f>L129*M129</f>
        <v>0</v>
      </c>
      <c r="O129" s="3084"/>
      <c r="P129" s="67"/>
      <c r="Q129" s="573"/>
    </row>
    <row r="130" spans="1:17" ht="15.75" x14ac:dyDescent="0.2">
      <c r="A130" s="3094" t="s">
        <v>3211</v>
      </c>
      <c r="B130" s="3094" t="s">
        <v>3024</v>
      </c>
      <c r="C130" s="3094" t="s">
        <v>3025</v>
      </c>
      <c r="D130" s="3094"/>
      <c r="E130" s="3014"/>
      <c r="F130" s="3014"/>
      <c r="G130" s="3095"/>
      <c r="H130" s="3095"/>
      <c r="I130" s="3095"/>
      <c r="J130" s="3014"/>
      <c r="K130" s="3014"/>
      <c r="L130" s="3094"/>
      <c r="M130" s="3014"/>
      <c r="N130" s="3095">
        <f>SUM(N131:N133)</f>
        <v>128.25</v>
      </c>
      <c r="O130" s="3014"/>
      <c r="P130" s="118"/>
      <c r="Q130" s="1112">
        <f>SUM(Q131:Q133)</f>
        <v>0</v>
      </c>
    </row>
    <row r="131" spans="1:17" ht="31.5" x14ac:dyDescent="0.2">
      <c r="A131" s="3067" t="s">
        <v>3212</v>
      </c>
      <c r="B131" s="3067" t="s">
        <v>3026</v>
      </c>
      <c r="C131" s="3067" t="s">
        <v>2992</v>
      </c>
      <c r="D131" s="3067" t="s">
        <v>5352</v>
      </c>
      <c r="E131" s="3081"/>
      <c r="F131" s="3082"/>
      <c r="G131" s="3150"/>
      <c r="H131" s="3082"/>
      <c r="I131" s="3082"/>
      <c r="J131" s="3418" t="s">
        <v>5947</v>
      </c>
      <c r="K131" s="3082">
        <v>45000</v>
      </c>
      <c r="L131" s="3071">
        <f>+K131/100000</f>
        <v>0.45</v>
      </c>
      <c r="M131" s="3070">
        <v>285</v>
      </c>
      <c r="N131" s="3072">
        <f>L131*M131</f>
        <v>128.25</v>
      </c>
      <c r="O131" s="3671" t="s">
        <v>5948</v>
      </c>
      <c r="P131" s="67"/>
      <c r="Q131" s="573"/>
    </row>
    <row r="132" spans="1:17" ht="15.75" x14ac:dyDescent="0.2">
      <c r="A132" s="3067" t="s">
        <v>3213</v>
      </c>
      <c r="B132" s="3067" t="s">
        <v>3027</v>
      </c>
      <c r="C132" s="3067" t="s">
        <v>2994</v>
      </c>
      <c r="D132" s="3067" t="s">
        <v>5352</v>
      </c>
      <c r="E132" s="3084"/>
      <c r="F132" s="3084"/>
      <c r="G132" s="3084"/>
      <c r="H132" s="3084"/>
      <c r="I132" s="3084"/>
      <c r="J132" s="3084"/>
      <c r="K132" s="3070"/>
      <c r="L132" s="3071"/>
      <c r="M132" s="3070"/>
      <c r="N132" s="3072">
        <f>L132*M132</f>
        <v>0</v>
      </c>
      <c r="O132" s="3084"/>
      <c r="P132" s="67"/>
      <c r="Q132" s="573"/>
    </row>
    <row r="133" spans="1:17" ht="15.75" x14ac:dyDescent="0.2">
      <c r="A133" s="3067" t="s">
        <v>3214</v>
      </c>
      <c r="B133" s="3067" t="s">
        <v>3028</v>
      </c>
      <c r="C133" s="3067" t="s">
        <v>2995</v>
      </c>
      <c r="D133" s="3067" t="s">
        <v>5352</v>
      </c>
      <c r="E133" s="3084"/>
      <c r="F133" s="3084"/>
      <c r="G133" s="3084"/>
      <c r="H133" s="3084"/>
      <c r="I133" s="3084"/>
      <c r="J133" s="3084"/>
      <c r="K133" s="3070"/>
      <c r="L133" s="3071"/>
      <c r="M133" s="3070"/>
      <c r="N133" s="3072">
        <f>L133*M133</f>
        <v>0</v>
      </c>
      <c r="O133" s="3084"/>
      <c r="P133" s="67"/>
      <c r="Q133" s="573"/>
    </row>
    <row r="134" spans="1:17" ht="15.75" x14ac:dyDescent="0.2">
      <c r="A134" s="3094" t="s">
        <v>3215</v>
      </c>
      <c r="B134" s="3094" t="s">
        <v>3029</v>
      </c>
      <c r="C134" s="3094" t="s">
        <v>552</v>
      </c>
      <c r="D134" s="3094"/>
      <c r="E134" s="3014"/>
      <c r="F134" s="3014"/>
      <c r="G134" s="3095"/>
      <c r="H134" s="3095"/>
      <c r="I134" s="3095"/>
      <c r="J134" s="3014"/>
      <c r="K134" s="3014"/>
      <c r="L134" s="3094"/>
      <c r="M134" s="3014"/>
      <c r="N134" s="3095">
        <f>SUM(N135:N137)</f>
        <v>112.5</v>
      </c>
      <c r="O134" s="3014"/>
      <c r="P134" s="118"/>
      <c r="Q134" s="1112">
        <f>SUM(Q135:Q137)</f>
        <v>0</v>
      </c>
    </row>
    <row r="135" spans="1:17" ht="31.5" x14ac:dyDescent="0.2">
      <c r="A135" s="3067" t="s">
        <v>3216</v>
      </c>
      <c r="B135" s="3067" t="s">
        <v>3030</v>
      </c>
      <c r="C135" s="3067" t="s">
        <v>2992</v>
      </c>
      <c r="D135" s="3067" t="s">
        <v>5352</v>
      </c>
      <c r="E135" s="3081"/>
      <c r="F135" s="3082"/>
      <c r="G135" s="3150"/>
      <c r="H135" s="3082"/>
      <c r="I135" s="3082"/>
      <c r="J135" s="3418" t="s">
        <v>5947</v>
      </c>
      <c r="K135" s="3082">
        <v>45000</v>
      </c>
      <c r="L135" s="3071">
        <f>+K135/100000</f>
        <v>0.45</v>
      </c>
      <c r="M135" s="3070">
        <v>250</v>
      </c>
      <c r="N135" s="3072">
        <f>L135*M135</f>
        <v>112.5</v>
      </c>
      <c r="O135" s="3671" t="s">
        <v>5949</v>
      </c>
      <c r="P135" s="124"/>
      <c r="Q135" s="325"/>
    </row>
    <row r="136" spans="1:17" ht="15.75" x14ac:dyDescent="0.2">
      <c r="A136" s="3067" t="s">
        <v>3217</v>
      </c>
      <c r="B136" s="3067" t="s">
        <v>3031</v>
      </c>
      <c r="C136" s="3067" t="s">
        <v>2994</v>
      </c>
      <c r="D136" s="3067" t="s">
        <v>5352</v>
      </c>
      <c r="E136" s="3084"/>
      <c r="F136" s="3084"/>
      <c r="G136" s="3084"/>
      <c r="H136" s="3084"/>
      <c r="I136" s="3084"/>
      <c r="J136" s="3084"/>
      <c r="K136" s="3070"/>
      <c r="L136" s="3071"/>
      <c r="M136" s="3070"/>
      <c r="N136" s="3072">
        <f>L136*M136</f>
        <v>0</v>
      </c>
      <c r="O136" s="3084"/>
      <c r="P136" s="67"/>
      <c r="Q136" s="573"/>
    </row>
    <row r="137" spans="1:17" ht="15.75" x14ac:dyDescent="0.2">
      <c r="A137" s="3067" t="s">
        <v>3218</v>
      </c>
      <c r="B137" s="3067" t="s">
        <v>3032</v>
      </c>
      <c r="C137" s="3067" t="s">
        <v>2995</v>
      </c>
      <c r="D137" s="3067" t="s">
        <v>5352</v>
      </c>
      <c r="E137" s="3084"/>
      <c r="F137" s="3084"/>
      <c r="G137" s="3084"/>
      <c r="H137" s="3084"/>
      <c r="I137" s="3084"/>
      <c r="J137" s="3084"/>
      <c r="K137" s="3070"/>
      <c r="L137" s="3071"/>
      <c r="M137" s="3070"/>
      <c r="N137" s="3072">
        <f>L137*M137</f>
        <v>0</v>
      </c>
      <c r="O137" s="3084"/>
      <c r="P137" s="67"/>
      <c r="Q137" s="573"/>
    </row>
    <row r="138" spans="1:17" ht="15.75" x14ac:dyDescent="0.2">
      <c r="A138" s="3094" t="s">
        <v>3219</v>
      </c>
      <c r="B138" s="3094" t="s">
        <v>3033</v>
      </c>
      <c r="C138" s="3094" t="s">
        <v>3034</v>
      </c>
      <c r="D138" s="3094"/>
      <c r="E138" s="3014"/>
      <c r="F138" s="3014"/>
      <c r="G138" s="3095"/>
      <c r="H138" s="3095"/>
      <c r="I138" s="3095"/>
      <c r="J138" s="3014"/>
      <c r="K138" s="3014"/>
      <c r="L138" s="3094"/>
      <c r="M138" s="3014"/>
      <c r="N138" s="3095">
        <f>SUM(N139:N141)</f>
        <v>0</v>
      </c>
      <c r="O138" s="3014"/>
      <c r="P138" s="118"/>
      <c r="Q138" s="1112">
        <f>SUM(Q139:Q141)</f>
        <v>0</v>
      </c>
    </row>
    <row r="139" spans="1:17" ht="15.75" x14ac:dyDescent="0.2">
      <c r="A139" s="3067" t="s">
        <v>3220</v>
      </c>
      <c r="B139" s="3067" t="s">
        <v>3035</v>
      </c>
      <c r="C139" s="3067" t="s">
        <v>3036</v>
      </c>
      <c r="D139" s="3067" t="s">
        <v>5352</v>
      </c>
      <c r="E139" s="3084"/>
      <c r="F139" s="3084"/>
      <c r="G139" s="3084"/>
      <c r="H139" s="3084"/>
      <c r="I139" s="3084"/>
      <c r="J139" s="3084"/>
      <c r="K139" s="3070"/>
      <c r="L139" s="3071"/>
      <c r="M139" s="3070"/>
      <c r="N139" s="3072">
        <f>L139*M139</f>
        <v>0</v>
      </c>
      <c r="O139" s="3084"/>
      <c r="P139" s="67"/>
      <c r="Q139" s="573"/>
    </row>
    <row r="140" spans="1:17" ht="15.75" x14ac:dyDescent="0.2">
      <c r="A140" s="3067" t="s">
        <v>3221</v>
      </c>
      <c r="B140" s="3067" t="s">
        <v>3037</v>
      </c>
      <c r="C140" s="3067" t="s">
        <v>639</v>
      </c>
      <c r="D140" s="3067" t="s">
        <v>5352</v>
      </c>
      <c r="E140" s="3084"/>
      <c r="F140" s="3084"/>
      <c r="G140" s="3084"/>
      <c r="H140" s="3084"/>
      <c r="I140" s="3084"/>
      <c r="J140" s="3084"/>
      <c r="K140" s="3070"/>
      <c r="L140" s="3071"/>
      <c r="M140" s="3070"/>
      <c r="N140" s="3072">
        <f>L140*M140</f>
        <v>0</v>
      </c>
      <c r="O140" s="3084"/>
      <c r="P140" s="67"/>
      <c r="Q140" s="573"/>
    </row>
    <row r="141" spans="1:17" ht="15.75" x14ac:dyDescent="0.2">
      <c r="A141" s="3067" t="s">
        <v>3222</v>
      </c>
      <c r="B141" s="3067" t="s">
        <v>3038</v>
      </c>
      <c r="C141" s="3067" t="s">
        <v>1310</v>
      </c>
      <c r="D141" s="3067" t="s">
        <v>5352</v>
      </c>
      <c r="E141" s="3081"/>
      <c r="F141" s="3082"/>
      <c r="G141" s="3073"/>
      <c r="H141" s="3082"/>
      <c r="I141" s="3082"/>
      <c r="J141" s="3083"/>
      <c r="K141" s="3082"/>
      <c r="L141" s="3071"/>
      <c r="M141" s="3070"/>
      <c r="N141" s="3072">
        <f>L141*M141</f>
        <v>0</v>
      </c>
      <c r="O141" s="3418"/>
      <c r="P141" s="67"/>
      <c r="Q141" s="573"/>
    </row>
    <row r="142" spans="1:17" ht="15.75" x14ac:dyDescent="0.2">
      <c r="A142" s="3094" t="s">
        <v>3223</v>
      </c>
      <c r="B142" s="3094" t="s">
        <v>3039</v>
      </c>
      <c r="C142" s="3094" t="s">
        <v>3040</v>
      </c>
      <c r="D142" s="3094"/>
      <c r="E142" s="3014"/>
      <c r="F142" s="3014"/>
      <c r="G142" s="3095"/>
      <c r="H142" s="3095"/>
      <c r="I142" s="3095"/>
      <c r="J142" s="3014"/>
      <c r="K142" s="3014"/>
      <c r="L142" s="3094"/>
      <c r="M142" s="3014"/>
      <c r="N142" s="3095">
        <f>SUM(N143:N149)</f>
        <v>0</v>
      </c>
      <c r="O142" s="3014"/>
      <c r="P142" s="118"/>
      <c r="Q142" s="1112">
        <f>SUM(Q143:Q149)</f>
        <v>0</v>
      </c>
    </row>
    <row r="143" spans="1:17" ht="15.75" x14ac:dyDescent="0.2">
      <c r="A143" s="3067" t="s">
        <v>3224</v>
      </c>
      <c r="B143" s="3067" t="s">
        <v>3041</v>
      </c>
      <c r="C143" s="3067" t="s">
        <v>3042</v>
      </c>
      <c r="D143" s="3067" t="s">
        <v>5352</v>
      </c>
      <c r="E143" s="3084"/>
      <c r="F143" s="3084"/>
      <c r="G143" s="3084"/>
      <c r="H143" s="3084"/>
      <c r="I143" s="3084"/>
      <c r="J143" s="3084"/>
      <c r="K143" s="3070"/>
      <c r="L143" s="3071"/>
      <c r="M143" s="3070"/>
      <c r="N143" s="3072">
        <f t="shared" ref="N143:N149" si="3">L143*M143</f>
        <v>0</v>
      </c>
      <c r="O143" s="3084"/>
      <c r="P143" s="67"/>
      <c r="Q143" s="573"/>
    </row>
    <row r="144" spans="1:17" ht="15.75" x14ac:dyDescent="0.2">
      <c r="A144" s="3067" t="s">
        <v>3225</v>
      </c>
      <c r="B144" s="3067" t="s">
        <v>3043</v>
      </c>
      <c r="C144" s="3067" t="s">
        <v>556</v>
      </c>
      <c r="D144" s="3067" t="s">
        <v>5352</v>
      </c>
      <c r="E144" s="3084"/>
      <c r="F144" s="3084"/>
      <c r="G144" s="3084"/>
      <c r="H144" s="3084"/>
      <c r="I144" s="3084"/>
      <c r="J144" s="3084"/>
      <c r="K144" s="3070"/>
      <c r="L144" s="3071"/>
      <c r="M144" s="3070"/>
      <c r="N144" s="3072">
        <f t="shared" si="3"/>
        <v>0</v>
      </c>
      <c r="O144" s="3084"/>
      <c r="P144" s="67"/>
      <c r="Q144" s="573"/>
    </row>
    <row r="145" spans="1:17" ht="15.75" x14ac:dyDescent="0.2">
      <c r="A145" s="3067" t="s">
        <v>3226</v>
      </c>
      <c r="B145" s="3067" t="s">
        <v>3044</v>
      </c>
      <c r="C145" s="3067" t="s">
        <v>3045</v>
      </c>
      <c r="D145" s="3067" t="s">
        <v>5352</v>
      </c>
      <c r="E145" s="3084"/>
      <c r="F145" s="3084"/>
      <c r="G145" s="3084"/>
      <c r="H145" s="3084"/>
      <c r="I145" s="3084"/>
      <c r="J145" s="3084"/>
      <c r="K145" s="3070"/>
      <c r="L145" s="3071"/>
      <c r="M145" s="3070"/>
      <c r="N145" s="3072">
        <f t="shared" si="3"/>
        <v>0</v>
      </c>
      <c r="O145" s="3084"/>
      <c r="P145" s="67"/>
      <c r="Q145" s="573"/>
    </row>
    <row r="146" spans="1:17" ht="15.75" x14ac:dyDescent="0.2">
      <c r="A146" s="3067" t="s">
        <v>3227</v>
      </c>
      <c r="B146" s="3067" t="s">
        <v>3046</v>
      </c>
      <c r="C146" s="3067" t="s">
        <v>3047</v>
      </c>
      <c r="D146" s="3067" t="s">
        <v>5352</v>
      </c>
      <c r="E146" s="3084"/>
      <c r="F146" s="3084"/>
      <c r="G146" s="3084"/>
      <c r="H146" s="3084"/>
      <c r="I146" s="3084"/>
      <c r="J146" s="3084"/>
      <c r="K146" s="3070"/>
      <c r="L146" s="3071"/>
      <c r="M146" s="3070"/>
      <c r="N146" s="3072">
        <f t="shared" si="3"/>
        <v>0</v>
      </c>
      <c r="O146" s="3084"/>
      <c r="P146" s="67"/>
      <c r="Q146" s="573"/>
    </row>
    <row r="147" spans="1:17" ht="15.75" x14ac:dyDescent="0.2">
      <c r="A147" s="3067" t="s">
        <v>3228</v>
      </c>
      <c r="B147" s="3067" t="s">
        <v>3048</v>
      </c>
      <c r="C147" s="3067" t="s">
        <v>3049</v>
      </c>
      <c r="D147" s="3067" t="s">
        <v>5352</v>
      </c>
      <c r="E147" s="3084"/>
      <c r="F147" s="3084"/>
      <c r="G147" s="3084"/>
      <c r="H147" s="3084"/>
      <c r="I147" s="3084"/>
      <c r="J147" s="3084"/>
      <c r="K147" s="3070"/>
      <c r="L147" s="3071"/>
      <c r="M147" s="3070"/>
      <c r="N147" s="3072">
        <f t="shared" si="3"/>
        <v>0</v>
      </c>
      <c r="O147" s="3084"/>
      <c r="P147" s="67"/>
      <c r="Q147" s="573"/>
    </row>
    <row r="148" spans="1:17" ht="15.75" x14ac:dyDescent="0.2">
      <c r="A148" s="3067" t="s">
        <v>3229</v>
      </c>
      <c r="B148" s="3067" t="s">
        <v>3050</v>
      </c>
      <c r="C148" s="3067" t="s">
        <v>3051</v>
      </c>
      <c r="D148" s="3067" t="s">
        <v>5352</v>
      </c>
      <c r="E148" s="3084"/>
      <c r="F148" s="3084"/>
      <c r="G148" s="3084"/>
      <c r="H148" s="3084"/>
      <c r="I148" s="3084"/>
      <c r="J148" s="3084"/>
      <c r="K148" s="3070"/>
      <c r="L148" s="3071"/>
      <c r="M148" s="3070"/>
      <c r="N148" s="3072">
        <f t="shared" si="3"/>
        <v>0</v>
      </c>
      <c r="O148" s="3084"/>
      <c r="P148" s="67"/>
      <c r="Q148" s="573"/>
    </row>
    <row r="149" spans="1:17" ht="15.75" x14ac:dyDescent="0.2">
      <c r="A149" s="3067" t="s">
        <v>3230</v>
      </c>
      <c r="B149" s="3067" t="s">
        <v>3052</v>
      </c>
      <c r="C149" s="3067" t="s">
        <v>478</v>
      </c>
      <c r="D149" s="3067" t="s">
        <v>5352</v>
      </c>
      <c r="E149" s="3084"/>
      <c r="F149" s="3084"/>
      <c r="G149" s="3084"/>
      <c r="H149" s="3084"/>
      <c r="I149" s="3084"/>
      <c r="J149" s="3084"/>
      <c r="K149" s="3070"/>
      <c r="L149" s="3071"/>
      <c r="M149" s="3070"/>
      <c r="N149" s="3072">
        <f t="shared" si="3"/>
        <v>0</v>
      </c>
      <c r="O149" s="3084"/>
      <c r="P149" s="67"/>
      <c r="Q149" s="573"/>
    </row>
    <row r="150" spans="1:17" ht="15.75" x14ac:dyDescent="0.2">
      <c r="A150" s="3094" t="s">
        <v>3231</v>
      </c>
      <c r="B150" s="3094"/>
      <c r="C150" s="3094" t="s">
        <v>505</v>
      </c>
      <c r="D150" s="3094"/>
      <c r="E150" s="3014"/>
      <c r="F150" s="3014"/>
      <c r="G150" s="3095"/>
      <c r="H150" s="3095"/>
      <c r="I150" s="3095"/>
      <c r="J150" s="3014"/>
      <c r="K150" s="3014"/>
      <c r="L150" s="3094"/>
      <c r="M150" s="3014"/>
      <c r="N150" s="3095">
        <f>N151</f>
        <v>0</v>
      </c>
      <c r="O150" s="3014"/>
      <c r="P150" s="118"/>
      <c r="Q150" s="1112">
        <f>Q151</f>
        <v>0</v>
      </c>
    </row>
    <row r="151" spans="1:17" ht="15.75" x14ac:dyDescent="0.2">
      <c r="A151" s="3067" t="s">
        <v>3232</v>
      </c>
      <c r="B151" s="3067" t="s">
        <v>3052</v>
      </c>
      <c r="C151" s="3067" t="s">
        <v>3053</v>
      </c>
      <c r="D151" s="3067" t="s">
        <v>5352</v>
      </c>
      <c r="E151" s="3084"/>
      <c r="F151" s="3084"/>
      <c r="G151" s="3084"/>
      <c r="H151" s="3084"/>
      <c r="I151" s="3084"/>
      <c r="J151" s="3084"/>
      <c r="K151" s="3070"/>
      <c r="L151" s="3071"/>
      <c r="M151" s="3070"/>
      <c r="N151" s="3072">
        <f>L151*M151</f>
        <v>0</v>
      </c>
      <c r="O151" s="3084"/>
      <c r="P151" s="67"/>
      <c r="Q151" s="573"/>
    </row>
    <row r="152" spans="1:17" ht="15.75" x14ac:dyDescent="0.2">
      <c r="A152" s="3094" t="s">
        <v>3233</v>
      </c>
      <c r="B152" s="3094"/>
      <c r="C152" s="3094" t="s">
        <v>524</v>
      </c>
      <c r="D152" s="3094"/>
      <c r="E152" s="3014"/>
      <c r="F152" s="3014"/>
      <c r="G152" s="3095"/>
      <c r="H152" s="3095"/>
      <c r="I152" s="3095"/>
      <c r="J152" s="3014"/>
      <c r="K152" s="3014"/>
      <c r="L152" s="3094"/>
      <c r="M152" s="3014"/>
      <c r="N152" s="3095">
        <f>N153+N156+N159</f>
        <v>246</v>
      </c>
      <c r="O152" s="3014"/>
      <c r="P152" s="118"/>
      <c r="Q152" s="1112">
        <f>Q153+Q156+Q159</f>
        <v>0</v>
      </c>
    </row>
    <row r="153" spans="1:17" s="856" customFormat="1" ht="15.75" x14ac:dyDescent="0.2">
      <c r="A153" s="3131" t="s">
        <v>3234</v>
      </c>
      <c r="B153" s="3151" t="s">
        <v>3054</v>
      </c>
      <c r="C153" s="3151" t="s">
        <v>3055</v>
      </c>
      <c r="D153" s="3151"/>
      <c r="E153" s="3152"/>
      <c r="F153" s="3152"/>
      <c r="G153" s="3134"/>
      <c r="H153" s="3134"/>
      <c r="I153" s="3134"/>
      <c r="J153" s="3152"/>
      <c r="K153" s="3152"/>
      <c r="L153" s="3071"/>
      <c r="M153" s="3152"/>
      <c r="N153" s="3134">
        <f>SUM(N154:N155)</f>
        <v>178.79999999999998</v>
      </c>
      <c r="O153" s="3153"/>
      <c r="P153" s="258"/>
      <c r="Q153" s="1840">
        <f>SUM(Q154:Q155)</f>
        <v>0</v>
      </c>
    </row>
    <row r="154" spans="1:17" ht="42.75" x14ac:dyDescent="0.2">
      <c r="A154" s="3067" t="s">
        <v>3235</v>
      </c>
      <c r="B154" s="3067" t="s">
        <v>3056</v>
      </c>
      <c r="C154" s="3067" t="s">
        <v>3057</v>
      </c>
      <c r="D154" s="3067" t="s">
        <v>5352</v>
      </c>
      <c r="E154" s="3081"/>
      <c r="F154" s="3082"/>
      <c r="G154" s="3150"/>
      <c r="H154" s="3082"/>
      <c r="I154" s="3082"/>
      <c r="J154" s="3418" t="s">
        <v>5947</v>
      </c>
      <c r="K154" s="3082">
        <v>120000</v>
      </c>
      <c r="L154" s="3071">
        <f>+K154/100000</f>
        <v>1.2</v>
      </c>
      <c r="M154" s="3070">
        <v>149</v>
      </c>
      <c r="N154" s="3072">
        <f t="shared" ref="N154:N161" si="4">L154*M154</f>
        <v>178.79999999999998</v>
      </c>
      <c r="O154" s="3671" t="s">
        <v>5969</v>
      </c>
      <c r="P154" s="124"/>
      <c r="Q154" s="325"/>
    </row>
    <row r="155" spans="1:17" ht="15.75" x14ac:dyDescent="0.2">
      <c r="A155" s="3067" t="s">
        <v>3236</v>
      </c>
      <c r="B155" s="3067" t="s">
        <v>3058</v>
      </c>
      <c r="C155" s="3067" t="s">
        <v>3059</v>
      </c>
      <c r="D155" s="3067" t="s">
        <v>5352</v>
      </c>
      <c r="E155" s="3084"/>
      <c r="F155" s="3084"/>
      <c r="G155" s="3084"/>
      <c r="H155" s="3084"/>
      <c r="I155" s="3084"/>
      <c r="J155" s="3084"/>
      <c r="K155" s="3070"/>
      <c r="L155" s="3071"/>
      <c r="M155" s="3070"/>
      <c r="N155" s="3072">
        <f t="shared" si="4"/>
        <v>0</v>
      </c>
      <c r="O155" s="3084"/>
      <c r="P155" s="67"/>
      <c r="Q155" s="573"/>
    </row>
    <row r="156" spans="1:17" s="856" customFormat="1" ht="15.75" x14ac:dyDescent="0.2">
      <c r="A156" s="3131" t="s">
        <v>3237</v>
      </c>
      <c r="B156" s="3151" t="s">
        <v>3060</v>
      </c>
      <c r="C156" s="3151" t="s">
        <v>3061</v>
      </c>
      <c r="D156" s="3151"/>
      <c r="E156" s="3152"/>
      <c r="F156" s="3152"/>
      <c r="G156" s="3152"/>
      <c r="H156" s="3152"/>
      <c r="I156" s="3152"/>
      <c r="J156" s="3152"/>
      <c r="K156" s="3152"/>
      <c r="L156" s="3071"/>
      <c r="M156" s="3152"/>
      <c r="N156" s="3134">
        <f>SUM(N157:N158)</f>
        <v>0</v>
      </c>
      <c r="O156" s="3153"/>
      <c r="P156" s="258"/>
      <c r="Q156" s="1840">
        <f>SUM(Q157:Q158)</f>
        <v>0</v>
      </c>
    </row>
    <row r="157" spans="1:17" ht="15.75" x14ac:dyDescent="0.2">
      <c r="A157" s="3067" t="s">
        <v>3238</v>
      </c>
      <c r="B157" s="3067" t="s">
        <v>3062</v>
      </c>
      <c r="C157" s="3067" t="s">
        <v>3057</v>
      </c>
      <c r="D157" s="3067" t="s">
        <v>5352</v>
      </c>
      <c r="E157" s="3084"/>
      <c r="F157" s="3084"/>
      <c r="G157" s="3084"/>
      <c r="H157" s="3084"/>
      <c r="I157" s="3084"/>
      <c r="J157" s="3084"/>
      <c r="K157" s="3070"/>
      <c r="L157" s="3071"/>
      <c r="M157" s="3070"/>
      <c r="N157" s="3072">
        <f t="shared" si="4"/>
        <v>0</v>
      </c>
      <c r="O157" s="3084"/>
      <c r="P157" s="67"/>
      <c r="Q157" s="573"/>
    </row>
    <row r="158" spans="1:17" ht="15.75" x14ac:dyDescent="0.2">
      <c r="A158" s="3067" t="s">
        <v>3239</v>
      </c>
      <c r="B158" s="3067" t="s">
        <v>3063</v>
      </c>
      <c r="C158" s="3067" t="s">
        <v>3059</v>
      </c>
      <c r="D158" s="3067" t="s">
        <v>5352</v>
      </c>
      <c r="E158" s="3084"/>
      <c r="F158" s="3084"/>
      <c r="G158" s="3084"/>
      <c r="H158" s="3084"/>
      <c r="I158" s="3084"/>
      <c r="J158" s="3084"/>
      <c r="K158" s="3070"/>
      <c r="L158" s="3071"/>
      <c r="M158" s="3070"/>
      <c r="N158" s="3072">
        <f t="shared" si="4"/>
        <v>0</v>
      </c>
      <c r="O158" s="3084"/>
      <c r="P158" s="67"/>
      <c r="Q158" s="573"/>
    </row>
    <row r="159" spans="1:17" s="856" customFormat="1" ht="15.75" x14ac:dyDescent="0.2">
      <c r="A159" s="3131" t="s">
        <v>3240</v>
      </c>
      <c r="B159" s="3151" t="s">
        <v>3064</v>
      </c>
      <c r="C159" s="3151" t="s">
        <v>3065</v>
      </c>
      <c r="D159" s="3151"/>
      <c r="E159" s="3152"/>
      <c r="F159" s="3152"/>
      <c r="G159" s="3134"/>
      <c r="H159" s="3134"/>
      <c r="I159" s="3134"/>
      <c r="J159" s="3152"/>
      <c r="K159" s="3152"/>
      <c r="L159" s="3071"/>
      <c r="M159" s="3152"/>
      <c r="N159" s="3134">
        <f>SUM(N160:N161)</f>
        <v>67.2</v>
      </c>
      <c r="O159" s="3153"/>
      <c r="P159" s="258"/>
      <c r="Q159" s="1840">
        <f>SUM(Q160:Q161)</f>
        <v>0</v>
      </c>
    </row>
    <row r="160" spans="1:17" ht="31.5" x14ac:dyDescent="0.2">
      <c r="A160" s="3130" t="s">
        <v>3241</v>
      </c>
      <c r="B160" s="3067" t="s">
        <v>3066</v>
      </c>
      <c r="C160" s="3067" t="s">
        <v>3057</v>
      </c>
      <c r="D160" s="3067" t="s">
        <v>5352</v>
      </c>
      <c r="E160" s="3081"/>
      <c r="F160" s="3084"/>
      <c r="G160" s="3073"/>
      <c r="H160" s="3084"/>
      <c r="I160" s="3084"/>
      <c r="J160" s="3418" t="s">
        <v>5947</v>
      </c>
      <c r="K160" s="3082">
        <v>120000</v>
      </c>
      <c r="L160" s="3071">
        <f>+K160/100000</f>
        <v>1.2</v>
      </c>
      <c r="M160" s="3070">
        <v>56</v>
      </c>
      <c r="N160" s="3072">
        <f t="shared" si="4"/>
        <v>67.2</v>
      </c>
      <c r="O160" s="3691" t="s">
        <v>5970</v>
      </c>
      <c r="P160" s="67"/>
      <c r="Q160" s="573"/>
    </row>
    <row r="161" spans="1:18" ht="15.75" x14ac:dyDescent="0.2">
      <c r="A161" s="3067" t="s">
        <v>3242</v>
      </c>
      <c r="B161" s="3067" t="s">
        <v>3066</v>
      </c>
      <c r="C161" s="3067" t="s">
        <v>3059</v>
      </c>
      <c r="D161" s="3067" t="s">
        <v>5352</v>
      </c>
      <c r="E161" s="3084"/>
      <c r="F161" s="3084"/>
      <c r="G161" s="3084"/>
      <c r="H161" s="3084"/>
      <c r="I161" s="3084"/>
      <c r="J161" s="3084"/>
      <c r="K161" s="3070"/>
      <c r="L161" s="3071"/>
      <c r="M161" s="3070"/>
      <c r="N161" s="3072">
        <f t="shared" si="4"/>
        <v>0</v>
      </c>
      <c r="O161" s="3084"/>
      <c r="P161" s="67"/>
      <c r="Q161" s="573"/>
    </row>
    <row r="162" spans="1:18" ht="15.75" x14ac:dyDescent="0.2">
      <c r="A162" s="3094" t="s">
        <v>3243</v>
      </c>
      <c r="B162" s="3094"/>
      <c r="C162" s="3094" t="s">
        <v>673</v>
      </c>
      <c r="D162" s="3094"/>
      <c r="E162" s="3014"/>
      <c r="F162" s="3014"/>
      <c r="G162" s="3095"/>
      <c r="H162" s="3095"/>
      <c r="I162" s="3095"/>
      <c r="J162" s="3014"/>
      <c r="K162" s="3014"/>
      <c r="L162" s="3094"/>
      <c r="M162" s="3014"/>
      <c r="N162" s="3095">
        <f>N163</f>
        <v>7.5</v>
      </c>
      <c r="O162" s="3014"/>
      <c r="P162" s="118"/>
      <c r="Q162" s="1112">
        <f>Q163</f>
        <v>0</v>
      </c>
    </row>
    <row r="163" spans="1:18" s="856" customFormat="1" ht="31.5" x14ac:dyDescent="0.2">
      <c r="A163" s="3131" t="s">
        <v>3244</v>
      </c>
      <c r="B163" s="3151" t="s">
        <v>3067</v>
      </c>
      <c r="C163" s="3151" t="s">
        <v>3068</v>
      </c>
      <c r="D163" s="3151"/>
      <c r="E163" s="3152"/>
      <c r="F163" s="3152"/>
      <c r="G163" s="3134"/>
      <c r="H163" s="3134"/>
      <c r="I163" s="3134"/>
      <c r="J163" s="3152"/>
      <c r="K163" s="3152"/>
      <c r="L163" s="3071"/>
      <c r="M163" s="3152"/>
      <c r="N163" s="3134">
        <f>SUM(N164:N165)</f>
        <v>7.5</v>
      </c>
      <c r="O163" s="3153"/>
      <c r="P163" s="258"/>
      <c r="Q163" s="1840">
        <f>SUM(Q164:Q165)</f>
        <v>0</v>
      </c>
      <c r="R163" s="3455"/>
    </row>
    <row r="164" spans="1:18" ht="28.5" x14ac:dyDescent="0.2">
      <c r="A164" s="3067" t="s">
        <v>3245</v>
      </c>
      <c r="B164" s="3067" t="s">
        <v>3069</v>
      </c>
      <c r="C164" s="3067" t="s">
        <v>2992</v>
      </c>
      <c r="D164" s="3067" t="s">
        <v>5352</v>
      </c>
      <c r="E164" s="3081"/>
      <c r="F164" s="3082"/>
      <c r="G164" s="3073"/>
      <c r="H164" s="3082"/>
      <c r="I164" s="3082"/>
      <c r="J164" s="3692" t="s">
        <v>5971</v>
      </c>
      <c r="K164" s="3693">
        <f>25000*3</f>
        <v>75000</v>
      </c>
      <c r="L164" s="3694">
        <f>K164/100000</f>
        <v>0.75</v>
      </c>
      <c r="M164" s="3070">
        <v>10</v>
      </c>
      <c r="N164" s="3072">
        <f>L164*M164</f>
        <v>7.5</v>
      </c>
      <c r="O164" s="3691" t="s">
        <v>5972</v>
      </c>
      <c r="P164" s="67"/>
      <c r="Q164" s="573"/>
      <c r="R164" s="2845">
        <f>Q164</f>
        <v>0</v>
      </c>
    </row>
    <row r="165" spans="1:18" ht="15.75" x14ac:dyDescent="0.2">
      <c r="A165" s="3067" t="s">
        <v>3246</v>
      </c>
      <c r="B165" s="3067" t="s">
        <v>3037</v>
      </c>
      <c r="C165" s="3067" t="s">
        <v>2994</v>
      </c>
      <c r="D165" s="3067" t="s">
        <v>5352</v>
      </c>
      <c r="E165" s="3084"/>
      <c r="F165" s="3084"/>
      <c r="G165" s="3084"/>
      <c r="H165" s="3084"/>
      <c r="I165" s="3084"/>
      <c r="J165" s="3084"/>
      <c r="K165" s="3070"/>
      <c r="L165" s="3071"/>
      <c r="M165" s="3070"/>
      <c r="N165" s="3072">
        <f>L165*M165</f>
        <v>0</v>
      </c>
      <c r="O165" s="3084"/>
      <c r="P165" s="67"/>
      <c r="Q165" s="573"/>
    </row>
    <row r="166" spans="1:18" ht="31.5" x14ac:dyDescent="0.2">
      <c r="A166" s="3094" t="s">
        <v>3247</v>
      </c>
      <c r="B166" s="3094"/>
      <c r="C166" s="3094" t="s">
        <v>2436</v>
      </c>
      <c r="D166" s="3094"/>
      <c r="E166" s="3014"/>
      <c r="F166" s="3014"/>
      <c r="G166" s="3095"/>
      <c r="H166" s="3095"/>
      <c r="I166" s="3095"/>
      <c r="J166" s="3014"/>
      <c r="K166" s="3014"/>
      <c r="L166" s="3094"/>
      <c r="M166" s="3014"/>
      <c r="N166" s="3095">
        <f>SUM(N167:N168)</f>
        <v>97.41</v>
      </c>
      <c r="O166" s="3014"/>
      <c r="P166" s="118"/>
      <c r="Q166" s="1112">
        <f>SUM(Q167:Q168)</f>
        <v>0</v>
      </c>
    </row>
    <row r="167" spans="1:18" ht="42.75" x14ac:dyDescent="0.2">
      <c r="A167" s="3067" t="s">
        <v>3248</v>
      </c>
      <c r="B167" s="3067" t="s">
        <v>3070</v>
      </c>
      <c r="C167" s="3067" t="s">
        <v>3071</v>
      </c>
      <c r="D167" s="3067" t="s">
        <v>5352</v>
      </c>
      <c r="E167" s="3081"/>
      <c r="F167" s="3082"/>
      <c r="G167" s="3073"/>
      <c r="H167" s="3082"/>
      <c r="I167" s="3082"/>
      <c r="J167" s="3692" t="s">
        <v>5971</v>
      </c>
      <c r="K167" s="3693">
        <f>8500*3</f>
        <v>25500</v>
      </c>
      <c r="L167" s="3694">
        <f>K167/100000</f>
        <v>0.255</v>
      </c>
      <c r="M167" s="3070">
        <v>382</v>
      </c>
      <c r="N167" s="3072">
        <f>L167*M167</f>
        <v>97.41</v>
      </c>
      <c r="O167" s="3691" t="s">
        <v>5973</v>
      </c>
      <c r="P167" s="67"/>
      <c r="Q167" s="573"/>
    </row>
    <row r="168" spans="1:18" ht="15.75" x14ac:dyDescent="0.2">
      <c r="A168" s="3067" t="s">
        <v>3249</v>
      </c>
      <c r="B168" s="3067" t="s">
        <v>3072</v>
      </c>
      <c r="C168" s="3067" t="s">
        <v>3073</v>
      </c>
      <c r="D168" s="3067" t="s">
        <v>5352</v>
      </c>
      <c r="E168" s="3084"/>
      <c r="F168" s="3084"/>
      <c r="G168" s="3084"/>
      <c r="H168" s="3084"/>
      <c r="I168" s="3084"/>
      <c r="J168" s="3084"/>
      <c r="K168" s="3070"/>
      <c r="L168" s="3071"/>
      <c r="M168" s="3070"/>
      <c r="N168" s="3072">
        <f>L168*M168</f>
        <v>0</v>
      </c>
      <c r="O168" s="3670"/>
      <c r="P168" s="67"/>
      <c r="Q168" s="573"/>
      <c r="R168" s="2845"/>
    </row>
    <row r="169" spans="1:18" ht="31.5" x14ac:dyDescent="0.2">
      <c r="A169" s="3065" t="s">
        <v>3250</v>
      </c>
      <c r="B169" s="3065"/>
      <c r="C169" s="3065" t="s">
        <v>716</v>
      </c>
      <c r="D169" s="3110" t="s">
        <v>5352</v>
      </c>
      <c r="E169" s="3015"/>
      <c r="F169" s="3015"/>
      <c r="G169" s="3015"/>
      <c r="H169" s="3015"/>
      <c r="I169" s="3015"/>
      <c r="J169" s="3015"/>
      <c r="K169" s="3015"/>
      <c r="L169" s="3066"/>
      <c r="M169" s="3154"/>
      <c r="N169" s="3066">
        <f>L169*M169</f>
        <v>0</v>
      </c>
      <c r="O169" s="3015"/>
      <c r="P169" s="181"/>
      <c r="Q169" s="570"/>
    </row>
    <row r="170" spans="1:18" ht="47.25" x14ac:dyDescent="0.2">
      <c r="A170" s="3065" t="s">
        <v>3251</v>
      </c>
      <c r="B170" s="3065"/>
      <c r="C170" s="3065" t="s">
        <v>718</v>
      </c>
      <c r="D170" s="3110" t="s">
        <v>5352</v>
      </c>
      <c r="E170" s="3015"/>
      <c r="F170" s="3015"/>
      <c r="G170" s="3015"/>
      <c r="H170" s="3015"/>
      <c r="I170" s="3015"/>
      <c r="J170" s="3015"/>
      <c r="K170" s="3015"/>
      <c r="L170" s="3066"/>
      <c r="M170" s="3154"/>
      <c r="N170" s="3066">
        <f>L170*M170</f>
        <v>0</v>
      </c>
      <c r="O170" s="3015"/>
      <c r="P170" s="181"/>
      <c r="Q170" s="570"/>
    </row>
    <row r="171" spans="1:18" ht="31.5" x14ac:dyDescent="0.2">
      <c r="A171" s="3065" t="s">
        <v>3252</v>
      </c>
      <c r="B171" s="3065"/>
      <c r="C171" s="3065" t="s">
        <v>3074</v>
      </c>
      <c r="D171" s="3065"/>
      <c r="E171" s="3015"/>
      <c r="F171" s="3015"/>
      <c r="G171" s="3066"/>
      <c r="H171" s="3066"/>
      <c r="I171" s="3066"/>
      <c r="J171" s="3015"/>
      <c r="K171" s="3015"/>
      <c r="L171" s="3066"/>
      <c r="M171" s="3111"/>
      <c r="N171" s="3066">
        <f>SUM(N172:N173)</f>
        <v>0</v>
      </c>
      <c r="O171" s="3015"/>
      <c r="P171" s="181"/>
      <c r="Q171" s="1836"/>
    </row>
    <row r="172" spans="1:18" ht="63" x14ac:dyDescent="0.2">
      <c r="A172" s="3091" t="s">
        <v>3253</v>
      </c>
      <c r="B172" s="3085"/>
      <c r="C172" s="3068" t="s">
        <v>5325</v>
      </c>
      <c r="D172" s="3068" t="s">
        <v>5349</v>
      </c>
      <c r="E172" s="3086"/>
      <c r="F172" s="3086"/>
      <c r="G172" s="3086"/>
      <c r="H172" s="3086"/>
      <c r="I172" s="3086"/>
      <c r="J172" s="3086"/>
      <c r="K172" s="3070"/>
      <c r="L172" s="3071"/>
      <c r="M172" s="3070"/>
      <c r="N172" s="3072">
        <f>L172*M172</f>
        <v>0</v>
      </c>
      <c r="O172" s="3084"/>
      <c r="P172" s="67"/>
      <c r="Q172" s="573"/>
    </row>
    <row r="173" spans="1:18" ht="15.75" x14ac:dyDescent="0.2">
      <c r="A173" s="3067" t="s">
        <v>3937</v>
      </c>
      <c r="B173" s="3085"/>
      <c r="C173" s="3068" t="s">
        <v>606</v>
      </c>
      <c r="D173" s="3068" t="s">
        <v>3303</v>
      </c>
      <c r="E173" s="3086"/>
      <c r="F173" s="3086"/>
      <c r="G173" s="3086"/>
      <c r="H173" s="3086"/>
      <c r="I173" s="3086"/>
      <c r="J173" s="3083"/>
      <c r="K173" s="3086"/>
      <c r="L173" s="3071"/>
      <c r="M173" s="3070"/>
      <c r="N173" s="3072">
        <f>L173*M173</f>
        <v>0</v>
      </c>
      <c r="O173" s="3015"/>
      <c r="P173" s="3411"/>
      <c r="Q173" s="420">
        <v>662.58925999999997</v>
      </c>
    </row>
    <row r="174" spans="1:18" ht="15.75" x14ac:dyDescent="0.2">
      <c r="A174" s="3063" t="s">
        <v>3254</v>
      </c>
      <c r="B174" s="3063"/>
      <c r="C174" s="3063" t="s">
        <v>52</v>
      </c>
      <c r="D174" s="3063"/>
      <c r="E174" s="3087"/>
      <c r="F174" s="3087"/>
      <c r="G174" s="3064"/>
      <c r="H174" s="3064"/>
      <c r="I174" s="3064"/>
      <c r="J174" s="3087"/>
      <c r="K174" s="3087"/>
      <c r="L174" s="3063"/>
      <c r="M174" s="3087"/>
      <c r="N174" s="3064">
        <f>N175+N178</f>
        <v>0</v>
      </c>
      <c r="O174" s="3087"/>
      <c r="P174" s="117"/>
      <c r="Q174" s="1835">
        <f>Q175+Q178</f>
        <v>0</v>
      </c>
    </row>
    <row r="175" spans="1:18" ht="47.25" x14ac:dyDescent="0.2">
      <c r="A175" s="3065" t="s">
        <v>3255</v>
      </c>
      <c r="B175" s="3065"/>
      <c r="C175" s="3065" t="s">
        <v>22</v>
      </c>
      <c r="D175" s="3065"/>
      <c r="E175" s="3015"/>
      <c r="F175" s="3015"/>
      <c r="G175" s="3066"/>
      <c r="H175" s="3066"/>
      <c r="I175" s="3066"/>
      <c r="J175" s="3015"/>
      <c r="K175" s="3015"/>
      <c r="L175" s="3065"/>
      <c r="M175" s="3015"/>
      <c r="N175" s="3066">
        <f>SUM(N176:N177)</f>
        <v>0</v>
      </c>
      <c r="O175" s="3015"/>
      <c r="P175" s="181"/>
      <c r="Q175" s="1836">
        <f>SUM(Q176:Q177)</f>
        <v>0</v>
      </c>
    </row>
    <row r="176" spans="1:18" ht="31.5" x14ac:dyDescent="0.2">
      <c r="A176" s="3067" t="s">
        <v>3256</v>
      </c>
      <c r="B176" s="3085" t="s">
        <v>3075</v>
      </c>
      <c r="C176" s="3155" t="s">
        <v>3076</v>
      </c>
      <c r="D176" s="3155" t="s">
        <v>5348</v>
      </c>
      <c r="E176" s="3086"/>
      <c r="F176" s="3086"/>
      <c r="G176" s="3086"/>
      <c r="H176" s="3086"/>
      <c r="I176" s="3086"/>
      <c r="J176" s="3086"/>
      <c r="K176" s="3070"/>
      <c r="L176" s="3071"/>
      <c r="M176" s="3070"/>
      <c r="N176" s="3072">
        <f>L176*M176</f>
        <v>0</v>
      </c>
      <c r="O176" s="3084"/>
      <c r="P176" s="67"/>
      <c r="Q176" s="573"/>
    </row>
    <row r="177" spans="1:17" ht="15.75" x14ac:dyDescent="0.2">
      <c r="A177" s="3067" t="s">
        <v>3257</v>
      </c>
      <c r="B177" s="3085"/>
      <c r="C177" s="3155" t="s">
        <v>2977</v>
      </c>
      <c r="D177" s="3155" t="s">
        <v>5348</v>
      </c>
      <c r="E177" s="3086"/>
      <c r="F177" s="3086"/>
      <c r="G177" s="3086"/>
      <c r="H177" s="3086"/>
      <c r="I177" s="3086"/>
      <c r="J177" s="3086"/>
      <c r="K177" s="3086"/>
      <c r="L177" s="3071"/>
      <c r="M177" s="3070"/>
      <c r="N177" s="3072">
        <f>L177*M177</f>
        <v>0</v>
      </c>
      <c r="O177" s="3418"/>
      <c r="P177" s="67"/>
      <c r="Q177" s="573"/>
    </row>
    <row r="178" spans="1:17" ht="15.75" x14ac:dyDescent="0.2">
      <c r="A178" s="3065" t="s">
        <v>3258</v>
      </c>
      <c r="B178" s="3065" t="s">
        <v>3259</v>
      </c>
      <c r="C178" s="3065" t="s">
        <v>5317</v>
      </c>
      <c r="D178" s="3065"/>
      <c r="E178" s="3015"/>
      <c r="F178" s="3015"/>
      <c r="G178" s="3066"/>
      <c r="H178" s="3066"/>
      <c r="I178" s="3066"/>
      <c r="J178" s="3015"/>
      <c r="K178" s="3015"/>
      <c r="L178" s="3065"/>
      <c r="M178" s="3015"/>
      <c r="N178" s="3066">
        <f>SUM(N179:N185)+SUM(N189:N194)</f>
        <v>0</v>
      </c>
      <c r="O178" s="3015"/>
      <c r="P178" s="181"/>
      <c r="Q178" s="1836">
        <f>SUM(Q179:Q185)+SUM(Q189:Q194)</f>
        <v>0</v>
      </c>
    </row>
    <row r="179" spans="1:17" ht="31.5" x14ac:dyDescent="0.2">
      <c r="A179" s="3130" t="s">
        <v>5329</v>
      </c>
      <c r="B179" s="3067" t="s">
        <v>5318</v>
      </c>
      <c r="C179" s="3067" t="s">
        <v>3077</v>
      </c>
      <c r="D179" s="3155" t="s">
        <v>5348</v>
      </c>
      <c r="E179" s="3084"/>
      <c r="F179" s="3084"/>
      <c r="G179" s="3084"/>
      <c r="H179" s="3084"/>
      <c r="I179" s="3084"/>
      <c r="J179" s="3084"/>
      <c r="K179" s="3070"/>
      <c r="L179" s="3071"/>
      <c r="M179" s="3070"/>
      <c r="N179" s="3072">
        <f t="shared" ref="N179:N189" si="5">L179*M179</f>
        <v>0</v>
      </c>
      <c r="O179" s="3418"/>
      <c r="P179" s="67"/>
      <c r="Q179" s="573"/>
    </row>
    <row r="180" spans="1:17" ht="31.5" x14ac:dyDescent="0.2">
      <c r="A180" s="3130" t="s">
        <v>5330</v>
      </c>
      <c r="B180" s="3067" t="s">
        <v>5319</v>
      </c>
      <c r="C180" s="3067" t="s">
        <v>3078</v>
      </c>
      <c r="D180" s="3155" t="s">
        <v>5348</v>
      </c>
      <c r="E180" s="3084"/>
      <c r="F180" s="3084"/>
      <c r="G180" s="3084"/>
      <c r="H180" s="3084"/>
      <c r="I180" s="3084"/>
      <c r="J180" s="3084"/>
      <c r="K180" s="3070"/>
      <c r="L180" s="3071"/>
      <c r="M180" s="3070"/>
      <c r="N180" s="3072">
        <f t="shared" si="5"/>
        <v>0</v>
      </c>
      <c r="O180" s="3418"/>
      <c r="P180" s="67"/>
      <c r="Q180" s="573"/>
    </row>
    <row r="181" spans="1:17" ht="31.5" x14ac:dyDescent="0.2">
      <c r="A181" s="3067" t="s">
        <v>5331</v>
      </c>
      <c r="B181" s="3067" t="s">
        <v>5320</v>
      </c>
      <c r="C181" s="3067" t="s">
        <v>3079</v>
      </c>
      <c r="D181" s="3155" t="s">
        <v>5348</v>
      </c>
      <c r="E181" s="3084"/>
      <c r="F181" s="3084"/>
      <c r="G181" s="3084"/>
      <c r="H181" s="3084"/>
      <c r="I181" s="3084"/>
      <c r="J181" s="3084"/>
      <c r="K181" s="3070"/>
      <c r="L181" s="3071"/>
      <c r="M181" s="3070"/>
      <c r="N181" s="3072">
        <f t="shared" si="5"/>
        <v>0</v>
      </c>
      <c r="O181" s="3418"/>
      <c r="P181" s="67"/>
      <c r="Q181" s="573"/>
    </row>
    <row r="182" spans="1:17" ht="15.75" x14ac:dyDescent="0.2">
      <c r="A182" s="3067" t="s">
        <v>5332</v>
      </c>
      <c r="B182" s="3067" t="s">
        <v>5321</v>
      </c>
      <c r="C182" s="3067" t="s">
        <v>3080</v>
      </c>
      <c r="D182" s="3155" t="s">
        <v>5348</v>
      </c>
      <c r="E182" s="3084"/>
      <c r="F182" s="3084"/>
      <c r="G182" s="3084"/>
      <c r="H182" s="3084"/>
      <c r="I182" s="3084"/>
      <c r="J182" s="3084"/>
      <c r="K182" s="3070"/>
      <c r="L182" s="3071"/>
      <c r="M182" s="3070"/>
      <c r="N182" s="3072">
        <f t="shared" si="5"/>
        <v>0</v>
      </c>
      <c r="O182" s="3084"/>
      <c r="P182" s="67"/>
      <c r="Q182" s="573"/>
    </row>
    <row r="183" spans="1:17" ht="47.25" x14ac:dyDescent="0.2">
      <c r="A183" s="3067" t="s">
        <v>5333</v>
      </c>
      <c r="B183" s="3067" t="s">
        <v>5322</v>
      </c>
      <c r="C183" s="3067" t="s">
        <v>5324</v>
      </c>
      <c r="D183" s="3155" t="s">
        <v>5348</v>
      </c>
      <c r="E183" s="3084"/>
      <c r="F183" s="3084"/>
      <c r="G183" s="3084"/>
      <c r="H183" s="3084"/>
      <c r="I183" s="3084"/>
      <c r="J183" s="3084"/>
      <c r="K183" s="3070"/>
      <c r="L183" s="3071"/>
      <c r="M183" s="3070"/>
      <c r="N183" s="3072">
        <f t="shared" si="5"/>
        <v>0</v>
      </c>
      <c r="O183" s="3084"/>
      <c r="P183" s="67"/>
      <c r="Q183" s="573"/>
    </row>
    <row r="184" spans="1:17" ht="31.5" x14ac:dyDescent="0.2">
      <c r="A184" s="3067" t="s">
        <v>5334</v>
      </c>
      <c r="B184" s="3067" t="s">
        <v>5323</v>
      </c>
      <c r="C184" s="3067" t="s">
        <v>3082</v>
      </c>
      <c r="D184" s="3155" t="s">
        <v>5353</v>
      </c>
      <c r="E184" s="3084"/>
      <c r="F184" s="3084"/>
      <c r="G184" s="3084"/>
      <c r="H184" s="3084"/>
      <c r="I184" s="3084"/>
      <c r="J184" s="3084"/>
      <c r="K184" s="3070"/>
      <c r="L184" s="3071"/>
      <c r="M184" s="3070"/>
      <c r="N184" s="3072">
        <f t="shared" si="5"/>
        <v>0</v>
      </c>
      <c r="O184" s="3084"/>
      <c r="P184" s="67"/>
      <c r="Q184" s="573"/>
    </row>
    <row r="185" spans="1:17" ht="47.25" x14ac:dyDescent="0.2">
      <c r="A185" s="3067" t="s">
        <v>5335</v>
      </c>
      <c r="B185" s="3067" t="s">
        <v>3260</v>
      </c>
      <c r="C185" s="3067" t="s">
        <v>3928</v>
      </c>
      <c r="D185" s="3067"/>
      <c r="E185" s="3084"/>
      <c r="F185" s="3084"/>
      <c r="G185" s="3134"/>
      <c r="H185" s="3134"/>
      <c r="I185" s="3134"/>
      <c r="J185" s="3084"/>
      <c r="K185" s="3084"/>
      <c r="L185" s="3071"/>
      <c r="M185" s="3081"/>
      <c r="N185" s="3134">
        <f>SUM(N186:N188)</f>
        <v>0</v>
      </c>
      <c r="O185" s="3084"/>
      <c r="P185" s="67"/>
      <c r="Q185" s="576">
        <f>SUM(Q186:Q188)</f>
        <v>0</v>
      </c>
    </row>
    <row r="186" spans="1:17" ht="31.5" x14ac:dyDescent="0.2">
      <c r="A186" s="3067" t="s">
        <v>5336</v>
      </c>
      <c r="B186" s="3067" t="s">
        <v>4597</v>
      </c>
      <c r="C186" s="3067" t="s">
        <v>3927</v>
      </c>
      <c r="D186" s="3067" t="s">
        <v>5349</v>
      </c>
      <c r="E186" s="3081"/>
      <c r="F186" s="3084"/>
      <c r="G186" s="3073"/>
      <c r="H186" s="3084"/>
      <c r="I186" s="3084"/>
      <c r="J186" s="3084"/>
      <c r="K186" s="3084"/>
      <c r="L186" s="3071"/>
      <c r="M186" s="3070"/>
      <c r="N186" s="3072">
        <f>L186*M186</f>
        <v>0</v>
      </c>
      <c r="O186" s="3418"/>
      <c r="P186" s="67"/>
      <c r="Q186" s="573"/>
    </row>
    <row r="187" spans="1:17" ht="31.5" x14ac:dyDescent="0.2">
      <c r="A187" s="3067" t="s">
        <v>5337</v>
      </c>
      <c r="B187" s="3067" t="s">
        <v>4598</v>
      </c>
      <c r="C187" s="3067" t="s">
        <v>4407</v>
      </c>
      <c r="D187" s="3067" t="s">
        <v>5349</v>
      </c>
      <c r="E187" s="3084"/>
      <c r="F187" s="3084"/>
      <c r="G187" s="3084"/>
      <c r="H187" s="3084"/>
      <c r="I187" s="3084"/>
      <c r="J187" s="3084"/>
      <c r="K187" s="3070"/>
      <c r="L187" s="3071"/>
      <c r="M187" s="3070"/>
      <c r="N187" s="3072">
        <f>L187*M187</f>
        <v>0</v>
      </c>
      <c r="O187" s="3084"/>
      <c r="P187" s="67"/>
      <c r="Q187" s="573"/>
    </row>
    <row r="188" spans="1:17" ht="31.5" x14ac:dyDescent="0.2">
      <c r="A188" s="3067" t="s">
        <v>5338</v>
      </c>
      <c r="B188" s="3067" t="s">
        <v>4599</v>
      </c>
      <c r="C188" s="3067" t="s">
        <v>5326</v>
      </c>
      <c r="D188" s="3067" t="s">
        <v>5349</v>
      </c>
      <c r="E188" s="3084"/>
      <c r="F188" s="3084"/>
      <c r="G188" s="3084"/>
      <c r="H188" s="3084"/>
      <c r="I188" s="3084"/>
      <c r="J188" s="3084"/>
      <c r="K188" s="3070"/>
      <c r="L188" s="3071"/>
      <c r="M188" s="3070"/>
      <c r="N188" s="3072">
        <f>L188*M188</f>
        <v>0</v>
      </c>
      <c r="O188" s="3084"/>
      <c r="P188" s="67"/>
      <c r="Q188" s="573"/>
    </row>
    <row r="189" spans="1:17" ht="31.5" x14ac:dyDescent="0.2">
      <c r="A189" s="3067" t="s">
        <v>5339</v>
      </c>
      <c r="B189" s="3067" t="s">
        <v>5328</v>
      </c>
      <c r="C189" s="3067" t="s">
        <v>5327</v>
      </c>
      <c r="D189" s="3067" t="s">
        <v>5349</v>
      </c>
      <c r="E189" s="3084"/>
      <c r="F189" s="3084"/>
      <c r="G189" s="3084"/>
      <c r="H189" s="3084"/>
      <c r="I189" s="3084"/>
      <c r="J189" s="3084"/>
      <c r="K189" s="3070"/>
      <c r="L189" s="3071"/>
      <c r="M189" s="3070"/>
      <c r="N189" s="3072">
        <f t="shared" si="5"/>
        <v>0</v>
      </c>
      <c r="O189" s="3084"/>
      <c r="P189" s="67"/>
      <c r="Q189" s="573"/>
    </row>
    <row r="190" spans="1:17" ht="15.75" x14ac:dyDescent="0.2">
      <c r="A190" s="3067" t="s">
        <v>5340</v>
      </c>
      <c r="B190" s="3067" t="s">
        <v>4600</v>
      </c>
      <c r="C190" s="3091" t="s">
        <v>3081</v>
      </c>
      <c r="D190" s="3091" t="s">
        <v>4730</v>
      </c>
      <c r="E190" s="3081"/>
      <c r="F190" s="3084"/>
      <c r="G190" s="3073"/>
      <c r="H190" s="3084"/>
      <c r="I190" s="3084"/>
      <c r="J190" s="3084"/>
      <c r="K190" s="3084"/>
      <c r="L190" s="3071"/>
      <c r="M190" s="3081"/>
      <c r="N190" s="3072">
        <f>L190*M190</f>
        <v>0</v>
      </c>
      <c r="O190" s="3144"/>
      <c r="P190" s="67"/>
      <c r="Q190" s="573"/>
    </row>
    <row r="191" spans="1:17" ht="15.75" x14ac:dyDescent="0.2">
      <c r="A191" s="3067" t="s">
        <v>5341</v>
      </c>
      <c r="B191" s="3067" t="s">
        <v>4601</v>
      </c>
      <c r="C191" s="3067" t="s">
        <v>4053</v>
      </c>
      <c r="D191" s="3091" t="s">
        <v>4730</v>
      </c>
      <c r="E191" s="3081"/>
      <c r="F191" s="3084"/>
      <c r="G191" s="3073"/>
      <c r="H191" s="3084"/>
      <c r="I191" s="3084"/>
      <c r="J191" s="3084"/>
      <c r="K191" s="3084"/>
      <c r="L191" s="3071"/>
      <c r="M191" s="3081"/>
      <c r="N191" s="3072">
        <f>L191*M191</f>
        <v>0</v>
      </c>
      <c r="O191" s="3418"/>
      <c r="P191" s="67"/>
      <c r="Q191" s="573"/>
    </row>
    <row r="192" spans="1:17" ht="31.5" x14ac:dyDescent="0.2">
      <c r="A192" s="3067" t="s">
        <v>5342</v>
      </c>
      <c r="B192" s="3067" t="s">
        <v>4602</v>
      </c>
      <c r="C192" s="3067" t="s">
        <v>4054</v>
      </c>
      <c r="D192" s="3091" t="s">
        <v>4730</v>
      </c>
      <c r="E192" s="3081"/>
      <c r="F192" s="3084"/>
      <c r="G192" s="3073"/>
      <c r="H192" s="3084"/>
      <c r="I192" s="3084"/>
      <c r="J192" s="3084"/>
      <c r="K192" s="3084"/>
      <c r="L192" s="3071"/>
      <c r="M192" s="3081"/>
      <c r="N192" s="3072">
        <f>L192*M192</f>
        <v>0</v>
      </c>
      <c r="O192" s="3418"/>
      <c r="P192" s="67"/>
      <c r="Q192" s="573"/>
    </row>
    <row r="193" spans="1:17" ht="15.75" x14ac:dyDescent="0.2">
      <c r="A193" s="3067" t="s">
        <v>5343</v>
      </c>
      <c r="B193" s="3067" t="s">
        <v>4604</v>
      </c>
      <c r="C193" s="3067" t="s">
        <v>4055</v>
      </c>
      <c r="D193" s="3091" t="s">
        <v>4730</v>
      </c>
      <c r="E193" s="3084"/>
      <c r="F193" s="3084"/>
      <c r="G193" s="3084"/>
      <c r="H193" s="3084"/>
      <c r="I193" s="3084"/>
      <c r="J193" s="3084"/>
      <c r="K193" s="3070"/>
      <c r="L193" s="3071"/>
      <c r="M193" s="3070"/>
      <c r="N193" s="3072">
        <f>L193*M193</f>
        <v>0</v>
      </c>
      <c r="O193" s="3084"/>
      <c r="P193" s="67"/>
      <c r="Q193" s="573"/>
    </row>
    <row r="194" spans="1:17" ht="15.75" x14ac:dyDescent="0.2">
      <c r="A194" s="3067" t="s">
        <v>5344</v>
      </c>
      <c r="B194" s="3067" t="s">
        <v>4603</v>
      </c>
      <c r="C194" s="3067" t="s">
        <v>4052</v>
      </c>
      <c r="D194" s="3091" t="s">
        <v>3303</v>
      </c>
      <c r="E194" s="3084"/>
      <c r="F194" s="3084"/>
      <c r="G194" s="3084"/>
      <c r="H194" s="3084"/>
      <c r="I194" s="3084"/>
      <c r="J194" s="3084"/>
      <c r="K194" s="3070"/>
      <c r="L194" s="3071"/>
      <c r="M194" s="3070"/>
      <c r="N194" s="3072">
        <f>L194*M194</f>
        <v>0</v>
      </c>
      <c r="O194" s="3084"/>
      <c r="P194" s="67"/>
      <c r="Q194" s="573"/>
    </row>
    <row r="195" spans="1:17" ht="31.5" x14ac:dyDescent="0.2">
      <c r="A195" s="3063" t="s">
        <v>3261</v>
      </c>
      <c r="B195" s="3063"/>
      <c r="C195" s="3063" t="s">
        <v>23</v>
      </c>
      <c r="D195" s="3063"/>
      <c r="E195" s="3087"/>
      <c r="F195" s="3087"/>
      <c r="G195" s="3064"/>
      <c r="H195" s="3064"/>
      <c r="I195" s="3064"/>
      <c r="J195" s="3087"/>
      <c r="K195" s="3087"/>
      <c r="L195" s="3063"/>
      <c r="M195" s="3087"/>
      <c r="N195" s="3064">
        <f>N196+N199</f>
        <v>0</v>
      </c>
      <c r="O195" s="3087"/>
      <c r="P195" s="117"/>
      <c r="Q195" s="569">
        <f>Q196+Q199</f>
        <v>0</v>
      </c>
    </row>
    <row r="196" spans="1:17" ht="15.75" x14ac:dyDescent="0.2">
      <c r="A196" s="3065" t="s">
        <v>3262</v>
      </c>
      <c r="B196" s="3065"/>
      <c r="C196" s="3065" t="s">
        <v>24</v>
      </c>
      <c r="D196" s="3065"/>
      <c r="E196" s="3015"/>
      <c r="F196" s="3015"/>
      <c r="G196" s="3066"/>
      <c r="H196" s="3066"/>
      <c r="I196" s="3066"/>
      <c r="J196" s="3015"/>
      <c r="K196" s="3015"/>
      <c r="L196" s="3065"/>
      <c r="M196" s="3015"/>
      <c r="N196" s="3066">
        <f>SUM(N197:N198)</f>
        <v>0</v>
      </c>
      <c r="O196" s="3015"/>
      <c r="P196" s="181"/>
      <c r="Q196" s="570">
        <f>SUM(Q197:Q198)</f>
        <v>0</v>
      </c>
    </row>
    <row r="197" spans="1:17" ht="31.5" x14ac:dyDescent="0.2">
      <c r="A197" s="3067" t="s">
        <v>3263</v>
      </c>
      <c r="B197" s="3157"/>
      <c r="C197" s="3101" t="s">
        <v>1170</v>
      </c>
      <c r="D197" s="3101" t="s">
        <v>118</v>
      </c>
      <c r="E197" s="3158"/>
      <c r="F197" s="3158"/>
      <c r="G197" s="3158"/>
      <c r="H197" s="3158"/>
      <c r="I197" s="3158"/>
      <c r="J197" s="3158"/>
      <c r="K197" s="3070"/>
      <c r="L197" s="3071"/>
      <c r="M197" s="3070"/>
      <c r="N197" s="3072">
        <f>L197*M197</f>
        <v>0</v>
      </c>
      <c r="O197" s="3159"/>
      <c r="P197" s="191"/>
      <c r="Q197" s="573"/>
    </row>
    <row r="198" spans="1:17" ht="15.75" x14ac:dyDescent="0.2">
      <c r="A198" s="3067" t="s">
        <v>3264</v>
      </c>
      <c r="B198" s="3157"/>
      <c r="C198" s="3101" t="s">
        <v>1171</v>
      </c>
      <c r="D198" s="3101" t="s">
        <v>131</v>
      </c>
      <c r="E198" s="3158"/>
      <c r="F198" s="3158"/>
      <c r="G198" s="3158"/>
      <c r="H198" s="3158"/>
      <c r="I198" s="3158"/>
      <c r="J198" s="3158"/>
      <c r="K198" s="3070"/>
      <c r="L198" s="3071"/>
      <c r="M198" s="3070"/>
      <c r="N198" s="3072">
        <f>L198*M198</f>
        <v>0</v>
      </c>
      <c r="O198" s="3159"/>
      <c r="P198" s="191"/>
      <c r="Q198" s="573"/>
    </row>
    <row r="199" spans="1:17" ht="15.75" x14ac:dyDescent="0.2">
      <c r="A199" s="3065" t="s">
        <v>3265</v>
      </c>
      <c r="B199" s="3065"/>
      <c r="C199" s="3065" t="s">
        <v>25</v>
      </c>
      <c r="D199" s="3065"/>
      <c r="E199" s="3015"/>
      <c r="F199" s="3015"/>
      <c r="G199" s="3066"/>
      <c r="H199" s="3066"/>
      <c r="I199" s="3066"/>
      <c r="J199" s="3015"/>
      <c r="K199" s="3015"/>
      <c r="L199" s="3065"/>
      <c r="M199" s="3015"/>
      <c r="N199" s="3066">
        <f>N200+N201</f>
        <v>0</v>
      </c>
      <c r="O199" s="3015"/>
      <c r="P199" s="181"/>
      <c r="Q199" s="570">
        <f>Q200+Q201</f>
        <v>0</v>
      </c>
    </row>
    <row r="200" spans="1:17" ht="15.75" x14ac:dyDescent="0.2">
      <c r="A200" s="3067" t="s">
        <v>3266</v>
      </c>
      <c r="B200" s="3067" t="s">
        <v>3083</v>
      </c>
      <c r="C200" s="3067" t="s">
        <v>3084</v>
      </c>
      <c r="D200" s="3067" t="s">
        <v>3303</v>
      </c>
      <c r="E200" s="3084"/>
      <c r="F200" s="3084"/>
      <c r="G200" s="3084"/>
      <c r="H200" s="3084"/>
      <c r="I200" s="3084"/>
      <c r="J200" s="3086"/>
      <c r="K200" s="3084"/>
      <c r="L200" s="3071"/>
      <c r="M200" s="3070"/>
      <c r="N200" s="3072">
        <f>L200*M200</f>
        <v>0</v>
      </c>
      <c r="O200" s="3418"/>
      <c r="P200" s="67"/>
      <c r="Q200" s="573"/>
    </row>
    <row r="201" spans="1:17" ht="15.75" x14ac:dyDescent="0.2">
      <c r="A201" s="3067" t="s">
        <v>3267</v>
      </c>
      <c r="B201" s="3067" t="s">
        <v>3267</v>
      </c>
      <c r="C201" s="3067" t="s">
        <v>307</v>
      </c>
      <c r="D201" s="3067" t="s">
        <v>3303</v>
      </c>
      <c r="E201" s="3084"/>
      <c r="F201" s="3084"/>
      <c r="G201" s="3084"/>
      <c r="H201" s="3084"/>
      <c r="I201" s="3084"/>
      <c r="J201" s="3084"/>
      <c r="K201" s="3070"/>
      <c r="L201" s="3071"/>
      <c r="M201" s="3070"/>
      <c r="N201" s="3072">
        <f>L201*M201</f>
        <v>0</v>
      </c>
      <c r="O201" s="3084"/>
      <c r="P201" s="67"/>
      <c r="Q201" s="573"/>
    </row>
    <row r="202" spans="1:17" ht="15.75" x14ac:dyDescent="0.2">
      <c r="A202" s="3075" t="s">
        <v>3268</v>
      </c>
      <c r="B202" s="3076" t="s">
        <v>3268</v>
      </c>
      <c r="C202" s="3077" t="s">
        <v>26</v>
      </c>
      <c r="D202" s="3077"/>
      <c r="E202" s="3160"/>
      <c r="F202" s="3160"/>
      <c r="G202" s="3160"/>
      <c r="H202" s="3160"/>
      <c r="I202" s="3160"/>
      <c r="J202" s="3160"/>
      <c r="K202" s="3160"/>
      <c r="L202" s="3161"/>
      <c r="M202" s="3162"/>
      <c r="N202" s="3161"/>
      <c r="O202" s="3163"/>
      <c r="P202" s="1847" t="s">
        <v>5306</v>
      </c>
      <c r="Q202" s="1848"/>
    </row>
    <row r="203" spans="1:17" ht="15.75" x14ac:dyDescent="0.2">
      <c r="A203" s="3075" t="s">
        <v>3269</v>
      </c>
      <c r="B203" s="3076" t="s">
        <v>3269</v>
      </c>
      <c r="C203" s="3077" t="s">
        <v>27</v>
      </c>
      <c r="D203" s="3077"/>
      <c r="E203" s="3160"/>
      <c r="F203" s="3160"/>
      <c r="G203" s="3160"/>
      <c r="H203" s="3160"/>
      <c r="I203" s="3160"/>
      <c r="J203" s="3160"/>
      <c r="K203" s="3160"/>
      <c r="L203" s="3161"/>
      <c r="M203" s="3162"/>
      <c r="N203" s="3161"/>
      <c r="O203" s="3163"/>
      <c r="P203" s="1847" t="s">
        <v>5306</v>
      </c>
      <c r="Q203" s="1848"/>
    </row>
    <row r="204" spans="1:17" ht="15.75" x14ac:dyDescent="0.2">
      <c r="A204" s="3063" t="s">
        <v>3270</v>
      </c>
      <c r="B204" s="3063"/>
      <c r="C204" s="3063" t="s">
        <v>28</v>
      </c>
      <c r="D204" s="3063"/>
      <c r="E204" s="3087"/>
      <c r="F204" s="3087"/>
      <c r="G204" s="3064"/>
      <c r="H204" s="3064"/>
      <c r="I204" s="3064"/>
      <c r="J204" s="3087"/>
      <c r="K204" s="3087"/>
      <c r="L204" s="3063"/>
      <c r="M204" s="3087"/>
      <c r="N204" s="3064">
        <f>SUM(N205:N206)</f>
        <v>0</v>
      </c>
      <c r="O204" s="3087"/>
      <c r="P204" s="117"/>
      <c r="Q204" s="569">
        <f>SUM(Q205:Q206)</f>
        <v>0</v>
      </c>
    </row>
    <row r="205" spans="1:17" ht="31.5" x14ac:dyDescent="0.2">
      <c r="A205" s="3067" t="s">
        <v>3271</v>
      </c>
      <c r="B205" s="3067" t="s">
        <v>3087</v>
      </c>
      <c r="C205" s="3067" t="s">
        <v>5345</v>
      </c>
      <c r="D205" s="3067" t="s">
        <v>3303</v>
      </c>
      <c r="E205" s="3084"/>
      <c r="F205" s="3084"/>
      <c r="G205" s="3084"/>
      <c r="H205" s="3084"/>
      <c r="I205" s="3084"/>
      <c r="J205" s="3084"/>
      <c r="K205" s="3070"/>
      <c r="L205" s="3071"/>
      <c r="M205" s="3070"/>
      <c r="N205" s="3072">
        <f>L205*M205</f>
        <v>0</v>
      </c>
      <c r="O205" s="3084"/>
      <c r="P205" s="67"/>
      <c r="Q205" s="573"/>
    </row>
    <row r="206" spans="1:17" ht="31.5" x14ac:dyDescent="0.2">
      <c r="A206" s="3067" t="s">
        <v>3272</v>
      </c>
      <c r="B206" s="3067" t="s">
        <v>3273</v>
      </c>
      <c r="C206" s="3068" t="s">
        <v>3939</v>
      </c>
      <c r="D206" s="3068" t="s">
        <v>5349</v>
      </c>
      <c r="E206" s="3081"/>
      <c r="F206" s="3166"/>
      <c r="G206" s="3073"/>
      <c r="H206" s="3166"/>
      <c r="I206" s="3166"/>
      <c r="J206" s="3086"/>
      <c r="K206" s="3086"/>
      <c r="L206" s="3071"/>
      <c r="M206" s="3070"/>
      <c r="N206" s="3072">
        <f>L206*M206</f>
        <v>0</v>
      </c>
      <c r="O206" s="3418"/>
      <c r="P206" s="119"/>
      <c r="Q206" s="573"/>
    </row>
    <row r="207" spans="1:17" ht="15.75" x14ac:dyDescent="0.2">
      <c r="A207" s="3063" t="s">
        <v>3274</v>
      </c>
      <c r="B207" s="3063"/>
      <c r="C207" s="3063" t="s">
        <v>29</v>
      </c>
      <c r="D207" s="3063"/>
      <c r="E207" s="3087"/>
      <c r="F207" s="3087"/>
      <c r="G207" s="3064"/>
      <c r="H207" s="3064"/>
      <c r="I207" s="3064"/>
      <c r="J207" s="3087"/>
      <c r="K207" s="3087"/>
      <c r="L207" s="3063"/>
      <c r="M207" s="3087"/>
      <c r="N207" s="3064">
        <f>SUM(N208:N209)</f>
        <v>0</v>
      </c>
      <c r="O207" s="3087"/>
      <c r="P207" s="117"/>
      <c r="Q207" s="569">
        <f>SUM(Q208:Q209)</f>
        <v>0</v>
      </c>
    </row>
    <row r="208" spans="1:17" ht="15.75" x14ac:dyDescent="0.2">
      <c r="A208" s="3067" t="s">
        <v>3275</v>
      </c>
      <c r="B208" s="3112"/>
      <c r="C208" s="3068" t="s">
        <v>3088</v>
      </c>
      <c r="D208" s="3068" t="s">
        <v>3303</v>
      </c>
      <c r="E208" s="3081"/>
      <c r="F208" s="3167"/>
      <c r="G208" s="3073"/>
      <c r="H208" s="3167"/>
      <c r="I208" s="3167"/>
      <c r="J208" s="3089"/>
      <c r="K208" s="3089"/>
      <c r="L208" s="3071"/>
      <c r="M208" s="3070"/>
      <c r="N208" s="3072">
        <f>L208*M208</f>
        <v>0</v>
      </c>
      <c r="O208" s="3418"/>
      <c r="P208" s="119"/>
      <c r="Q208" s="573"/>
    </row>
    <row r="209" spans="1:17" ht="15.75" x14ac:dyDescent="0.2">
      <c r="A209" s="3067" t="s">
        <v>3938</v>
      </c>
      <c r="B209" s="3112"/>
      <c r="C209" s="3068" t="s">
        <v>2870</v>
      </c>
      <c r="D209" s="3068" t="s">
        <v>5349</v>
      </c>
      <c r="E209" s="3166"/>
      <c r="F209" s="3166"/>
      <c r="G209" s="3166"/>
      <c r="H209" s="3166"/>
      <c r="I209" s="3166"/>
      <c r="J209" s="3166"/>
      <c r="K209" s="3070"/>
      <c r="L209" s="3071"/>
      <c r="M209" s="3070"/>
      <c r="N209" s="3072">
        <f>L209*M209</f>
        <v>0</v>
      </c>
      <c r="O209" s="3121"/>
      <c r="P209" s="119"/>
      <c r="Q209" s="573"/>
    </row>
    <row r="210" spans="1:17" ht="15.75" x14ac:dyDescent="0.2">
      <c r="A210" s="3063" t="s">
        <v>3276</v>
      </c>
      <c r="B210" s="3063"/>
      <c r="C210" s="3063" t="s">
        <v>30</v>
      </c>
      <c r="D210" s="3063"/>
      <c r="E210" s="3087"/>
      <c r="F210" s="3087"/>
      <c r="G210" s="3064"/>
      <c r="H210" s="3064"/>
      <c r="I210" s="3064"/>
      <c r="J210" s="3087"/>
      <c r="K210" s="3087"/>
      <c r="L210" s="3063"/>
      <c r="M210" s="3087"/>
      <c r="N210" s="3064">
        <f>N211+N216+N222</f>
        <v>0</v>
      </c>
      <c r="O210" s="3087"/>
      <c r="P210" s="117"/>
      <c r="Q210" s="569">
        <f>Q211+Q216+Q222</f>
        <v>0</v>
      </c>
    </row>
    <row r="211" spans="1:17" ht="15.75" x14ac:dyDescent="0.2">
      <c r="A211" s="3065" t="s">
        <v>3277</v>
      </c>
      <c r="B211" s="3065"/>
      <c r="C211" s="3065" t="s">
        <v>30</v>
      </c>
      <c r="D211" s="3065"/>
      <c r="E211" s="3015"/>
      <c r="F211" s="3015"/>
      <c r="G211" s="3066"/>
      <c r="H211" s="3066"/>
      <c r="I211" s="3066"/>
      <c r="J211" s="3015"/>
      <c r="K211" s="3015"/>
      <c r="L211" s="3065"/>
      <c r="M211" s="3015"/>
      <c r="N211" s="3066">
        <f>SUM(N212:N215)</f>
        <v>0</v>
      </c>
      <c r="O211" s="3015"/>
      <c r="P211" s="181"/>
      <c r="Q211" s="570">
        <f>SUM(Q212:Q215)</f>
        <v>0</v>
      </c>
    </row>
    <row r="212" spans="1:17" ht="31.5" x14ac:dyDescent="0.2">
      <c r="A212" s="3067" t="s">
        <v>3278</v>
      </c>
      <c r="B212" s="3085"/>
      <c r="C212" s="3068" t="s">
        <v>4056</v>
      </c>
      <c r="D212" s="3068" t="s">
        <v>4730</v>
      </c>
      <c r="E212" s="3081"/>
      <c r="F212" s="3086"/>
      <c r="G212" s="3073"/>
      <c r="H212" s="3086"/>
      <c r="I212" s="3086"/>
      <c r="J212" s="3086"/>
      <c r="K212" s="3086"/>
      <c r="L212" s="3071"/>
      <c r="M212" s="3081"/>
      <c r="N212" s="3072">
        <f>L212*M212</f>
        <v>0</v>
      </c>
      <c r="O212" s="3418"/>
      <c r="P212" s="67"/>
      <c r="Q212" s="573"/>
    </row>
    <row r="213" spans="1:17" ht="31.5" x14ac:dyDescent="0.2">
      <c r="A213" s="3067" t="s">
        <v>4058</v>
      </c>
      <c r="B213" s="3085"/>
      <c r="C213" s="3068" t="s">
        <v>4617</v>
      </c>
      <c r="D213" s="3068" t="s">
        <v>4730</v>
      </c>
      <c r="E213" s="3081"/>
      <c r="F213" s="3086"/>
      <c r="G213" s="3073"/>
      <c r="H213" s="3086"/>
      <c r="I213" s="3086"/>
      <c r="J213" s="3086"/>
      <c r="K213" s="3086"/>
      <c r="L213" s="3071"/>
      <c r="M213" s="3081"/>
      <c r="N213" s="3072">
        <f>L213*M213</f>
        <v>0</v>
      </c>
      <c r="O213" s="3418"/>
      <c r="P213" s="67"/>
      <c r="Q213" s="573"/>
    </row>
    <row r="214" spans="1:17" ht="15.75" x14ac:dyDescent="0.2">
      <c r="A214" s="3067" t="s">
        <v>4059</v>
      </c>
      <c r="B214" s="3085"/>
      <c r="C214" s="3068" t="s">
        <v>4057</v>
      </c>
      <c r="D214" s="3068" t="s">
        <v>4730</v>
      </c>
      <c r="E214" s="3081"/>
      <c r="F214" s="3086"/>
      <c r="G214" s="3073"/>
      <c r="H214" s="3086"/>
      <c r="I214" s="3086"/>
      <c r="J214" s="3086"/>
      <c r="K214" s="3086"/>
      <c r="L214" s="3071"/>
      <c r="M214" s="3081"/>
      <c r="N214" s="3072">
        <f>L214*M214</f>
        <v>0</v>
      </c>
      <c r="O214" s="3418"/>
      <c r="P214" s="67"/>
      <c r="Q214" s="573"/>
    </row>
    <row r="215" spans="1:17" ht="47.25" x14ac:dyDescent="0.2">
      <c r="A215" s="3067" t="s">
        <v>4060</v>
      </c>
      <c r="B215" s="3085"/>
      <c r="C215" s="3068" t="s">
        <v>1243</v>
      </c>
      <c r="D215" s="3068" t="s">
        <v>4730</v>
      </c>
      <c r="E215" s="3081"/>
      <c r="F215" s="3086"/>
      <c r="G215" s="3073"/>
      <c r="H215" s="3086"/>
      <c r="I215" s="3086"/>
      <c r="J215" s="3086"/>
      <c r="K215" s="3086"/>
      <c r="L215" s="3071"/>
      <c r="M215" s="3081"/>
      <c r="N215" s="3072">
        <f>L215*M215</f>
        <v>0</v>
      </c>
      <c r="O215" s="3418"/>
      <c r="P215" s="67"/>
      <c r="Q215" s="573"/>
    </row>
    <row r="216" spans="1:17" ht="15.75" x14ac:dyDescent="0.2">
      <c r="A216" s="3065" t="s">
        <v>3279</v>
      </c>
      <c r="B216" s="3065"/>
      <c r="C216" s="3065" t="s">
        <v>31</v>
      </c>
      <c r="D216" s="3065"/>
      <c r="E216" s="3015"/>
      <c r="F216" s="3111"/>
      <c r="G216" s="3111"/>
      <c r="H216" s="3111"/>
      <c r="I216" s="3111"/>
      <c r="J216" s="3015"/>
      <c r="K216" s="3015"/>
      <c r="L216" s="3065"/>
      <c r="M216" s="3015"/>
      <c r="N216" s="3066">
        <f>SUM(N217:N221)</f>
        <v>0</v>
      </c>
      <c r="O216" s="181"/>
      <c r="P216" s="181"/>
      <c r="Q216" s="570">
        <f>SUM(Q217:Q221)</f>
        <v>0</v>
      </c>
    </row>
    <row r="217" spans="1:17" ht="15.75" x14ac:dyDescent="0.2">
      <c r="A217" s="3067" t="s">
        <v>3280</v>
      </c>
      <c r="B217" s="3085"/>
      <c r="C217" s="3168" t="s">
        <v>1252</v>
      </c>
      <c r="D217" s="3068" t="s">
        <v>4730</v>
      </c>
      <c r="E217" s="3081"/>
      <c r="F217" s="3086"/>
      <c r="G217" s="3073"/>
      <c r="H217" s="3086"/>
      <c r="I217" s="3086"/>
      <c r="J217" s="3086"/>
      <c r="K217" s="3086"/>
      <c r="L217" s="3071"/>
      <c r="M217" s="3081"/>
      <c r="N217" s="3072">
        <f t="shared" ref="N217:N222" si="6">L217*M217</f>
        <v>0</v>
      </c>
      <c r="O217" s="3418"/>
      <c r="P217" s="67"/>
      <c r="Q217" s="573"/>
    </row>
    <row r="218" spans="1:17" ht="15.75" x14ac:dyDescent="0.2">
      <c r="A218" s="3067" t="s">
        <v>3281</v>
      </c>
      <c r="B218" s="3085"/>
      <c r="C218" s="3169" t="s">
        <v>4061</v>
      </c>
      <c r="D218" s="3068" t="s">
        <v>4730</v>
      </c>
      <c r="E218" s="3081"/>
      <c r="F218" s="3086"/>
      <c r="G218" s="3073"/>
      <c r="H218" s="3086"/>
      <c r="I218" s="3086"/>
      <c r="J218" s="3086"/>
      <c r="K218" s="3086"/>
      <c r="L218" s="3071"/>
      <c r="M218" s="3081"/>
      <c r="N218" s="3072">
        <f t="shared" si="6"/>
        <v>0</v>
      </c>
      <c r="O218" s="3418"/>
      <c r="P218" s="67"/>
      <c r="Q218" s="573"/>
    </row>
    <row r="219" spans="1:17" ht="31.5" x14ac:dyDescent="0.2">
      <c r="A219" s="3067" t="s">
        <v>4063</v>
      </c>
      <c r="B219" s="3085"/>
      <c r="C219" s="3170" t="s">
        <v>1255</v>
      </c>
      <c r="D219" s="3068" t="s">
        <v>4730</v>
      </c>
      <c r="E219" s="3081"/>
      <c r="F219" s="3086"/>
      <c r="G219" s="3073"/>
      <c r="H219" s="3086"/>
      <c r="I219" s="3086"/>
      <c r="J219" s="3086"/>
      <c r="K219" s="3086"/>
      <c r="L219" s="3071"/>
      <c r="M219" s="3081"/>
      <c r="N219" s="3072">
        <f t="shared" si="6"/>
        <v>0</v>
      </c>
      <c r="O219" s="3418"/>
      <c r="P219" s="67"/>
      <c r="Q219" s="573"/>
    </row>
    <row r="220" spans="1:17" ht="31.5" x14ac:dyDescent="0.2">
      <c r="A220" s="3067" t="s">
        <v>4064</v>
      </c>
      <c r="B220" s="3085"/>
      <c r="C220" s="3169" t="s">
        <v>4062</v>
      </c>
      <c r="D220" s="3068" t="s">
        <v>4730</v>
      </c>
      <c r="E220" s="3081"/>
      <c r="F220" s="3086"/>
      <c r="G220" s="3073"/>
      <c r="H220" s="3086"/>
      <c r="I220" s="3086"/>
      <c r="J220" s="3086"/>
      <c r="K220" s="3086"/>
      <c r="L220" s="3071"/>
      <c r="M220" s="3081"/>
      <c r="N220" s="3072">
        <f t="shared" si="6"/>
        <v>0</v>
      </c>
      <c r="O220" s="3418"/>
      <c r="P220" s="67"/>
      <c r="Q220" s="573"/>
    </row>
    <row r="221" spans="1:17" ht="15.75" x14ac:dyDescent="0.2">
      <c r="A221" s="3067" t="s">
        <v>4065</v>
      </c>
      <c r="B221" s="3085"/>
      <c r="C221" s="3169" t="s">
        <v>1261</v>
      </c>
      <c r="D221" s="3068" t="s">
        <v>4730</v>
      </c>
      <c r="E221" s="3081"/>
      <c r="F221" s="3086"/>
      <c r="G221" s="3073"/>
      <c r="H221" s="3086"/>
      <c r="I221" s="3086"/>
      <c r="J221" s="3086"/>
      <c r="K221" s="3086"/>
      <c r="L221" s="3071"/>
      <c r="M221" s="3081"/>
      <c r="N221" s="3072">
        <f t="shared" si="6"/>
        <v>0</v>
      </c>
      <c r="O221" s="3670"/>
      <c r="P221" s="67"/>
      <c r="Q221" s="573"/>
    </row>
    <row r="222" spans="1:17" ht="15.75" x14ac:dyDescent="0.2">
      <c r="A222" s="3065" t="s">
        <v>3282</v>
      </c>
      <c r="B222" s="3065"/>
      <c r="C222" s="3065" t="s">
        <v>2977</v>
      </c>
      <c r="D222" s="3065"/>
      <c r="E222" s="3015"/>
      <c r="F222" s="3015"/>
      <c r="G222" s="3074"/>
      <c r="H222" s="3074"/>
      <c r="I222" s="3074"/>
      <c r="J222" s="3015"/>
      <c r="K222" s="3171"/>
      <c r="L222" s="3074"/>
      <c r="M222" s="3172"/>
      <c r="N222" s="3074">
        <f t="shared" si="6"/>
        <v>0</v>
      </c>
      <c r="O222" s="3015"/>
      <c r="P222" s="181"/>
      <c r="Q222" s="420"/>
    </row>
    <row r="223" spans="1:17" ht="15.75" x14ac:dyDescent="0.2">
      <c r="A223" s="3063" t="s">
        <v>3283</v>
      </c>
      <c r="B223" s="3063"/>
      <c r="C223" s="3063" t="s">
        <v>3089</v>
      </c>
      <c r="D223" s="3063"/>
      <c r="E223" s="3087"/>
      <c r="F223" s="3087"/>
      <c r="G223" s="3064"/>
      <c r="H223" s="3064"/>
      <c r="I223" s="3064"/>
      <c r="J223" s="3087"/>
      <c r="K223" s="3087"/>
      <c r="L223" s="3063"/>
      <c r="M223" s="3087"/>
      <c r="N223" s="3064">
        <f>N225</f>
        <v>0</v>
      </c>
      <c r="O223" s="3087"/>
      <c r="P223" s="117"/>
      <c r="Q223" s="569">
        <f>Q225</f>
        <v>0</v>
      </c>
    </row>
    <row r="224" spans="1:17" ht="47.25" x14ac:dyDescent="0.2">
      <c r="A224" s="3075" t="s">
        <v>3284</v>
      </c>
      <c r="B224" s="3157"/>
      <c r="C224" s="3077" t="s">
        <v>3090</v>
      </c>
      <c r="D224" s="3077"/>
      <c r="E224" s="3160"/>
      <c r="F224" s="3160"/>
      <c r="G224" s="3160"/>
      <c r="H224" s="3160"/>
      <c r="I224" s="3160"/>
      <c r="J224" s="3160"/>
      <c r="K224" s="3160"/>
      <c r="L224" s="3161"/>
      <c r="M224" s="3162"/>
      <c r="N224" s="3161"/>
      <c r="O224" s="3163"/>
      <c r="P224" s="1847" t="s">
        <v>5306</v>
      </c>
      <c r="Q224" s="1848"/>
    </row>
    <row r="225" spans="1:18" ht="15.75" x14ac:dyDescent="0.2">
      <c r="A225" s="3065" t="s">
        <v>3285</v>
      </c>
      <c r="B225" s="3065"/>
      <c r="C225" s="3065" t="s">
        <v>32</v>
      </c>
      <c r="D225" s="3065"/>
      <c r="E225" s="3015"/>
      <c r="F225" s="3015"/>
      <c r="G225" s="3066"/>
      <c r="H225" s="3066"/>
      <c r="I225" s="3066"/>
      <c r="J225" s="3015"/>
      <c r="K225" s="3015"/>
      <c r="L225" s="3065"/>
      <c r="M225" s="3015"/>
      <c r="N225" s="3066">
        <f>N226</f>
        <v>0</v>
      </c>
      <c r="O225" s="3015"/>
      <c r="P225" s="181"/>
      <c r="Q225" s="570">
        <f>Q226</f>
        <v>0</v>
      </c>
    </row>
    <row r="226" spans="1:18" ht="31.5" x14ac:dyDescent="0.2">
      <c r="A226" s="3067" t="s">
        <v>3286</v>
      </c>
      <c r="B226" s="3085"/>
      <c r="C226" s="3068" t="s">
        <v>3091</v>
      </c>
      <c r="D226" s="3068" t="s">
        <v>5348</v>
      </c>
      <c r="E226" s="3086"/>
      <c r="F226" s="3086"/>
      <c r="G226" s="3086"/>
      <c r="H226" s="3086"/>
      <c r="I226" s="3086"/>
      <c r="J226" s="3086"/>
      <c r="K226" s="3070"/>
      <c r="L226" s="3071"/>
      <c r="M226" s="3070"/>
      <c r="N226" s="3072">
        <f>L226*M226</f>
        <v>0</v>
      </c>
      <c r="O226" s="3418"/>
      <c r="P226" s="67"/>
      <c r="Q226" s="573"/>
    </row>
    <row r="227" spans="1:18" ht="15.75" x14ac:dyDescent="0.2">
      <c r="A227" s="3063" t="s">
        <v>3287</v>
      </c>
      <c r="B227" s="3063"/>
      <c r="C227" s="3063" t="s">
        <v>33</v>
      </c>
      <c r="D227" s="3063"/>
      <c r="E227" s="3087"/>
      <c r="F227" s="3087"/>
      <c r="G227" s="3064"/>
      <c r="H227" s="3064"/>
      <c r="I227" s="3064"/>
      <c r="J227" s="3087"/>
      <c r="K227" s="3087"/>
      <c r="L227" s="3063"/>
      <c r="M227" s="3087"/>
      <c r="N227" s="3064">
        <f>SUM(N228:N229)</f>
        <v>0</v>
      </c>
      <c r="O227" s="3087"/>
      <c r="P227" s="117"/>
      <c r="Q227" s="569">
        <f>SUM(Q228:Q229)</f>
        <v>0</v>
      </c>
    </row>
    <row r="228" spans="1:18" ht="31.5" x14ac:dyDescent="0.2">
      <c r="A228" s="3067" t="s">
        <v>3288</v>
      </c>
      <c r="B228" s="3067"/>
      <c r="C228" s="3067" t="s">
        <v>5346</v>
      </c>
      <c r="D228" s="3067" t="s">
        <v>5349</v>
      </c>
      <c r="E228" s="3084"/>
      <c r="F228" s="3084"/>
      <c r="G228" s="3084"/>
      <c r="H228" s="3084"/>
      <c r="I228" s="3084"/>
      <c r="J228" s="3084"/>
      <c r="K228" s="3070"/>
      <c r="L228" s="3071"/>
      <c r="M228" s="3070"/>
      <c r="N228" s="3072">
        <f>L228*M228</f>
        <v>0</v>
      </c>
      <c r="O228" s="3084"/>
      <c r="P228" s="67"/>
      <c r="Q228" s="573"/>
    </row>
    <row r="229" spans="1:18" ht="15.75" x14ac:dyDescent="0.2">
      <c r="A229" s="3067" t="s">
        <v>3936</v>
      </c>
      <c r="B229" s="3067"/>
      <c r="C229" s="3067" t="s">
        <v>307</v>
      </c>
      <c r="D229" s="3067" t="s">
        <v>5348</v>
      </c>
      <c r="E229" s="3084"/>
      <c r="F229" s="3084"/>
      <c r="G229" s="3084"/>
      <c r="H229" s="3084"/>
      <c r="I229" s="3084"/>
      <c r="J229" s="3084"/>
      <c r="K229" s="3070"/>
      <c r="L229" s="3071"/>
      <c r="M229" s="3070"/>
      <c r="N229" s="3072">
        <f>L229*M229</f>
        <v>0</v>
      </c>
      <c r="O229" s="3084"/>
      <c r="P229" s="67"/>
      <c r="Q229" s="573"/>
    </row>
    <row r="230" spans="1:18" ht="15.75" x14ac:dyDescent="0.2">
      <c r="A230" s="3063" t="s">
        <v>3289</v>
      </c>
      <c r="B230" s="3063"/>
      <c r="C230" s="3063" t="s">
        <v>34</v>
      </c>
      <c r="D230" s="3063"/>
      <c r="E230" s="3087"/>
      <c r="F230" s="3087"/>
      <c r="G230" s="3064"/>
      <c r="H230" s="3064"/>
      <c r="I230" s="3064"/>
      <c r="J230" s="3087"/>
      <c r="K230" s="3087"/>
      <c r="L230" s="3063"/>
      <c r="M230" s="3087"/>
      <c r="N230" s="3064">
        <f>N231+N257</f>
        <v>180.6</v>
      </c>
      <c r="O230" s="3087"/>
      <c r="P230" s="117"/>
      <c r="Q230" s="569">
        <f>Q231+Q257</f>
        <v>0</v>
      </c>
      <c r="R230" s="2845">
        <f>Q230</f>
        <v>0</v>
      </c>
    </row>
    <row r="231" spans="1:18" ht="31.5" x14ac:dyDescent="0.2">
      <c r="A231" s="3065" t="s">
        <v>3290</v>
      </c>
      <c r="B231" s="3065"/>
      <c r="C231" s="3174" t="s">
        <v>2158</v>
      </c>
      <c r="D231" s="3174"/>
      <c r="E231" s="3015"/>
      <c r="F231" s="3015"/>
      <c r="G231" s="3066"/>
      <c r="H231" s="3066"/>
      <c r="I231" s="3066"/>
      <c r="J231" s="3015"/>
      <c r="K231" s="3015"/>
      <c r="L231" s="3065"/>
      <c r="M231" s="3015"/>
      <c r="N231" s="3066">
        <f>N232+N233+N239+N245+N250</f>
        <v>180.6</v>
      </c>
      <c r="O231" s="3015"/>
      <c r="P231" s="181"/>
      <c r="Q231" s="570">
        <f>Q232+Q233+Q239+Q245+Q250</f>
        <v>0</v>
      </c>
    </row>
    <row r="232" spans="1:18" ht="15.75" x14ac:dyDescent="0.2">
      <c r="A232" s="3094" t="s">
        <v>3291</v>
      </c>
      <c r="B232" s="3094"/>
      <c r="C232" s="3094" t="s">
        <v>35</v>
      </c>
      <c r="D232" s="3094"/>
      <c r="E232" s="3014"/>
      <c r="F232" s="3014"/>
      <c r="G232" s="3095"/>
      <c r="H232" s="3095"/>
      <c r="I232" s="3095"/>
      <c r="J232" s="3014"/>
      <c r="K232" s="3096"/>
      <c r="L232" s="3175"/>
      <c r="M232" s="3096"/>
      <c r="N232" s="3095">
        <f>L232*M232</f>
        <v>0</v>
      </c>
      <c r="O232" s="3014"/>
      <c r="P232" s="118"/>
      <c r="Q232" s="264"/>
    </row>
    <row r="233" spans="1:18" ht="31.5" x14ac:dyDescent="0.2">
      <c r="A233" s="3094" t="s">
        <v>3940</v>
      </c>
      <c r="B233" s="3094"/>
      <c r="C233" s="3094" t="s">
        <v>37</v>
      </c>
      <c r="D233" s="3094"/>
      <c r="E233" s="3014"/>
      <c r="F233" s="3014"/>
      <c r="G233" s="3095"/>
      <c r="H233" s="3095"/>
      <c r="I233" s="3095"/>
      <c r="J233" s="3014"/>
      <c r="K233" s="3014"/>
      <c r="L233" s="3094"/>
      <c r="M233" s="3014"/>
      <c r="N233" s="3095">
        <f>N234+N235+N238</f>
        <v>0</v>
      </c>
      <c r="O233" s="3014"/>
      <c r="P233" s="118"/>
      <c r="Q233" s="264">
        <f>Q234+Q235+Q238</f>
        <v>0</v>
      </c>
    </row>
    <row r="234" spans="1:18" ht="31.5" x14ac:dyDescent="0.2">
      <c r="A234" s="3067" t="s">
        <v>4393</v>
      </c>
      <c r="B234" s="3067" t="s">
        <v>3092</v>
      </c>
      <c r="C234" s="3067" t="s">
        <v>3093</v>
      </c>
      <c r="D234" s="3177" t="s">
        <v>5354</v>
      </c>
      <c r="E234" s="3081"/>
      <c r="F234" s="3084"/>
      <c r="G234" s="3073"/>
      <c r="H234" s="3084"/>
      <c r="I234" s="3084"/>
      <c r="J234" s="3084"/>
      <c r="K234" s="3084"/>
      <c r="L234" s="3071"/>
      <c r="M234" s="3081"/>
      <c r="N234" s="3072">
        <f>L234*M234</f>
        <v>0</v>
      </c>
      <c r="O234" s="3418"/>
      <c r="P234" s="67"/>
      <c r="Q234" s="573"/>
    </row>
    <row r="235" spans="1:18" s="828" customFormat="1" ht="31.5" x14ac:dyDescent="0.2">
      <c r="A235" s="3178" t="s">
        <v>4394</v>
      </c>
      <c r="B235" s="3178" t="s">
        <v>3094</v>
      </c>
      <c r="C235" s="3179" t="s">
        <v>2204</v>
      </c>
      <c r="D235" s="3179"/>
      <c r="E235" s="3180"/>
      <c r="F235" s="3181"/>
      <c r="G235" s="3182"/>
      <c r="H235" s="3182"/>
      <c r="I235" s="3182"/>
      <c r="J235" s="3183"/>
      <c r="K235" s="3183"/>
      <c r="L235" s="3182"/>
      <c r="M235" s="3180"/>
      <c r="N235" s="3182">
        <f>N236+N237</f>
        <v>0</v>
      </c>
      <c r="O235" s="3121"/>
      <c r="P235" s="172"/>
      <c r="Q235" s="1849"/>
    </row>
    <row r="236" spans="1:18" s="828" customFormat="1" ht="15.75" x14ac:dyDescent="0.2">
      <c r="A236" s="3091" t="s">
        <v>4572</v>
      </c>
      <c r="B236" s="3091"/>
      <c r="C236" s="3091" t="s">
        <v>3095</v>
      </c>
      <c r="D236" s="3091" t="s">
        <v>5352</v>
      </c>
      <c r="E236" s="3122"/>
      <c r="F236" s="3082"/>
      <c r="G236" s="3080"/>
      <c r="H236" s="3082"/>
      <c r="I236" s="3082"/>
      <c r="J236" s="3083"/>
      <c r="K236" s="3082"/>
      <c r="L236" s="3071"/>
      <c r="M236" s="3122"/>
      <c r="N236" s="3093">
        <f>L236*M236</f>
        <v>0</v>
      </c>
      <c r="O236" s="3418"/>
      <c r="P236" s="124"/>
      <c r="Q236" s="325"/>
    </row>
    <row r="237" spans="1:18" s="828" customFormat="1" ht="63" x14ac:dyDescent="0.2">
      <c r="A237" s="3091" t="s">
        <v>4573</v>
      </c>
      <c r="B237" s="3091"/>
      <c r="C237" s="3184" t="s">
        <v>2425</v>
      </c>
      <c r="D237" s="3091" t="s">
        <v>5355</v>
      </c>
      <c r="E237" s="3122"/>
      <c r="F237" s="3083"/>
      <c r="G237" s="3080"/>
      <c r="H237" s="3083"/>
      <c r="I237" s="3083"/>
      <c r="J237" s="3083"/>
      <c r="K237" s="3083"/>
      <c r="L237" s="3071"/>
      <c r="M237" s="3070"/>
      <c r="N237" s="3093">
        <f>L237*M237</f>
        <v>0</v>
      </c>
      <c r="O237" s="3083"/>
      <c r="P237" s="124"/>
      <c r="Q237" s="325"/>
    </row>
    <row r="238" spans="1:18" ht="15.75" x14ac:dyDescent="0.2">
      <c r="A238" s="3091" t="s">
        <v>4395</v>
      </c>
      <c r="B238" s="3091"/>
      <c r="C238" s="3091" t="s">
        <v>2977</v>
      </c>
      <c r="D238" s="3091" t="s">
        <v>5352</v>
      </c>
      <c r="E238" s="3081"/>
      <c r="F238" s="3084"/>
      <c r="G238" s="3073"/>
      <c r="H238" s="3084"/>
      <c r="I238" s="3084"/>
      <c r="J238" s="3084"/>
      <c r="K238" s="3084"/>
      <c r="L238" s="3071"/>
      <c r="M238" s="3070"/>
      <c r="N238" s="3072">
        <f>L238*M238</f>
        <v>0</v>
      </c>
      <c r="O238" s="3084"/>
      <c r="P238" s="67"/>
      <c r="Q238" s="573"/>
    </row>
    <row r="239" spans="1:18" ht="15.75" x14ac:dyDescent="0.2">
      <c r="A239" s="3094" t="s">
        <v>3941</v>
      </c>
      <c r="B239" s="3094"/>
      <c r="C239" s="3094" t="s">
        <v>36</v>
      </c>
      <c r="D239" s="3094"/>
      <c r="E239" s="3014"/>
      <c r="F239" s="3014"/>
      <c r="G239" s="3095"/>
      <c r="H239" s="3095"/>
      <c r="I239" s="3095"/>
      <c r="J239" s="3014"/>
      <c r="K239" s="3014"/>
      <c r="L239" s="3094"/>
      <c r="M239" s="3014"/>
      <c r="N239" s="3095">
        <f>SUM(N240:N244)</f>
        <v>180.6</v>
      </c>
      <c r="O239" s="3014"/>
      <c r="P239" s="118"/>
      <c r="Q239" s="264">
        <f>SUM(Q240:Q244)</f>
        <v>0</v>
      </c>
    </row>
    <row r="240" spans="1:18" ht="31.5" x14ac:dyDescent="0.2">
      <c r="A240" s="3091" t="s">
        <v>4396</v>
      </c>
      <c r="B240" s="3091" t="s">
        <v>3092</v>
      </c>
      <c r="C240" s="3067" t="s">
        <v>3093</v>
      </c>
      <c r="D240" s="3177" t="s">
        <v>5354</v>
      </c>
      <c r="E240" s="3081"/>
      <c r="F240" s="3082"/>
      <c r="G240" s="3073"/>
      <c r="H240" s="3082"/>
      <c r="I240" s="3082"/>
      <c r="J240" s="3083"/>
      <c r="K240" s="3082"/>
      <c r="L240" s="3071"/>
      <c r="M240" s="3081"/>
      <c r="N240" s="3072">
        <f>L240*M240</f>
        <v>0</v>
      </c>
      <c r="O240" s="3083"/>
      <c r="P240" s="67"/>
      <c r="Q240" s="573"/>
    </row>
    <row r="241" spans="1:17" ht="28.5" x14ac:dyDescent="0.2">
      <c r="A241" s="3091" t="s">
        <v>4397</v>
      </c>
      <c r="B241" s="3091" t="s">
        <v>3105</v>
      </c>
      <c r="C241" s="3067" t="s">
        <v>3839</v>
      </c>
      <c r="D241" s="3091" t="s">
        <v>5352</v>
      </c>
      <c r="E241" s="3081"/>
      <c r="F241" s="3084"/>
      <c r="G241" s="3073"/>
      <c r="H241" s="3084"/>
      <c r="I241" s="3084"/>
      <c r="J241" s="3692" t="s">
        <v>5737</v>
      </c>
      <c r="K241" s="3695">
        <f>100000*6</f>
        <v>600000</v>
      </c>
      <c r="L241" s="3694">
        <f>K241/100000</f>
        <v>6</v>
      </c>
      <c r="M241" s="3081">
        <v>1</v>
      </c>
      <c r="N241" s="3072">
        <f>L241*M241</f>
        <v>6</v>
      </c>
      <c r="O241" s="3691" t="s">
        <v>5975</v>
      </c>
      <c r="P241" s="67"/>
      <c r="Q241" s="573"/>
    </row>
    <row r="242" spans="1:17" ht="15.75" x14ac:dyDescent="0.2">
      <c r="A242" s="3091" t="s">
        <v>4398</v>
      </c>
      <c r="B242" s="3091" t="s">
        <v>3113</v>
      </c>
      <c r="C242" s="3067" t="s">
        <v>3840</v>
      </c>
      <c r="D242" s="3091" t="s">
        <v>5352</v>
      </c>
      <c r="E242" s="3081"/>
      <c r="F242" s="3084"/>
      <c r="G242" s="3073"/>
      <c r="H242" s="3084"/>
      <c r="I242" s="3084"/>
      <c r="J242" s="3692"/>
      <c r="K242" s="3695"/>
      <c r="L242" s="3694"/>
      <c r="M242" s="3081"/>
      <c r="N242" s="3072">
        <f>L242*M242</f>
        <v>0</v>
      </c>
      <c r="O242" s="3697"/>
      <c r="P242" s="67"/>
      <c r="Q242" s="573"/>
    </row>
    <row r="243" spans="1:17" ht="15.75" x14ac:dyDescent="0.2">
      <c r="A243" s="3091" t="s">
        <v>4399</v>
      </c>
      <c r="B243" s="3091" t="s">
        <v>3119</v>
      </c>
      <c r="C243" s="3067" t="s">
        <v>4405</v>
      </c>
      <c r="D243" s="3091" t="s">
        <v>5352</v>
      </c>
      <c r="E243" s="3081"/>
      <c r="F243" s="3084"/>
      <c r="G243" s="3073"/>
      <c r="H243" s="3084"/>
      <c r="I243" s="3084"/>
      <c r="J243" s="3692"/>
      <c r="K243" s="3695"/>
      <c r="L243" s="3694"/>
      <c r="M243" s="3081"/>
      <c r="N243" s="3072">
        <f>L243*M243</f>
        <v>0</v>
      </c>
      <c r="O243" s="3697"/>
      <c r="P243" s="67"/>
      <c r="Q243" s="573"/>
    </row>
    <row r="244" spans="1:17" ht="71.25" x14ac:dyDescent="0.2">
      <c r="A244" s="3091" t="s">
        <v>4400</v>
      </c>
      <c r="B244" s="3091"/>
      <c r="C244" s="3067" t="s">
        <v>2977</v>
      </c>
      <c r="D244" s="3091" t="s">
        <v>5352</v>
      </c>
      <c r="E244" s="3084"/>
      <c r="F244" s="3084"/>
      <c r="G244" s="3084"/>
      <c r="H244" s="3084"/>
      <c r="I244" s="3084"/>
      <c r="J244" s="3695" t="s">
        <v>5974</v>
      </c>
      <c r="K244" s="3696">
        <f>30000*6</f>
        <v>180000</v>
      </c>
      <c r="L244" s="3694">
        <f>K244/100000</f>
        <v>1.8</v>
      </c>
      <c r="M244" s="3070">
        <v>97</v>
      </c>
      <c r="N244" s="3072">
        <f>L244*M244</f>
        <v>174.6</v>
      </c>
      <c r="O244" s="3698" t="s">
        <v>5976</v>
      </c>
      <c r="P244" s="67"/>
      <c r="Q244" s="573"/>
    </row>
    <row r="245" spans="1:17" ht="15.75" x14ac:dyDescent="0.2">
      <c r="A245" s="3094" t="s">
        <v>3942</v>
      </c>
      <c r="B245" s="3094"/>
      <c r="C245" s="3094" t="s">
        <v>2138</v>
      </c>
      <c r="D245" s="3094"/>
      <c r="E245" s="3014"/>
      <c r="F245" s="3014"/>
      <c r="G245" s="3095"/>
      <c r="H245" s="3095"/>
      <c r="I245" s="3095"/>
      <c r="J245" s="3014"/>
      <c r="K245" s="3014"/>
      <c r="L245" s="3094"/>
      <c r="M245" s="3014"/>
      <c r="N245" s="3095">
        <f>SUM(N246:N249)</f>
        <v>0</v>
      </c>
      <c r="O245" s="3185"/>
      <c r="P245" s="579"/>
      <c r="Q245" s="264">
        <f>SUM(Q246:Q249)</f>
        <v>0</v>
      </c>
    </row>
    <row r="246" spans="1:17" ht="15.75" x14ac:dyDescent="0.2">
      <c r="A246" s="3091" t="s">
        <v>4401</v>
      </c>
      <c r="B246" s="3186"/>
      <c r="C246" s="3187" t="s">
        <v>3846</v>
      </c>
      <c r="D246" s="3091" t="s">
        <v>5352</v>
      </c>
      <c r="E246" s="3086"/>
      <c r="F246" s="3086"/>
      <c r="G246" s="3086"/>
      <c r="H246" s="3086"/>
      <c r="I246" s="3086"/>
      <c r="J246" s="3086"/>
      <c r="K246" s="3070"/>
      <c r="L246" s="3071"/>
      <c r="M246" s="3070"/>
      <c r="N246" s="3072">
        <f>L246*M246</f>
        <v>0</v>
      </c>
      <c r="O246" s="3084"/>
      <c r="P246" s="67"/>
      <c r="Q246" s="573"/>
    </row>
    <row r="247" spans="1:17" ht="47.25" x14ac:dyDescent="0.2">
      <c r="A247" s="3091" t="s">
        <v>4402</v>
      </c>
      <c r="B247" s="3091" t="s">
        <v>3106</v>
      </c>
      <c r="C247" s="3091" t="s">
        <v>3841</v>
      </c>
      <c r="D247" s="3091" t="s">
        <v>5352</v>
      </c>
      <c r="E247" s="3081"/>
      <c r="F247" s="3084"/>
      <c r="G247" s="3073"/>
      <c r="H247" s="3084"/>
      <c r="I247" s="3084"/>
      <c r="J247" s="3083"/>
      <c r="K247" s="3084"/>
      <c r="L247" s="3071"/>
      <c r="M247" s="3081"/>
      <c r="N247" s="3072">
        <f>L247*M247</f>
        <v>0</v>
      </c>
      <c r="O247" s="3418"/>
      <c r="P247" s="67"/>
      <c r="Q247" s="573"/>
    </row>
    <row r="248" spans="1:17" ht="47.25" x14ac:dyDescent="0.2">
      <c r="A248" s="3091" t="s">
        <v>4403</v>
      </c>
      <c r="B248" s="3091" t="s">
        <v>3114</v>
      </c>
      <c r="C248" s="3091" t="s">
        <v>3842</v>
      </c>
      <c r="D248" s="3091" t="s">
        <v>5352</v>
      </c>
      <c r="E248" s="3081"/>
      <c r="F248" s="3084"/>
      <c r="G248" s="3073"/>
      <c r="H248" s="3084"/>
      <c r="I248" s="3084"/>
      <c r="J248" s="3083"/>
      <c r="K248" s="3084"/>
      <c r="L248" s="3071"/>
      <c r="M248" s="3081"/>
      <c r="N248" s="3072">
        <f>L248*M248</f>
        <v>0</v>
      </c>
      <c r="O248" s="3418"/>
      <c r="P248" s="67"/>
      <c r="Q248" s="573"/>
    </row>
    <row r="249" spans="1:17" ht="47.25" x14ac:dyDescent="0.2">
      <c r="A249" s="3091" t="s">
        <v>4404</v>
      </c>
      <c r="B249" s="3091" t="s">
        <v>3120</v>
      </c>
      <c r="C249" s="3091" t="s">
        <v>4406</v>
      </c>
      <c r="D249" s="3091" t="s">
        <v>5352</v>
      </c>
      <c r="E249" s="3081"/>
      <c r="F249" s="3084"/>
      <c r="G249" s="3073"/>
      <c r="H249" s="3084"/>
      <c r="I249" s="3084"/>
      <c r="J249" s="3083"/>
      <c r="K249" s="3084"/>
      <c r="L249" s="3071"/>
      <c r="M249" s="3081"/>
      <c r="N249" s="3072">
        <f>L249*M249</f>
        <v>0</v>
      </c>
      <c r="O249" s="3418"/>
      <c r="P249" s="67"/>
      <c r="Q249" s="573"/>
    </row>
    <row r="250" spans="1:17" ht="31.5" x14ac:dyDescent="0.2">
      <c r="A250" s="3094" t="s">
        <v>3951</v>
      </c>
      <c r="B250" s="3094"/>
      <c r="C250" s="3094" t="s">
        <v>2311</v>
      </c>
      <c r="D250" s="3094"/>
      <c r="E250" s="3014"/>
      <c r="F250" s="3014"/>
      <c r="G250" s="3095"/>
      <c r="H250" s="3095"/>
      <c r="I250" s="3095"/>
      <c r="J250" s="3014"/>
      <c r="K250" s="3014"/>
      <c r="L250" s="3094"/>
      <c r="M250" s="3014"/>
      <c r="N250" s="3095">
        <f>N251</f>
        <v>0</v>
      </c>
      <c r="O250" s="3014"/>
      <c r="P250" s="118"/>
      <c r="Q250" s="264">
        <f>Q251</f>
        <v>0</v>
      </c>
    </row>
    <row r="251" spans="1:17" s="828" customFormat="1" ht="15.75" x14ac:dyDescent="0.2">
      <c r="A251" s="3188" t="s">
        <v>3952</v>
      </c>
      <c r="B251" s="3188" t="s">
        <v>3096</v>
      </c>
      <c r="C251" s="3188" t="s">
        <v>3097</v>
      </c>
      <c r="D251" s="3188"/>
      <c r="E251" s="3189"/>
      <c r="F251" s="3189"/>
      <c r="G251" s="3117"/>
      <c r="H251" s="3117"/>
      <c r="I251" s="3117"/>
      <c r="J251" s="3189"/>
      <c r="K251" s="3189"/>
      <c r="L251" s="3071"/>
      <c r="M251" s="3189"/>
      <c r="N251" s="3117">
        <f>SUM(N252:N254)</f>
        <v>0</v>
      </c>
      <c r="O251" s="3189"/>
      <c r="P251" s="121"/>
      <c r="Q251" s="1846">
        <f>SUM(Q252:Q254)</f>
        <v>0</v>
      </c>
    </row>
    <row r="252" spans="1:17" s="828" customFormat="1" ht="15.75" x14ac:dyDescent="0.2">
      <c r="A252" s="3098" t="s">
        <v>3953</v>
      </c>
      <c r="B252" s="3091" t="s">
        <v>3098</v>
      </c>
      <c r="C252" s="3091" t="s">
        <v>3099</v>
      </c>
      <c r="D252" s="3091" t="s">
        <v>5352</v>
      </c>
      <c r="E252" s="3122"/>
      <c r="F252" s="3083"/>
      <c r="G252" s="3080"/>
      <c r="H252" s="3083"/>
      <c r="I252" s="3083"/>
      <c r="J252" s="3083"/>
      <c r="K252" s="3083"/>
      <c r="L252" s="3071"/>
      <c r="M252" s="3070"/>
      <c r="N252" s="3093">
        <f>L252*M252</f>
        <v>0</v>
      </c>
      <c r="O252" s="3418"/>
      <c r="P252" s="124"/>
      <c r="Q252" s="325"/>
    </row>
    <row r="253" spans="1:17" ht="15.75" x14ac:dyDescent="0.2">
      <c r="A253" s="3098" t="s">
        <v>3954</v>
      </c>
      <c r="B253" s="3067" t="s">
        <v>3100</v>
      </c>
      <c r="C253" s="3067" t="s">
        <v>3101</v>
      </c>
      <c r="D253" s="3091" t="s">
        <v>5352</v>
      </c>
      <c r="E253" s="3084"/>
      <c r="F253" s="3084"/>
      <c r="G253" s="3084"/>
      <c r="H253" s="3084"/>
      <c r="I253" s="3084"/>
      <c r="J253" s="3084"/>
      <c r="K253" s="3070"/>
      <c r="L253" s="3071"/>
      <c r="M253" s="3070"/>
      <c r="N253" s="3072">
        <f>L253*M253</f>
        <v>0</v>
      </c>
      <c r="O253" s="3084"/>
      <c r="P253" s="67"/>
      <c r="Q253" s="573"/>
    </row>
    <row r="254" spans="1:17" ht="15.75" x14ac:dyDescent="0.2">
      <c r="A254" s="3098" t="s">
        <v>3955</v>
      </c>
      <c r="B254" s="3067"/>
      <c r="C254" s="3067" t="s">
        <v>2977</v>
      </c>
      <c r="D254" s="3091" t="s">
        <v>5352</v>
      </c>
      <c r="E254" s="3081"/>
      <c r="F254" s="3084"/>
      <c r="G254" s="3133"/>
      <c r="H254" s="3084"/>
      <c r="I254" s="3084"/>
      <c r="J254" s="3084"/>
      <c r="K254" s="3084"/>
      <c r="L254" s="3071"/>
      <c r="M254" s="3070"/>
      <c r="N254" s="3072">
        <f>L254*M254</f>
        <v>0</v>
      </c>
      <c r="O254" s="3083"/>
      <c r="P254" s="124"/>
      <c r="Q254" s="325"/>
    </row>
    <row r="255" spans="1:17" ht="15.75" x14ac:dyDescent="0.2">
      <c r="A255" s="3065" t="s">
        <v>3292</v>
      </c>
      <c r="B255" s="3065"/>
      <c r="C255" s="3065" t="s">
        <v>2914</v>
      </c>
      <c r="D255" s="3065"/>
      <c r="E255" s="3190"/>
      <c r="F255" s="3190"/>
      <c r="G255" s="3190"/>
      <c r="H255" s="3190"/>
      <c r="I255" s="3190"/>
      <c r="J255" s="3190"/>
      <c r="K255" s="3190"/>
      <c r="L255" s="3161"/>
      <c r="M255" s="3162"/>
      <c r="N255" s="3161"/>
      <c r="O255" s="3191"/>
      <c r="P255" s="1847" t="s">
        <v>5306</v>
      </c>
      <c r="Q255" s="1848"/>
    </row>
    <row r="256" spans="1:17" ht="15.75" x14ac:dyDescent="0.2">
      <c r="A256" s="3065" t="s">
        <v>3293</v>
      </c>
      <c r="B256" s="3065"/>
      <c r="C256" s="3065" t="s">
        <v>2916</v>
      </c>
      <c r="D256" s="3065"/>
      <c r="E256" s="3190"/>
      <c r="F256" s="3190"/>
      <c r="G256" s="3190"/>
      <c r="H256" s="3190"/>
      <c r="I256" s="3190"/>
      <c r="J256" s="3190"/>
      <c r="K256" s="3190"/>
      <c r="L256" s="3161"/>
      <c r="M256" s="3162"/>
      <c r="N256" s="3161"/>
      <c r="O256" s="3191"/>
      <c r="P256" s="1847" t="s">
        <v>5306</v>
      </c>
      <c r="Q256" s="1848"/>
    </row>
    <row r="257" spans="1:17" ht="15.75" x14ac:dyDescent="0.2">
      <c r="A257" s="3065" t="s">
        <v>3294</v>
      </c>
      <c r="B257" s="3065"/>
      <c r="C257" s="3065" t="s">
        <v>41</v>
      </c>
      <c r="D257" s="3065"/>
      <c r="E257" s="3015"/>
      <c r="F257" s="3015"/>
      <c r="G257" s="3066"/>
      <c r="H257" s="3066"/>
      <c r="I257" s="3066"/>
      <c r="J257" s="3015"/>
      <c r="K257" s="3015"/>
      <c r="L257" s="3065"/>
      <c r="M257" s="3015"/>
      <c r="N257" s="3066">
        <f>N258+N262+N265+N268+N269</f>
        <v>0</v>
      </c>
      <c r="O257" s="3015"/>
      <c r="P257" s="181"/>
      <c r="Q257" s="570">
        <f>Q258+Q262+Q265+Q268+Q269</f>
        <v>0</v>
      </c>
    </row>
    <row r="258" spans="1:17" ht="15.75" x14ac:dyDescent="0.2">
      <c r="A258" s="3094" t="s">
        <v>3295</v>
      </c>
      <c r="B258" s="3094" t="s">
        <v>3102</v>
      </c>
      <c r="C258" s="3094" t="s">
        <v>3103</v>
      </c>
      <c r="D258" s="3094"/>
      <c r="E258" s="3014"/>
      <c r="F258" s="3014"/>
      <c r="G258" s="3095"/>
      <c r="H258" s="3095"/>
      <c r="I258" s="3095"/>
      <c r="J258" s="3014"/>
      <c r="K258" s="3014"/>
      <c r="L258" s="3094"/>
      <c r="M258" s="3014"/>
      <c r="N258" s="3095">
        <f>SUM(N259:N261)</f>
        <v>0</v>
      </c>
      <c r="O258" s="3014"/>
      <c r="P258" s="118"/>
      <c r="Q258" s="264">
        <f>SUM(Q259:Q261)</f>
        <v>0</v>
      </c>
    </row>
    <row r="259" spans="1:17" ht="15.75" x14ac:dyDescent="0.2">
      <c r="A259" s="3067" t="s">
        <v>3943</v>
      </c>
      <c r="B259" s="3067" t="s">
        <v>3104</v>
      </c>
      <c r="C259" s="3067" t="s">
        <v>41</v>
      </c>
      <c r="D259" s="3091" t="s">
        <v>5352</v>
      </c>
      <c r="E259" s="3081"/>
      <c r="F259" s="3082"/>
      <c r="G259" s="3073"/>
      <c r="H259" s="3082"/>
      <c r="I259" s="3082"/>
      <c r="J259" s="3083"/>
      <c r="K259" s="3082"/>
      <c r="L259" s="3071"/>
      <c r="M259" s="3081"/>
      <c r="N259" s="3072">
        <f>L259*M259</f>
        <v>0</v>
      </c>
      <c r="O259" s="3418"/>
      <c r="P259" s="67"/>
      <c r="Q259" s="573"/>
    </row>
    <row r="260" spans="1:17" ht="15.75" x14ac:dyDescent="0.2">
      <c r="A260" s="3091" t="s">
        <v>3944</v>
      </c>
      <c r="B260" s="3067" t="s">
        <v>3107</v>
      </c>
      <c r="C260" s="3067" t="s">
        <v>3108</v>
      </c>
      <c r="D260" s="3091" t="s">
        <v>5352</v>
      </c>
      <c r="E260" s="3081"/>
      <c r="F260" s="3082"/>
      <c r="G260" s="3073"/>
      <c r="H260" s="3082"/>
      <c r="I260" s="3082"/>
      <c r="J260" s="3083"/>
      <c r="K260" s="3082"/>
      <c r="L260" s="3071"/>
      <c r="M260" s="3081"/>
      <c r="N260" s="3072">
        <f>L260*M260</f>
        <v>0</v>
      </c>
      <c r="O260" s="3418"/>
      <c r="P260" s="67"/>
      <c r="Q260" s="573"/>
    </row>
    <row r="261" spans="1:17" ht="15.75" x14ac:dyDescent="0.2">
      <c r="A261" s="3067" t="s">
        <v>3945</v>
      </c>
      <c r="B261" s="3067" t="s">
        <v>3109</v>
      </c>
      <c r="C261" s="3067" t="s">
        <v>2977</v>
      </c>
      <c r="D261" s="3091" t="s">
        <v>5352</v>
      </c>
      <c r="E261" s="3081"/>
      <c r="F261" s="3084"/>
      <c r="G261" s="3073"/>
      <c r="H261" s="3084"/>
      <c r="I261" s="3084"/>
      <c r="J261" s="3083"/>
      <c r="K261" s="3082"/>
      <c r="L261" s="3071"/>
      <c r="M261" s="3081"/>
      <c r="N261" s="3072">
        <f>L261*M261</f>
        <v>0</v>
      </c>
      <c r="O261" s="3418"/>
      <c r="P261" s="67"/>
      <c r="Q261" s="573"/>
    </row>
    <row r="262" spans="1:17" ht="15.75" x14ac:dyDescent="0.2">
      <c r="A262" s="3094" t="s">
        <v>3843</v>
      </c>
      <c r="B262" s="3094" t="s">
        <v>3110</v>
      </c>
      <c r="C262" s="3094" t="s">
        <v>3111</v>
      </c>
      <c r="D262" s="3094"/>
      <c r="E262" s="3014"/>
      <c r="F262" s="3014"/>
      <c r="G262" s="3095"/>
      <c r="H262" s="3095"/>
      <c r="I262" s="3095"/>
      <c r="J262" s="3014"/>
      <c r="K262" s="3014"/>
      <c r="L262" s="3094"/>
      <c r="M262" s="3014"/>
      <c r="N262" s="3095">
        <f>SUM(N263:N264)</f>
        <v>0</v>
      </c>
      <c r="O262" s="3014"/>
      <c r="P262" s="118"/>
      <c r="Q262" s="264">
        <f>SUM(Q263:Q264)</f>
        <v>0</v>
      </c>
    </row>
    <row r="263" spans="1:17" ht="15.75" x14ac:dyDescent="0.2">
      <c r="A263" s="3067" t="s">
        <v>3946</v>
      </c>
      <c r="B263" s="3067" t="s">
        <v>3112</v>
      </c>
      <c r="C263" s="3067" t="s">
        <v>41</v>
      </c>
      <c r="D263" s="3091" t="s">
        <v>5352</v>
      </c>
      <c r="E263" s="3081"/>
      <c r="F263" s="3082"/>
      <c r="G263" s="3073"/>
      <c r="H263" s="3082"/>
      <c r="I263" s="3082"/>
      <c r="J263" s="3083"/>
      <c r="K263" s="3082"/>
      <c r="L263" s="3071"/>
      <c r="M263" s="3081"/>
      <c r="N263" s="3072">
        <f>L263*M263</f>
        <v>0</v>
      </c>
      <c r="O263" s="3418"/>
      <c r="P263" s="67"/>
      <c r="Q263" s="573"/>
    </row>
    <row r="264" spans="1:17" ht="15.75" x14ac:dyDescent="0.2">
      <c r="A264" s="3091" t="s">
        <v>3947</v>
      </c>
      <c r="B264" s="3067" t="s">
        <v>3115</v>
      </c>
      <c r="C264" s="3067" t="s">
        <v>2977</v>
      </c>
      <c r="D264" s="3091" t="s">
        <v>5352</v>
      </c>
      <c r="E264" s="3081"/>
      <c r="F264" s="3082"/>
      <c r="G264" s="3133"/>
      <c r="H264" s="3082"/>
      <c r="I264" s="3082"/>
      <c r="J264" s="3083"/>
      <c r="K264" s="3082"/>
      <c r="L264" s="3071"/>
      <c r="M264" s="3081"/>
      <c r="N264" s="3072">
        <f>L264*M264</f>
        <v>0</v>
      </c>
      <c r="O264" s="3418"/>
      <c r="P264" s="67"/>
      <c r="Q264" s="573"/>
    </row>
    <row r="265" spans="1:17" ht="15.75" x14ac:dyDescent="0.2">
      <c r="A265" s="3094" t="s">
        <v>3844</v>
      </c>
      <c r="B265" s="3094" t="s">
        <v>3116</v>
      </c>
      <c r="C265" s="3094" t="s">
        <v>3117</v>
      </c>
      <c r="D265" s="3094"/>
      <c r="E265" s="3014"/>
      <c r="F265" s="3176"/>
      <c r="G265" s="3176"/>
      <c r="H265" s="3176"/>
      <c r="I265" s="3176"/>
      <c r="J265" s="3014"/>
      <c r="K265" s="3014"/>
      <c r="L265" s="3094"/>
      <c r="M265" s="3014"/>
      <c r="N265" s="3095">
        <f>SUM(N266:N267)</f>
        <v>0</v>
      </c>
      <c r="O265" s="3014"/>
      <c r="P265" s="118"/>
      <c r="Q265" s="264">
        <f>SUM(Q266:Q267)</f>
        <v>0</v>
      </c>
    </row>
    <row r="266" spans="1:17" ht="15.75" x14ac:dyDescent="0.2">
      <c r="A266" s="3067" t="s">
        <v>3948</v>
      </c>
      <c r="B266" s="3067" t="s">
        <v>3118</v>
      </c>
      <c r="C266" s="3067" t="s">
        <v>41</v>
      </c>
      <c r="D266" s="3091" t="s">
        <v>5352</v>
      </c>
      <c r="E266" s="3081"/>
      <c r="F266" s="3082"/>
      <c r="G266" s="3073"/>
      <c r="H266" s="3082"/>
      <c r="I266" s="3082"/>
      <c r="J266" s="3083"/>
      <c r="K266" s="3082"/>
      <c r="L266" s="3071"/>
      <c r="M266" s="3081"/>
      <c r="N266" s="3072">
        <f>L266*M266</f>
        <v>0</v>
      </c>
      <c r="O266" s="3144"/>
      <c r="P266" s="67"/>
      <c r="Q266" s="573"/>
    </row>
    <row r="267" spans="1:17" ht="15.75" x14ac:dyDescent="0.2">
      <c r="A267" s="3091" t="s">
        <v>3949</v>
      </c>
      <c r="B267" s="3067" t="s">
        <v>3121</v>
      </c>
      <c r="C267" s="3067" t="s">
        <v>2977</v>
      </c>
      <c r="D267" s="3091" t="s">
        <v>5352</v>
      </c>
      <c r="E267" s="3081"/>
      <c r="F267" s="3082"/>
      <c r="G267" s="3133"/>
      <c r="H267" s="3082"/>
      <c r="I267" s="3082"/>
      <c r="J267" s="3083"/>
      <c r="K267" s="3082"/>
      <c r="L267" s="3071"/>
      <c r="M267" s="3081"/>
      <c r="N267" s="3072">
        <f>L267*M267</f>
        <v>0</v>
      </c>
      <c r="O267" s="3144"/>
      <c r="P267" s="67"/>
      <c r="Q267" s="573"/>
    </row>
    <row r="268" spans="1:17" ht="15.75" x14ac:dyDescent="0.2">
      <c r="A268" s="3094" t="s">
        <v>3845</v>
      </c>
      <c r="B268" s="3094"/>
      <c r="C268" s="3094" t="s">
        <v>38</v>
      </c>
      <c r="D268" s="3192" t="s">
        <v>5352</v>
      </c>
      <c r="E268" s="3014"/>
      <c r="F268" s="3014"/>
      <c r="G268" s="3176"/>
      <c r="H268" s="3176"/>
      <c r="I268" s="3176"/>
      <c r="J268" s="3014"/>
      <c r="K268" s="3014"/>
      <c r="L268" s="3095"/>
      <c r="M268" s="3014"/>
      <c r="N268" s="3095">
        <f>M268*L268</f>
        <v>0</v>
      </c>
      <c r="O268" s="3014"/>
      <c r="P268" s="118"/>
      <c r="Q268" s="264"/>
    </row>
    <row r="269" spans="1:17" ht="15.75" x14ac:dyDescent="0.2">
      <c r="A269" s="3094" t="s">
        <v>3950</v>
      </c>
      <c r="B269" s="3094"/>
      <c r="C269" s="3094" t="s">
        <v>39</v>
      </c>
      <c r="D269" s="3192" t="s">
        <v>5352</v>
      </c>
      <c r="E269" s="3014"/>
      <c r="F269" s="3014"/>
      <c r="G269" s="3176"/>
      <c r="H269" s="3176"/>
      <c r="I269" s="3176"/>
      <c r="J269" s="3014"/>
      <c r="K269" s="3014"/>
      <c r="L269" s="3095"/>
      <c r="M269" s="3014"/>
      <c r="N269" s="3095">
        <f>M269*L269</f>
        <v>0</v>
      </c>
      <c r="O269" s="3247"/>
      <c r="P269" s="118"/>
      <c r="Q269" s="264"/>
    </row>
    <row r="270" spans="1:17" ht="15.75" x14ac:dyDescent="0.2">
      <c r="A270" s="3063" t="s">
        <v>3296</v>
      </c>
      <c r="B270" s="3063"/>
      <c r="C270" s="3063" t="s">
        <v>3122</v>
      </c>
      <c r="D270" s="3063"/>
      <c r="E270" s="3087"/>
      <c r="F270" s="3087"/>
      <c r="G270" s="3064"/>
      <c r="H270" s="3087"/>
      <c r="I270" s="3087"/>
      <c r="J270" s="3087"/>
      <c r="K270" s="3087"/>
      <c r="L270" s="3063"/>
      <c r="M270" s="3087"/>
      <c r="N270" s="3064">
        <f>SUM(N271:N272)</f>
        <v>231.84</v>
      </c>
      <c r="O270" s="3087"/>
      <c r="P270" s="117"/>
      <c r="Q270" s="569">
        <f>SUM(Q271:Q272)</f>
        <v>0</v>
      </c>
    </row>
    <row r="271" spans="1:17" ht="47.25" x14ac:dyDescent="0.2">
      <c r="A271" s="3067" t="s">
        <v>3297</v>
      </c>
      <c r="B271" s="3155"/>
      <c r="C271" s="3193" t="s">
        <v>3933</v>
      </c>
      <c r="D271" s="3193" t="s">
        <v>5347</v>
      </c>
      <c r="E271" s="3119"/>
      <c r="F271" s="3119"/>
      <c r="G271" s="3119"/>
      <c r="H271" s="3119"/>
      <c r="I271" s="3119"/>
      <c r="J271" s="3119"/>
      <c r="K271" s="3119"/>
      <c r="L271" s="3071"/>
      <c r="M271" s="3070"/>
      <c r="N271" s="3072">
        <f>L271*M271</f>
        <v>0</v>
      </c>
      <c r="O271" s="3418"/>
      <c r="P271" s="67"/>
      <c r="Q271" s="573"/>
    </row>
    <row r="272" spans="1:17" ht="28.5" x14ac:dyDescent="0.2">
      <c r="A272" s="3067" t="s">
        <v>3934</v>
      </c>
      <c r="B272" s="3155"/>
      <c r="C272" s="3067" t="s">
        <v>2977</v>
      </c>
      <c r="D272" s="3067" t="s">
        <v>3303</v>
      </c>
      <c r="E272" s="3119"/>
      <c r="F272" s="3119"/>
      <c r="G272" s="3119"/>
      <c r="H272" s="3119"/>
      <c r="I272" s="3119"/>
      <c r="J272" s="3695" t="s">
        <v>5978</v>
      </c>
      <c r="K272" s="3699">
        <f>128800*3</f>
        <v>386400</v>
      </c>
      <c r="L272" s="3071">
        <f>+K272/100000</f>
        <v>3.8639999999999999</v>
      </c>
      <c r="M272" s="3070">
        <v>60</v>
      </c>
      <c r="N272" s="3072">
        <f>L272*M272</f>
        <v>231.84</v>
      </c>
      <c r="O272" s="3691" t="s">
        <v>5977</v>
      </c>
      <c r="P272" s="67"/>
      <c r="Q272" s="573"/>
    </row>
    <row r="273" spans="1:17" ht="15.75" x14ac:dyDescent="0.2">
      <c r="A273" s="3063" t="s">
        <v>3298</v>
      </c>
      <c r="B273" s="3063"/>
      <c r="C273" s="3063" t="s">
        <v>3123</v>
      </c>
      <c r="D273" s="3063"/>
      <c r="E273" s="3087"/>
      <c r="F273" s="3087"/>
      <c r="G273" s="3064"/>
      <c r="H273" s="3064"/>
      <c r="I273" s="3064"/>
      <c r="J273" s="3087"/>
      <c r="K273" s="3087"/>
      <c r="L273" s="3063"/>
      <c r="M273" s="3087"/>
      <c r="N273" s="3064">
        <f>N274</f>
        <v>0</v>
      </c>
      <c r="O273" s="3087"/>
      <c r="P273" s="117"/>
      <c r="Q273" s="569">
        <f>Q274</f>
        <v>0</v>
      </c>
    </row>
    <row r="274" spans="1:17" ht="15.75" x14ac:dyDescent="0.2">
      <c r="A274" s="3067" t="s">
        <v>3935</v>
      </c>
      <c r="B274" s="3155"/>
      <c r="C274" s="3155" t="s">
        <v>4408</v>
      </c>
      <c r="D274" s="3155" t="s">
        <v>3303</v>
      </c>
      <c r="E274" s="3119"/>
      <c r="F274" s="3119"/>
      <c r="G274" s="3119"/>
      <c r="H274" s="3119"/>
      <c r="I274" s="3119"/>
      <c r="J274" s="3119"/>
      <c r="K274" s="3070"/>
      <c r="L274" s="3071"/>
      <c r="M274" s="3070"/>
      <c r="N274" s="3072">
        <f>L274*M274</f>
        <v>0</v>
      </c>
      <c r="O274" s="3084"/>
      <c r="P274" s="67"/>
      <c r="Q274" s="573"/>
    </row>
    <row r="276" spans="1:17" x14ac:dyDescent="0.2">
      <c r="N276" s="2875"/>
    </row>
  </sheetData>
  <sheetProtection formatCells="0" formatColumns="0" formatRows="0" autoFilter="0"/>
  <autoFilter ref="A6:Q274"/>
  <mergeCells count="9">
    <mergeCell ref="J5:O5"/>
    <mergeCell ref="P5:Q5"/>
    <mergeCell ref="A1:Q1"/>
    <mergeCell ref="A5:A6"/>
    <mergeCell ref="B5:B6"/>
    <mergeCell ref="C5:C6"/>
    <mergeCell ref="E5:I5"/>
    <mergeCell ref="D5:D6"/>
    <mergeCell ref="A2:A4"/>
  </mergeCells>
  <phoneticPr fontId="57" type="noConversion"/>
  <pageMargins left="0.7" right="0.7" top="0.75" bottom="0.75" header="0.3" footer="0.3"/>
  <pageSetup orientation="portrait"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filterMode="1"/>
  <dimension ref="A1:S296"/>
  <sheetViews>
    <sheetView zoomScale="80" zoomScaleNormal="80" workbookViewId="0">
      <pane xSplit="4" ySplit="7" topLeftCell="E8" activePane="bottomRight" state="frozen"/>
      <selection activeCell="L8" sqref="L8"/>
      <selection pane="topRight" activeCell="L8" sqref="L8"/>
      <selection pane="bottomLeft" activeCell="L8" sqref="L8"/>
      <selection pane="bottomRight" activeCell="O127" sqref="A1:S296"/>
    </sheetView>
  </sheetViews>
  <sheetFormatPr defaultColWidth="8.7109375" defaultRowHeight="15" x14ac:dyDescent="0.2"/>
  <cols>
    <col min="1" max="1" width="12.42578125" style="826" customWidth="1"/>
    <col min="2" max="2" width="20.42578125" style="826" hidden="1" customWidth="1"/>
    <col min="3" max="3" width="51.85546875" style="826" customWidth="1"/>
    <col min="4" max="4" width="14.140625" style="826" customWidth="1"/>
    <col min="5" max="5" width="19" style="826" customWidth="1"/>
    <col min="6" max="6" width="12.85546875" style="826" customWidth="1"/>
    <col min="7" max="7" width="14.85546875" style="826" customWidth="1"/>
    <col min="8" max="8" width="8.7109375" style="826" customWidth="1"/>
    <col min="9" max="9" width="15.140625" style="826" customWidth="1"/>
    <col min="10" max="10" width="17" style="826" customWidth="1"/>
    <col min="11" max="11" width="14.28515625" style="826" bestFit="1" customWidth="1"/>
    <col min="12" max="12" width="10.85546875" style="826" customWidth="1"/>
    <col min="13" max="13" width="10.7109375" style="826" customWidth="1"/>
    <col min="14" max="14" width="8.85546875" style="880" customWidth="1"/>
    <col min="15" max="15" width="41.140625" style="881" customWidth="1"/>
    <col min="16" max="16" width="34.140625" style="881" customWidth="1"/>
    <col min="17" max="17" width="11.42578125" style="1180" customWidth="1"/>
    <col min="18" max="16384" width="8.7109375" style="826"/>
  </cols>
  <sheetData>
    <row r="1" spans="1:19" ht="12.95" customHeight="1" x14ac:dyDescent="0.2">
      <c r="A1" s="3810" t="s">
        <v>3128</v>
      </c>
      <c r="B1" s="3810"/>
      <c r="C1" s="3810"/>
      <c r="D1" s="3810"/>
      <c r="E1" s="3810"/>
      <c r="F1" s="3810"/>
      <c r="G1" s="3810"/>
      <c r="H1" s="3810"/>
      <c r="I1" s="3810"/>
      <c r="J1" s="3810"/>
      <c r="K1" s="3810"/>
      <c r="L1" s="3810"/>
      <c r="M1" s="3810"/>
      <c r="N1" s="3810"/>
      <c r="O1" s="3810"/>
      <c r="P1" s="3810"/>
      <c r="Q1" s="3810"/>
    </row>
    <row r="2" spans="1:19" s="828" customFormat="1" x14ac:dyDescent="0.25">
      <c r="A2" s="3811" t="str">
        <f>HYPERLINK("#Index!A4", "Index Pg")</f>
        <v>Index Pg</v>
      </c>
      <c r="B2" s="1367" t="str">
        <f>HYPERLINK("#'Summary of Abstracts'!A2", "Summary of Abst.")</f>
        <v>Summary of Abst.</v>
      </c>
      <c r="C2" s="1367" t="str">
        <f>HYPERLINK("#'NUHM Summary'!A4:A5", "NUHM Summary Sheet.")</f>
        <v>NUHM Summary Sheet.</v>
      </c>
      <c r="D2" s="829"/>
      <c r="E2" s="830" t="s">
        <v>5356</v>
      </c>
      <c r="F2" s="830" t="s">
        <v>5357</v>
      </c>
      <c r="G2" s="830" t="s">
        <v>5358</v>
      </c>
      <c r="H2" s="830" t="s">
        <v>5359</v>
      </c>
      <c r="I2" s="830" t="s">
        <v>5360</v>
      </c>
      <c r="J2" s="830" t="s">
        <v>5361</v>
      </c>
      <c r="K2" s="830" t="s">
        <v>5362</v>
      </c>
      <c r="L2" s="830" t="s">
        <v>5363</v>
      </c>
      <c r="M2" s="830" t="s">
        <v>5364</v>
      </c>
      <c r="N2" s="830" t="s">
        <v>5365</v>
      </c>
      <c r="O2" s="1828"/>
      <c r="P2" s="1828"/>
      <c r="Q2" s="1850"/>
      <c r="R2" s="826"/>
      <c r="S2" s="826"/>
    </row>
    <row r="3" spans="1:19" s="828" customFormat="1" x14ac:dyDescent="0.25">
      <c r="A3" s="3812"/>
      <c r="B3" s="831" t="str">
        <f>HYPERLINK("#'Budget Summary I'!A1:AL1", "Budget Summary I")</f>
        <v>Budget Summary I</v>
      </c>
      <c r="C3" s="832" t="s">
        <v>4608</v>
      </c>
      <c r="D3" s="833">
        <f>Q7</f>
        <v>0</v>
      </c>
      <c r="E3" s="834">
        <f>Q49</f>
        <v>0</v>
      </c>
      <c r="F3" s="834">
        <f>Q89</f>
        <v>0</v>
      </c>
      <c r="G3" s="834">
        <f>Q93+Q100+Q105+Q106+Q113+Q114+Q116</f>
        <v>0</v>
      </c>
      <c r="H3" s="834">
        <f>Q172</f>
        <v>0</v>
      </c>
      <c r="I3" s="834">
        <f>Q186+Q187+Q189+Q188</f>
        <v>0</v>
      </c>
      <c r="J3" s="1829">
        <f>Q206</f>
        <v>0</v>
      </c>
      <c r="K3" s="1830">
        <f>Q209</f>
        <v>0</v>
      </c>
      <c r="L3" s="1830">
        <f>Q228</f>
        <v>0</v>
      </c>
      <c r="M3" s="1830">
        <f>Q237</f>
        <v>0</v>
      </c>
      <c r="N3" s="1831">
        <f>Q271</f>
        <v>0</v>
      </c>
      <c r="O3" s="1851"/>
      <c r="P3" s="1852"/>
      <c r="Q3" s="1853"/>
      <c r="R3" s="826"/>
      <c r="S3" s="826"/>
    </row>
    <row r="4" spans="1:19" s="828" customFormat="1" x14ac:dyDescent="0.25">
      <c r="A4" s="3813"/>
      <c r="B4" s="831" t="str">
        <f>HYPERLINK("#'Budget Summary II'!A3:B5", "Budget Summary II")</f>
        <v>Budget Summary II</v>
      </c>
      <c r="C4" s="832" t="s">
        <v>4609</v>
      </c>
      <c r="D4" s="833">
        <f>N7</f>
        <v>1232.1406200000001</v>
      </c>
      <c r="E4" s="834">
        <f>N49</f>
        <v>0</v>
      </c>
      <c r="F4" s="834">
        <f>N89</f>
        <v>0</v>
      </c>
      <c r="G4" s="834">
        <f>N93+N100+N105+N106+N113+N114+N116</f>
        <v>0</v>
      </c>
      <c r="H4" s="834">
        <f>N172</f>
        <v>0</v>
      </c>
      <c r="I4" s="834">
        <f>N186+N187+N189+N188</f>
        <v>0</v>
      </c>
      <c r="J4" s="1829">
        <f>N206</f>
        <v>0</v>
      </c>
      <c r="K4" s="1830">
        <f>N209</f>
        <v>0</v>
      </c>
      <c r="L4" s="1830">
        <f>N228</f>
        <v>0</v>
      </c>
      <c r="M4" s="1830">
        <f>N237</f>
        <v>0</v>
      </c>
      <c r="N4" s="1831">
        <f>N271</f>
        <v>0</v>
      </c>
      <c r="O4" s="1851"/>
      <c r="P4" s="1852"/>
      <c r="Q4" s="1853"/>
      <c r="R4" s="826"/>
      <c r="S4" s="826"/>
    </row>
    <row r="5" spans="1:19" s="836" customFormat="1" ht="12.75" customHeight="1" x14ac:dyDescent="0.2">
      <c r="A5" s="3814" t="s">
        <v>53</v>
      </c>
      <c r="B5" s="3814" t="s">
        <v>54</v>
      </c>
      <c r="C5" s="3814" t="s">
        <v>55</v>
      </c>
      <c r="D5" s="3814" t="s">
        <v>4672</v>
      </c>
      <c r="E5" s="3876" t="s">
        <v>4629</v>
      </c>
      <c r="F5" s="3876"/>
      <c r="G5" s="3876"/>
      <c r="H5" s="3876"/>
      <c r="I5" s="3876"/>
      <c r="J5" s="3877" t="s">
        <v>4640</v>
      </c>
      <c r="K5" s="3888"/>
      <c r="L5" s="3888"/>
      <c r="M5" s="3888"/>
      <c r="N5" s="3888"/>
      <c r="O5" s="3889"/>
      <c r="P5" s="3890" t="s">
        <v>4670</v>
      </c>
      <c r="Q5" s="3891"/>
      <c r="R5" s="835"/>
      <c r="S5" s="835"/>
    </row>
    <row r="6" spans="1:19" s="835" customFormat="1" ht="60" x14ac:dyDescent="0.2">
      <c r="A6" s="3815"/>
      <c r="B6" s="3815"/>
      <c r="C6" s="3815"/>
      <c r="D6" s="3815"/>
      <c r="E6" s="896" t="s">
        <v>4630</v>
      </c>
      <c r="F6" s="896" t="s">
        <v>4638</v>
      </c>
      <c r="G6" s="896" t="s">
        <v>4631</v>
      </c>
      <c r="H6" s="896" t="s">
        <v>4639</v>
      </c>
      <c r="I6" s="896" t="s">
        <v>2538</v>
      </c>
      <c r="J6" s="897" t="s">
        <v>58</v>
      </c>
      <c r="K6" s="897" t="s">
        <v>59</v>
      </c>
      <c r="L6" s="1197" t="s">
        <v>60</v>
      </c>
      <c r="M6" s="897" t="s">
        <v>61</v>
      </c>
      <c r="N6" s="1197" t="s">
        <v>62</v>
      </c>
      <c r="O6" s="897" t="s">
        <v>63</v>
      </c>
      <c r="P6" s="899" t="s">
        <v>2540</v>
      </c>
      <c r="Q6" s="900" t="s">
        <v>4671</v>
      </c>
      <c r="R6" s="835" t="s">
        <v>4724</v>
      </c>
    </row>
    <row r="7" spans="1:19" s="839" customFormat="1" hidden="1" x14ac:dyDescent="0.2">
      <c r="A7" s="184"/>
      <c r="B7" s="184"/>
      <c r="C7" s="184" t="s">
        <v>3956</v>
      </c>
      <c r="D7" s="184"/>
      <c r="E7" s="184"/>
      <c r="F7" s="184"/>
      <c r="G7" s="1835"/>
      <c r="H7" s="1835"/>
      <c r="I7" s="1835"/>
      <c r="J7" s="184"/>
      <c r="K7" s="184"/>
      <c r="L7" s="184"/>
      <c r="M7" s="184"/>
      <c r="N7" s="1835">
        <f>N8+N38+N51+N70+N77+N91+N118+N120+N174+N195+N204+N207+N210+N223+N227+N230+N270+N273</f>
        <v>1232.1406200000001</v>
      </c>
      <c r="O7" s="1835"/>
      <c r="P7" s="184"/>
      <c r="Q7" s="224">
        <f>Q8+Q38+Q51+Q70+Q77+Q91+Q118+Q120+Q174+Q195+Q204+Q207+Q210+Q223+Q227+Q230+Q270+Q273</f>
        <v>0</v>
      </c>
      <c r="R7" s="839">
        <f>SUM(R8:R274)</f>
        <v>182.16</v>
      </c>
    </row>
    <row r="8" spans="1:19" hidden="1" x14ac:dyDescent="0.2">
      <c r="A8" s="184" t="s">
        <v>3129</v>
      </c>
      <c r="B8" s="184"/>
      <c r="C8" s="184" t="s">
        <v>4</v>
      </c>
      <c r="D8" s="184"/>
      <c r="E8" s="184"/>
      <c r="F8" s="184"/>
      <c r="G8" s="1835"/>
      <c r="H8" s="1835"/>
      <c r="I8" s="1835"/>
      <c r="J8" s="184"/>
      <c r="K8" s="184"/>
      <c r="L8" s="184"/>
      <c r="M8" s="184"/>
      <c r="N8" s="1835">
        <f>N9+N33+N30</f>
        <v>0</v>
      </c>
      <c r="O8" s="1835"/>
      <c r="P8" s="184"/>
      <c r="Q8" s="224">
        <f>Q9+Q33+Q30</f>
        <v>0</v>
      </c>
    </row>
    <row r="9" spans="1:19" hidden="1" x14ac:dyDescent="0.2">
      <c r="A9" s="840" t="s">
        <v>3130</v>
      </c>
      <c r="B9" s="840"/>
      <c r="C9" s="840" t="s">
        <v>5</v>
      </c>
      <c r="D9" s="840"/>
      <c r="E9" s="840"/>
      <c r="F9" s="840"/>
      <c r="G9" s="1836"/>
      <c r="H9" s="1836"/>
      <c r="I9" s="1836"/>
      <c r="J9" s="840"/>
      <c r="K9" s="840"/>
      <c r="L9" s="840"/>
      <c r="M9" s="840"/>
      <c r="N9" s="1836">
        <f>N10+N18</f>
        <v>0</v>
      </c>
      <c r="O9" s="1836"/>
      <c r="P9" s="840"/>
      <c r="Q9" s="225">
        <f>Q10+Q18</f>
        <v>0</v>
      </c>
    </row>
    <row r="10" spans="1:19" hidden="1" x14ac:dyDescent="0.2">
      <c r="A10" s="103" t="s">
        <v>3131</v>
      </c>
      <c r="B10" s="842" t="s">
        <v>2944</v>
      </c>
      <c r="C10" s="842" t="s">
        <v>2945</v>
      </c>
      <c r="D10" s="842"/>
      <c r="E10" s="571"/>
      <c r="F10" s="571"/>
      <c r="G10" s="1837"/>
      <c r="H10" s="1837"/>
      <c r="I10" s="1837"/>
      <c r="J10" s="571"/>
      <c r="K10" s="1491"/>
      <c r="L10" s="327"/>
      <c r="M10" s="304"/>
      <c r="N10" s="1837"/>
      <c r="O10" s="1837"/>
      <c r="P10" s="1090"/>
      <c r="Q10" s="227"/>
    </row>
    <row r="11" spans="1:19" ht="15.75" hidden="1" x14ac:dyDescent="0.2">
      <c r="A11" s="103" t="s">
        <v>4815</v>
      </c>
      <c r="B11" s="842"/>
      <c r="C11" s="843" t="s">
        <v>5555</v>
      </c>
      <c r="D11" s="842" t="s">
        <v>293</v>
      </c>
      <c r="E11" s="2807">
        <v>540000</v>
      </c>
      <c r="F11" s="2808">
        <v>0</v>
      </c>
      <c r="G11" s="2802">
        <f>5.4*25</f>
        <v>135</v>
      </c>
      <c r="H11" s="2808"/>
      <c r="I11" s="2808"/>
      <c r="J11" s="3195"/>
      <c r="K11" s="3194"/>
      <c r="L11" s="327"/>
      <c r="M11" s="3081"/>
      <c r="N11" s="1837">
        <f t="shared" ref="N11:N17" si="0">L11*M11</f>
        <v>0</v>
      </c>
      <c r="O11" s="1837"/>
      <c r="P11" s="1090"/>
      <c r="Q11" s="1091">
        <v>0</v>
      </c>
    </row>
    <row r="12" spans="1:19" ht="15.75" hidden="1" x14ac:dyDescent="0.2">
      <c r="A12" s="103" t="s">
        <v>4816</v>
      </c>
      <c r="B12" s="842"/>
      <c r="C12" s="843" t="s">
        <v>5285</v>
      </c>
      <c r="D12" s="842" t="s">
        <v>114</v>
      </c>
      <c r="E12" s="571"/>
      <c r="F12" s="571"/>
      <c r="G12" s="571"/>
      <c r="H12" s="571"/>
      <c r="I12" s="571"/>
      <c r="J12" s="3069"/>
      <c r="K12" s="3196"/>
      <c r="L12" s="327"/>
      <c r="M12" s="3070"/>
      <c r="N12" s="1837">
        <f t="shared" si="0"/>
        <v>0</v>
      </c>
      <c r="O12" s="1837"/>
      <c r="P12" s="1090"/>
      <c r="Q12" s="1091"/>
    </row>
    <row r="13" spans="1:19" ht="15.75" hidden="1" x14ac:dyDescent="0.2">
      <c r="A13" s="103" t="s">
        <v>4817</v>
      </c>
      <c r="B13" s="842"/>
      <c r="C13" s="843" t="s">
        <v>5287</v>
      </c>
      <c r="D13" s="842" t="s">
        <v>146</v>
      </c>
      <c r="E13" s="571"/>
      <c r="F13" s="571"/>
      <c r="G13" s="571"/>
      <c r="H13" s="571"/>
      <c r="I13" s="571"/>
      <c r="J13" s="3069"/>
      <c r="K13" s="3196"/>
      <c r="L13" s="327"/>
      <c r="M13" s="3070"/>
      <c r="N13" s="1837">
        <f t="shared" si="0"/>
        <v>0</v>
      </c>
      <c r="O13" s="1837"/>
      <c r="P13" s="1090"/>
      <c r="Q13" s="1091"/>
    </row>
    <row r="14" spans="1:19" ht="15.75" hidden="1" x14ac:dyDescent="0.2">
      <c r="A14" s="103" t="s">
        <v>4818</v>
      </c>
      <c r="B14" s="842"/>
      <c r="C14" s="843" t="s">
        <v>5286</v>
      </c>
      <c r="D14" s="842" t="s">
        <v>4683</v>
      </c>
      <c r="E14" s="571"/>
      <c r="F14" s="571"/>
      <c r="G14" s="571"/>
      <c r="H14" s="571"/>
      <c r="I14" s="571"/>
      <c r="J14" s="3069"/>
      <c r="K14" s="3197"/>
      <c r="L14" s="327"/>
      <c r="M14" s="3070"/>
      <c r="N14" s="1837"/>
      <c r="O14" s="1837"/>
      <c r="P14" s="1090"/>
      <c r="Q14" s="1091"/>
    </row>
    <row r="15" spans="1:19" hidden="1" x14ac:dyDescent="0.2">
      <c r="A15" s="103" t="s">
        <v>5567</v>
      </c>
      <c r="B15" s="842"/>
      <c r="C15" s="843" t="s">
        <v>5290</v>
      </c>
      <c r="D15" s="842" t="s">
        <v>3323</v>
      </c>
      <c r="E15" s="571"/>
      <c r="F15" s="571"/>
      <c r="G15" s="571"/>
      <c r="H15" s="571"/>
      <c r="I15" s="571"/>
      <c r="J15" s="571"/>
      <c r="K15" s="1491"/>
      <c r="L15" s="327">
        <f t="shared" ref="L15:L32" si="1">K15/100000</f>
        <v>0</v>
      </c>
      <c r="M15" s="304"/>
      <c r="N15" s="1837">
        <f t="shared" si="0"/>
        <v>0</v>
      </c>
      <c r="O15" s="1837"/>
      <c r="P15" s="1090">
        <f>'Abs12. NVHCP'!Q50</f>
        <v>0</v>
      </c>
      <c r="Q15" s="1091">
        <f>'Abs12. NVHCP'!R50</f>
        <v>0</v>
      </c>
    </row>
    <row r="16" spans="1:19" hidden="1" x14ac:dyDescent="0.2">
      <c r="A16" s="103" t="s">
        <v>5568</v>
      </c>
      <c r="B16" s="842"/>
      <c r="C16" s="843" t="s">
        <v>5288</v>
      </c>
      <c r="D16" s="842" t="s">
        <v>3993</v>
      </c>
      <c r="E16" s="571"/>
      <c r="F16" s="571"/>
      <c r="G16" s="571"/>
      <c r="H16" s="571"/>
      <c r="I16" s="571"/>
      <c r="J16" s="571"/>
      <c r="K16" s="1491"/>
      <c r="L16" s="327">
        <f t="shared" si="1"/>
        <v>0</v>
      </c>
      <c r="M16" s="304"/>
      <c r="N16" s="1837">
        <f t="shared" si="0"/>
        <v>0</v>
      </c>
      <c r="O16" s="1837"/>
      <c r="P16" s="1090">
        <f>'Abs13. NRCP'!Q22</f>
        <v>0</v>
      </c>
      <c r="Q16" s="1091">
        <f>'Abs13. NRCP'!R22</f>
        <v>0</v>
      </c>
    </row>
    <row r="17" spans="1:17" hidden="1" x14ac:dyDescent="0.2">
      <c r="A17" s="103" t="s">
        <v>5569</v>
      </c>
      <c r="B17" s="842"/>
      <c r="C17" s="843" t="s">
        <v>5556</v>
      </c>
      <c r="D17" s="842" t="s">
        <v>4553</v>
      </c>
      <c r="E17" s="571"/>
      <c r="F17" s="571"/>
      <c r="G17" s="571"/>
      <c r="H17" s="571"/>
      <c r="I17" s="571"/>
      <c r="J17" s="571"/>
      <c r="K17" s="1491"/>
      <c r="L17" s="327">
        <f t="shared" si="1"/>
        <v>0</v>
      </c>
      <c r="M17" s="304"/>
      <c r="N17" s="1837">
        <f t="shared" si="0"/>
        <v>0</v>
      </c>
      <c r="O17" s="1837"/>
      <c r="P17" s="1090">
        <f>'Abs14. PPCL'!Q23</f>
        <v>0</v>
      </c>
      <c r="Q17" s="1091">
        <f>'Abs14. PPCL'!R23</f>
        <v>0</v>
      </c>
    </row>
    <row r="18" spans="1:17" ht="30" hidden="1" x14ac:dyDescent="0.2">
      <c r="A18" s="103" t="s">
        <v>3132</v>
      </c>
      <c r="B18" s="842"/>
      <c r="C18" s="842" t="s">
        <v>2946</v>
      </c>
      <c r="D18" s="842"/>
      <c r="E18" s="571"/>
      <c r="F18" s="571"/>
      <c r="G18" s="571"/>
      <c r="H18" s="571"/>
      <c r="I18" s="571"/>
      <c r="J18" s="571"/>
      <c r="K18" s="1491"/>
      <c r="L18" s="327">
        <f t="shared" si="1"/>
        <v>0</v>
      </c>
      <c r="M18" s="304"/>
      <c r="N18" s="1837">
        <f>SUM(N19:N29)</f>
        <v>0</v>
      </c>
      <c r="O18" s="1837"/>
      <c r="P18" s="1090"/>
      <c r="Q18" s="1837">
        <f>SUM(Q19:Q29)</f>
        <v>0</v>
      </c>
    </row>
    <row r="19" spans="1:17" hidden="1" x14ac:dyDescent="0.2">
      <c r="A19" s="103" t="s">
        <v>5295</v>
      </c>
      <c r="B19" s="842"/>
      <c r="C19" s="842" t="s">
        <v>5557</v>
      </c>
      <c r="D19" s="842" t="s">
        <v>86</v>
      </c>
      <c r="E19" s="571"/>
      <c r="F19" s="571"/>
      <c r="G19" s="571"/>
      <c r="H19" s="571"/>
      <c r="I19" s="571"/>
      <c r="J19" s="571"/>
      <c r="K19" s="1491"/>
      <c r="L19" s="327">
        <f t="shared" si="1"/>
        <v>0</v>
      </c>
      <c r="M19" s="304"/>
      <c r="N19" s="1837">
        <f t="shared" ref="N19:N29" si="2">L19*M19</f>
        <v>0</v>
      </c>
      <c r="O19" s="1837"/>
      <c r="P19" s="572"/>
      <c r="Q19" s="737"/>
    </row>
    <row r="20" spans="1:17" hidden="1" x14ac:dyDescent="0.2">
      <c r="A20" s="103" t="s">
        <v>5296</v>
      </c>
      <c r="B20" s="842"/>
      <c r="C20" s="842" t="s">
        <v>5291</v>
      </c>
      <c r="D20" s="842" t="s">
        <v>150</v>
      </c>
      <c r="E20" s="571"/>
      <c r="F20" s="571"/>
      <c r="G20" s="571"/>
      <c r="H20" s="571"/>
      <c r="I20" s="571"/>
      <c r="J20" s="571"/>
      <c r="K20" s="1491"/>
      <c r="L20" s="327">
        <f t="shared" si="1"/>
        <v>0</v>
      </c>
      <c r="M20" s="304"/>
      <c r="N20" s="1837">
        <f t="shared" si="2"/>
        <v>0</v>
      </c>
      <c r="O20" s="1837"/>
      <c r="P20" s="572"/>
      <c r="Q20" s="737"/>
    </row>
    <row r="21" spans="1:17" hidden="1" x14ac:dyDescent="0.2">
      <c r="A21" s="103" t="s">
        <v>5297</v>
      </c>
      <c r="B21" s="842"/>
      <c r="C21" s="842" t="s">
        <v>5293</v>
      </c>
      <c r="D21" s="842" t="s">
        <v>399</v>
      </c>
      <c r="E21" s="571"/>
      <c r="F21" s="571"/>
      <c r="G21" s="571"/>
      <c r="H21" s="571"/>
      <c r="I21" s="571"/>
      <c r="J21" s="571"/>
      <c r="K21" s="1491"/>
      <c r="L21" s="327">
        <f t="shared" si="1"/>
        <v>0</v>
      </c>
      <c r="M21" s="304"/>
      <c r="N21" s="1837">
        <f t="shared" si="2"/>
        <v>0</v>
      </c>
      <c r="O21" s="1837"/>
      <c r="P21" s="572"/>
      <c r="Q21" s="737"/>
    </row>
    <row r="22" spans="1:17" hidden="1" x14ac:dyDescent="0.2">
      <c r="A22" s="103" t="s">
        <v>5298</v>
      </c>
      <c r="B22" s="842"/>
      <c r="C22" s="842" t="s">
        <v>5292</v>
      </c>
      <c r="D22" s="842" t="s">
        <v>152</v>
      </c>
      <c r="E22" s="571"/>
      <c r="F22" s="571"/>
      <c r="G22" s="571"/>
      <c r="H22" s="571"/>
      <c r="I22" s="571"/>
      <c r="J22" s="571"/>
      <c r="K22" s="1491"/>
      <c r="L22" s="327">
        <f t="shared" si="1"/>
        <v>0</v>
      </c>
      <c r="M22" s="304"/>
      <c r="N22" s="1837">
        <f t="shared" si="2"/>
        <v>0</v>
      </c>
      <c r="O22" s="1837"/>
      <c r="P22" s="572"/>
      <c r="Q22" s="737"/>
    </row>
    <row r="23" spans="1:17" hidden="1" x14ac:dyDescent="0.2">
      <c r="A23" s="103" t="s">
        <v>5299</v>
      </c>
      <c r="B23" s="842"/>
      <c r="C23" s="842" t="s">
        <v>5294</v>
      </c>
      <c r="D23" s="842" t="s">
        <v>415</v>
      </c>
      <c r="E23" s="571"/>
      <c r="F23" s="571"/>
      <c r="G23" s="571"/>
      <c r="H23" s="571"/>
      <c r="I23" s="571"/>
      <c r="J23" s="571"/>
      <c r="K23" s="1491"/>
      <c r="L23" s="327">
        <f t="shared" si="1"/>
        <v>0</v>
      </c>
      <c r="M23" s="304"/>
      <c r="N23" s="1837">
        <f t="shared" si="2"/>
        <v>0</v>
      </c>
      <c r="O23" s="1837"/>
      <c r="P23" s="572"/>
      <c r="Q23" s="737"/>
    </row>
    <row r="24" spans="1:17" hidden="1" x14ac:dyDescent="0.2">
      <c r="A24" s="103" t="s">
        <v>5300</v>
      </c>
      <c r="B24" s="842"/>
      <c r="C24" s="842" t="s">
        <v>5558</v>
      </c>
      <c r="D24" s="842" t="s">
        <v>4925</v>
      </c>
      <c r="E24" s="571"/>
      <c r="F24" s="571"/>
      <c r="G24" s="571"/>
      <c r="H24" s="571"/>
      <c r="I24" s="571"/>
      <c r="J24" s="571"/>
      <c r="K24" s="1491"/>
      <c r="L24" s="327">
        <f t="shared" si="1"/>
        <v>0</v>
      </c>
      <c r="M24" s="304"/>
      <c r="N24" s="1837">
        <f t="shared" si="2"/>
        <v>0</v>
      </c>
      <c r="O24" s="1837"/>
      <c r="P24" s="572"/>
      <c r="Q24" s="737"/>
    </row>
    <row r="25" spans="1:17" hidden="1" x14ac:dyDescent="0.2">
      <c r="A25" s="103" t="s">
        <v>5301</v>
      </c>
      <c r="B25" s="842"/>
      <c r="C25" s="842" t="s">
        <v>5559</v>
      </c>
      <c r="D25" s="842" t="s">
        <v>4132</v>
      </c>
      <c r="E25" s="571"/>
      <c r="F25" s="571"/>
      <c r="G25" s="571"/>
      <c r="H25" s="571"/>
      <c r="I25" s="571"/>
      <c r="J25" s="571"/>
      <c r="K25" s="1491"/>
      <c r="L25" s="327">
        <f t="shared" si="1"/>
        <v>0</v>
      </c>
      <c r="M25" s="304"/>
      <c r="N25" s="1837">
        <f t="shared" si="2"/>
        <v>0</v>
      </c>
      <c r="O25" s="1837"/>
      <c r="P25" s="572"/>
      <c r="Q25" s="737"/>
    </row>
    <row r="26" spans="1:17" hidden="1" x14ac:dyDescent="0.2">
      <c r="A26" s="103" t="s">
        <v>5563</v>
      </c>
      <c r="B26" s="842"/>
      <c r="C26" s="842" t="s">
        <v>5560</v>
      </c>
      <c r="D26" s="842" t="s">
        <v>1020</v>
      </c>
      <c r="E26" s="571"/>
      <c r="F26" s="571"/>
      <c r="G26" s="571"/>
      <c r="H26" s="571"/>
      <c r="I26" s="571"/>
      <c r="J26" s="571"/>
      <c r="K26" s="1491"/>
      <c r="L26" s="327">
        <f t="shared" si="1"/>
        <v>0</v>
      </c>
      <c r="M26" s="304"/>
      <c r="N26" s="1837">
        <f t="shared" si="2"/>
        <v>0</v>
      </c>
      <c r="O26" s="1837"/>
      <c r="P26" s="572"/>
      <c r="Q26" s="737"/>
    </row>
    <row r="27" spans="1:17" hidden="1" x14ac:dyDescent="0.2">
      <c r="A27" s="103" t="s">
        <v>5564</v>
      </c>
      <c r="B27" s="842"/>
      <c r="C27" s="842" t="s">
        <v>5561</v>
      </c>
      <c r="D27" s="842" t="s">
        <v>1034</v>
      </c>
      <c r="E27" s="571"/>
      <c r="F27" s="571"/>
      <c r="G27" s="571"/>
      <c r="H27" s="571"/>
      <c r="I27" s="571"/>
      <c r="J27" s="571"/>
      <c r="K27" s="1491"/>
      <c r="L27" s="327">
        <f t="shared" si="1"/>
        <v>0</v>
      </c>
      <c r="M27" s="304"/>
      <c r="N27" s="1837">
        <f t="shared" si="2"/>
        <v>0</v>
      </c>
      <c r="O27" s="1837"/>
      <c r="P27" s="572"/>
      <c r="Q27" s="737"/>
    </row>
    <row r="28" spans="1:17" hidden="1" x14ac:dyDescent="0.2">
      <c r="A28" s="103" t="s">
        <v>5565</v>
      </c>
      <c r="B28" s="842"/>
      <c r="C28" s="842" t="s">
        <v>5562</v>
      </c>
      <c r="D28" s="842" t="s">
        <v>312</v>
      </c>
      <c r="E28" s="571"/>
      <c r="F28" s="571"/>
      <c r="G28" s="571"/>
      <c r="H28" s="571"/>
      <c r="I28" s="571"/>
      <c r="J28" s="571"/>
      <c r="K28" s="1491"/>
      <c r="L28" s="327">
        <f t="shared" si="1"/>
        <v>0</v>
      </c>
      <c r="M28" s="304"/>
      <c r="N28" s="1837">
        <f t="shared" si="2"/>
        <v>0</v>
      </c>
      <c r="O28" s="1837"/>
      <c r="P28" s="572"/>
      <c r="Q28" s="737"/>
    </row>
    <row r="29" spans="1:17" hidden="1" x14ac:dyDescent="0.2">
      <c r="A29" s="103" t="s">
        <v>5566</v>
      </c>
      <c r="B29" s="842"/>
      <c r="C29" s="842" t="s">
        <v>5289</v>
      </c>
      <c r="D29" s="842" t="s">
        <v>314</v>
      </c>
      <c r="E29" s="571"/>
      <c r="F29" s="571"/>
      <c r="G29" s="571"/>
      <c r="H29" s="571"/>
      <c r="I29" s="571"/>
      <c r="J29" s="571"/>
      <c r="K29" s="1491"/>
      <c r="L29" s="327">
        <f t="shared" si="1"/>
        <v>0</v>
      </c>
      <c r="M29" s="304"/>
      <c r="N29" s="1837">
        <f t="shared" si="2"/>
        <v>0</v>
      </c>
      <c r="O29" s="1837"/>
      <c r="P29" s="572"/>
      <c r="Q29" s="737"/>
    </row>
    <row r="30" spans="1:17" hidden="1" x14ac:dyDescent="0.2">
      <c r="A30" s="844" t="s">
        <v>3133</v>
      </c>
      <c r="B30" s="845"/>
      <c r="C30" s="846" t="s">
        <v>42</v>
      </c>
      <c r="D30" s="846"/>
      <c r="E30" s="1843"/>
      <c r="F30" s="1843"/>
      <c r="G30" s="660">
        <f>G31+G32</f>
        <v>0</v>
      </c>
      <c r="H30" s="660">
        <f>H31+H32</f>
        <v>0</v>
      </c>
      <c r="I30" s="660">
        <f>I31+I32</f>
        <v>0</v>
      </c>
      <c r="J30" s="1843"/>
      <c r="K30" s="420"/>
      <c r="L30" s="660"/>
      <c r="M30" s="1844"/>
      <c r="N30" s="660">
        <f>N31+N32</f>
        <v>0</v>
      </c>
      <c r="O30" s="660"/>
      <c r="P30" s="577"/>
      <c r="Q30" s="738">
        <f>Q31+Q32</f>
        <v>0</v>
      </c>
    </row>
    <row r="31" spans="1:17" hidden="1" x14ac:dyDescent="0.2">
      <c r="A31" s="555" t="s">
        <v>3134</v>
      </c>
      <c r="B31" s="847"/>
      <c r="C31" s="495" t="s">
        <v>2947</v>
      </c>
      <c r="D31" s="495" t="s">
        <v>118</v>
      </c>
      <c r="E31" s="320"/>
      <c r="F31" s="320"/>
      <c r="G31" s="320"/>
      <c r="H31" s="320"/>
      <c r="I31" s="320"/>
      <c r="J31" s="320"/>
      <c r="K31" s="1491"/>
      <c r="L31" s="327">
        <f t="shared" si="1"/>
        <v>0</v>
      </c>
      <c r="M31" s="304"/>
      <c r="N31" s="1837">
        <f>L31*M31</f>
        <v>0</v>
      </c>
      <c r="O31" s="1837"/>
      <c r="P31" s="196"/>
      <c r="Q31" s="739"/>
    </row>
    <row r="32" spans="1:17" hidden="1" x14ac:dyDescent="0.2">
      <c r="A32" s="555" t="s">
        <v>3135</v>
      </c>
      <c r="B32" s="847"/>
      <c r="C32" s="495" t="s">
        <v>2948</v>
      </c>
      <c r="D32" s="495" t="s">
        <v>91</v>
      </c>
      <c r="E32" s="320"/>
      <c r="F32" s="320"/>
      <c r="G32" s="320"/>
      <c r="H32" s="320"/>
      <c r="I32" s="320"/>
      <c r="J32" s="320"/>
      <c r="K32" s="1491"/>
      <c r="L32" s="327">
        <f t="shared" si="1"/>
        <v>0</v>
      </c>
      <c r="M32" s="304"/>
      <c r="N32" s="1837">
        <f>L32*M32</f>
        <v>0</v>
      </c>
      <c r="O32" s="1837"/>
      <c r="P32" s="196"/>
      <c r="Q32" s="739"/>
    </row>
    <row r="33" spans="1:17" hidden="1" x14ac:dyDescent="0.2">
      <c r="A33" s="840" t="s">
        <v>3136</v>
      </c>
      <c r="B33" s="840"/>
      <c r="C33" s="840" t="s">
        <v>45</v>
      </c>
      <c r="D33" s="840"/>
      <c r="E33" s="181"/>
      <c r="F33" s="181"/>
      <c r="G33" s="1836"/>
      <c r="H33" s="1836"/>
      <c r="I33" s="1836"/>
      <c r="J33" s="181"/>
      <c r="K33" s="181"/>
      <c r="L33" s="840"/>
      <c r="M33" s="181"/>
      <c r="N33" s="1836">
        <f>SUM(N34:N37)</f>
        <v>0</v>
      </c>
      <c r="O33" s="1836"/>
      <c r="P33" s="181"/>
      <c r="Q33" s="225">
        <f>SUM(Q34:Q37)</f>
        <v>0</v>
      </c>
    </row>
    <row r="34" spans="1:17" hidden="1" x14ac:dyDescent="0.2">
      <c r="A34" s="103" t="s">
        <v>3137</v>
      </c>
      <c r="B34" s="103" t="s">
        <v>2949</v>
      </c>
      <c r="C34" s="103" t="s">
        <v>2950</v>
      </c>
      <c r="D34" s="103" t="s">
        <v>5348</v>
      </c>
      <c r="E34" s="2800"/>
      <c r="F34" s="2805"/>
      <c r="G34" s="2802"/>
      <c r="H34" s="2806"/>
      <c r="I34" s="2805"/>
      <c r="J34" s="2804"/>
      <c r="K34" s="2805"/>
      <c r="L34" s="327"/>
      <c r="M34" s="304"/>
      <c r="N34" s="1837">
        <f>L34*M34</f>
        <v>0</v>
      </c>
      <c r="O34" s="1837"/>
      <c r="P34" s="67"/>
      <c r="Q34" s="737"/>
    </row>
    <row r="35" spans="1:17" ht="30" hidden="1" x14ac:dyDescent="0.2">
      <c r="A35" s="103" t="s">
        <v>3138</v>
      </c>
      <c r="B35" s="103" t="s">
        <v>2951</v>
      </c>
      <c r="C35" s="103" t="s">
        <v>2952</v>
      </c>
      <c r="D35" s="103" t="s">
        <v>5348</v>
      </c>
      <c r="E35" s="67"/>
      <c r="F35" s="67"/>
      <c r="G35" s="67"/>
      <c r="H35" s="67"/>
      <c r="I35" s="67"/>
      <c r="J35" s="67"/>
      <c r="K35" s="1491"/>
      <c r="L35" s="327">
        <f>K35/100000</f>
        <v>0</v>
      </c>
      <c r="M35" s="304"/>
      <c r="N35" s="1837">
        <f>L35*M35</f>
        <v>0</v>
      </c>
      <c r="O35" s="1837"/>
      <c r="P35" s="67"/>
      <c r="Q35" s="737"/>
    </row>
    <row r="36" spans="1:17" hidden="1" x14ac:dyDescent="0.2">
      <c r="A36" s="103" t="s">
        <v>3139</v>
      </c>
      <c r="B36" s="103" t="s">
        <v>2953</v>
      </c>
      <c r="C36" s="103" t="s">
        <v>2954</v>
      </c>
      <c r="D36" s="103" t="s">
        <v>5348</v>
      </c>
      <c r="E36" s="67"/>
      <c r="F36" s="67"/>
      <c r="G36" s="67"/>
      <c r="H36" s="67"/>
      <c r="I36" s="67"/>
      <c r="J36" s="67"/>
      <c r="K36" s="1491"/>
      <c r="L36" s="327">
        <f>K36/100000</f>
        <v>0</v>
      </c>
      <c r="M36" s="304"/>
      <c r="N36" s="1837">
        <f>L36*M36</f>
        <v>0</v>
      </c>
      <c r="O36" s="1837"/>
      <c r="P36" s="67"/>
      <c r="Q36" s="737"/>
    </row>
    <row r="37" spans="1:17" hidden="1" x14ac:dyDescent="0.2">
      <c r="A37" s="103" t="s">
        <v>3140</v>
      </c>
      <c r="B37" s="174"/>
      <c r="C37" s="842" t="s">
        <v>307</v>
      </c>
      <c r="D37" s="103" t="s">
        <v>5348</v>
      </c>
      <c r="E37" s="171"/>
      <c r="F37" s="171"/>
      <c r="G37" s="171"/>
      <c r="H37" s="171"/>
      <c r="I37" s="171"/>
      <c r="J37" s="171"/>
      <c r="K37" s="1491"/>
      <c r="L37" s="327">
        <f>K37/100000</f>
        <v>0</v>
      </c>
      <c r="M37" s="304"/>
      <c r="N37" s="1837">
        <f>L37*M37</f>
        <v>0</v>
      </c>
      <c r="O37" s="1837"/>
      <c r="P37" s="67"/>
      <c r="Q37" s="737"/>
    </row>
    <row r="38" spans="1:17" ht="15.75" hidden="1" x14ac:dyDescent="0.2">
      <c r="A38" s="3063" t="s">
        <v>3141</v>
      </c>
      <c r="B38" s="3063"/>
      <c r="C38" s="3063" t="s">
        <v>6</v>
      </c>
      <c r="D38" s="3063"/>
      <c r="E38" s="3087"/>
      <c r="F38" s="3087"/>
      <c r="G38" s="3064"/>
      <c r="H38" s="3064"/>
      <c r="I38" s="3064"/>
      <c r="J38" s="3087"/>
      <c r="K38" s="3087"/>
      <c r="L38" s="3063"/>
      <c r="M38" s="3087"/>
      <c r="N38" s="3064">
        <f>N39+N42+N45</f>
        <v>0</v>
      </c>
      <c r="O38" s="3064"/>
      <c r="P38" s="3087"/>
      <c r="Q38" s="3198">
        <f>Q39+Q42+Q45</f>
        <v>0</v>
      </c>
    </row>
    <row r="39" spans="1:17" ht="15.75" hidden="1" x14ac:dyDescent="0.2">
      <c r="A39" s="3065" t="s">
        <v>3142</v>
      </c>
      <c r="B39" s="3065"/>
      <c r="C39" s="3065" t="s">
        <v>7</v>
      </c>
      <c r="D39" s="3065"/>
      <c r="E39" s="3015"/>
      <c r="F39" s="3015"/>
      <c r="G39" s="3066"/>
      <c r="H39" s="3066"/>
      <c r="I39" s="3066"/>
      <c r="J39" s="3015"/>
      <c r="K39" s="3015"/>
      <c r="L39" s="3065"/>
      <c r="M39" s="3015"/>
      <c r="N39" s="3066">
        <f>SUM(N40:N41)</f>
        <v>0</v>
      </c>
      <c r="O39" s="3066"/>
      <c r="P39" s="3015"/>
      <c r="Q39" s="3199">
        <f>SUM(Q40:Q41)</f>
        <v>0</v>
      </c>
    </row>
    <row r="40" spans="1:17" ht="31.5" hidden="1" x14ac:dyDescent="0.2">
      <c r="A40" s="3067" t="s">
        <v>3143</v>
      </c>
      <c r="B40" s="3067" t="s">
        <v>2955</v>
      </c>
      <c r="C40" s="3067" t="s">
        <v>2956</v>
      </c>
      <c r="D40" s="3067" t="s">
        <v>5348</v>
      </c>
      <c r="E40" s="3081"/>
      <c r="F40" s="3083"/>
      <c r="G40" s="3088"/>
      <c r="H40" s="3200"/>
      <c r="I40" s="3083"/>
      <c r="J40" s="3083"/>
      <c r="K40" s="3083"/>
      <c r="L40" s="3071"/>
      <c r="M40" s="3070"/>
      <c r="N40" s="3072">
        <f>L40*M40</f>
        <v>0</v>
      </c>
      <c r="O40" s="3072"/>
      <c r="P40" s="3084"/>
      <c r="Q40" s="3201"/>
    </row>
    <row r="41" spans="1:17" ht="98.25" hidden="1" customHeight="1" x14ac:dyDescent="0.2">
      <c r="A41" s="3067" t="s">
        <v>3144</v>
      </c>
      <c r="B41" s="3085"/>
      <c r="C41" s="3068" t="s">
        <v>307</v>
      </c>
      <c r="D41" s="3067" t="s">
        <v>5348</v>
      </c>
      <c r="E41" s="3081"/>
      <c r="F41" s="3086"/>
      <c r="G41" s="3073"/>
      <c r="H41" s="3086"/>
      <c r="I41" s="3086"/>
      <c r="J41" s="3086"/>
      <c r="K41" s="3086"/>
      <c r="L41" s="3071"/>
      <c r="M41" s="3070"/>
      <c r="N41" s="3072">
        <f>L41*M41</f>
        <v>0</v>
      </c>
      <c r="O41" s="3072"/>
      <c r="P41" s="124"/>
      <c r="Q41" s="739"/>
    </row>
    <row r="42" spans="1:17" ht="15.75" hidden="1" x14ac:dyDescent="0.2">
      <c r="A42" s="3065" t="s">
        <v>3145</v>
      </c>
      <c r="B42" s="3065"/>
      <c r="C42" s="3065" t="s">
        <v>8</v>
      </c>
      <c r="D42" s="3065"/>
      <c r="E42" s="3015"/>
      <c r="F42" s="3015"/>
      <c r="G42" s="3066"/>
      <c r="H42" s="3066"/>
      <c r="I42" s="3066"/>
      <c r="J42" s="3015"/>
      <c r="K42" s="3015"/>
      <c r="L42" s="3065"/>
      <c r="M42" s="3015"/>
      <c r="N42" s="3066">
        <f>SUM(N43:N44)</f>
        <v>0</v>
      </c>
      <c r="O42" s="3066"/>
      <c r="P42" s="3015"/>
      <c r="Q42" s="3199">
        <f>SUM(Q43:Q44)</f>
        <v>0</v>
      </c>
    </row>
    <row r="43" spans="1:17" ht="15.75" hidden="1" x14ac:dyDescent="0.2">
      <c r="A43" s="3067" t="s">
        <v>3146</v>
      </c>
      <c r="B43" s="3067" t="s">
        <v>2957</v>
      </c>
      <c r="C43" s="3067" t="s">
        <v>2958</v>
      </c>
      <c r="D43" s="3067" t="s">
        <v>5348</v>
      </c>
      <c r="E43" s="3081"/>
      <c r="F43" s="3084"/>
      <c r="G43" s="3202"/>
      <c r="H43" s="3084"/>
      <c r="I43" s="3084"/>
      <c r="J43" s="3083"/>
      <c r="K43" s="3083"/>
      <c r="L43" s="3071"/>
      <c r="M43" s="3070"/>
      <c r="N43" s="3072">
        <f>L43*M43</f>
        <v>0</v>
      </c>
      <c r="O43" s="3072"/>
      <c r="P43" s="3084"/>
      <c r="Q43" s="3201"/>
    </row>
    <row r="44" spans="1:17" ht="15.75" hidden="1" x14ac:dyDescent="0.2">
      <c r="A44" s="3067" t="s">
        <v>3147</v>
      </c>
      <c r="B44" s="3067"/>
      <c r="C44" s="3067" t="s">
        <v>307</v>
      </c>
      <c r="D44" s="3067" t="s">
        <v>5348</v>
      </c>
      <c r="E44" s="3084"/>
      <c r="F44" s="3084"/>
      <c r="G44" s="3084"/>
      <c r="H44" s="3084"/>
      <c r="I44" s="3084"/>
      <c r="J44" s="3084"/>
      <c r="K44" s="3196"/>
      <c r="L44" s="3071">
        <f t="shared" ref="L44:L50" si="3">K44/100000</f>
        <v>0</v>
      </c>
      <c r="M44" s="3070"/>
      <c r="N44" s="3072">
        <f>L44*M44</f>
        <v>0</v>
      </c>
      <c r="O44" s="3072"/>
      <c r="P44" s="3084"/>
      <c r="Q44" s="3201"/>
    </row>
    <row r="45" spans="1:17" ht="15.75" hidden="1" x14ac:dyDescent="0.2">
      <c r="A45" s="3065" t="s">
        <v>3148</v>
      </c>
      <c r="B45" s="3065"/>
      <c r="C45" s="3065" t="s">
        <v>9</v>
      </c>
      <c r="D45" s="3065"/>
      <c r="E45" s="3015"/>
      <c r="F45" s="3015"/>
      <c r="G45" s="3066"/>
      <c r="H45" s="3066"/>
      <c r="I45" s="3066"/>
      <c r="J45" s="3015"/>
      <c r="K45" s="3015"/>
      <c r="L45" s="3065"/>
      <c r="M45" s="3015"/>
      <c r="N45" s="3066">
        <f>SUM(N46:N50)</f>
        <v>0</v>
      </c>
      <c r="O45" s="3066"/>
      <c r="P45" s="3015"/>
      <c r="Q45" s="3199">
        <f>SUM(Q46:Q50)</f>
        <v>0</v>
      </c>
    </row>
    <row r="46" spans="1:17" ht="15.75" hidden="1" x14ac:dyDescent="0.2">
      <c r="A46" s="3067" t="s">
        <v>3149</v>
      </c>
      <c r="B46" s="3067" t="s">
        <v>2959</v>
      </c>
      <c r="C46" s="3067" t="s">
        <v>2960</v>
      </c>
      <c r="D46" s="3067" t="s">
        <v>5348</v>
      </c>
      <c r="E46" s="3081"/>
      <c r="F46" s="3083"/>
      <c r="G46" s="3073"/>
      <c r="H46" s="3200"/>
      <c r="I46" s="3083"/>
      <c r="J46" s="3083"/>
      <c r="K46" s="3083"/>
      <c r="L46" s="3071"/>
      <c r="M46" s="3081"/>
      <c r="N46" s="3072">
        <f>L46*M46</f>
        <v>0</v>
      </c>
      <c r="O46" s="3072"/>
      <c r="P46" s="3084"/>
      <c r="Q46" s="3201"/>
    </row>
    <row r="47" spans="1:17" ht="47.25" hidden="1" x14ac:dyDescent="0.2">
      <c r="A47" s="3067" t="s">
        <v>3150</v>
      </c>
      <c r="B47" s="3067" t="s">
        <v>2961</v>
      </c>
      <c r="C47" s="3067" t="s">
        <v>5302</v>
      </c>
      <c r="D47" s="3067" t="s">
        <v>5348</v>
      </c>
      <c r="E47" s="3081"/>
      <c r="F47" s="3083"/>
      <c r="G47" s="3073"/>
      <c r="H47" s="3200"/>
      <c r="I47" s="3083"/>
      <c r="J47" s="3083"/>
      <c r="K47" s="3083"/>
      <c r="L47" s="3071"/>
      <c r="M47" s="3081"/>
      <c r="N47" s="3072">
        <f>L47*M47</f>
        <v>0</v>
      </c>
      <c r="O47" s="3072"/>
      <c r="P47" s="3084"/>
      <c r="Q47" s="3201"/>
    </row>
    <row r="48" spans="1:17" s="828" customFormat="1" ht="31.5" hidden="1" x14ac:dyDescent="0.2">
      <c r="A48" s="3091" t="s">
        <v>3151</v>
      </c>
      <c r="B48" s="3091" t="s">
        <v>3085</v>
      </c>
      <c r="C48" s="3091" t="s">
        <v>3086</v>
      </c>
      <c r="D48" s="3067" t="s">
        <v>5348</v>
      </c>
      <c r="E48" s="3089"/>
      <c r="F48" s="3089"/>
      <c r="G48" s="3089"/>
      <c r="H48" s="3089"/>
      <c r="I48" s="3089"/>
      <c r="J48" s="3089"/>
      <c r="K48" s="3196"/>
      <c r="L48" s="3071">
        <f t="shared" si="3"/>
        <v>0</v>
      </c>
      <c r="M48" s="3070"/>
      <c r="N48" s="3093">
        <f>L48*M48</f>
        <v>0</v>
      </c>
      <c r="O48" s="3093"/>
      <c r="P48" s="3083"/>
      <c r="Q48" s="3203"/>
    </row>
    <row r="49" spans="1:17" s="828" customFormat="1" ht="15.75" hidden="1" x14ac:dyDescent="0.2">
      <c r="A49" s="3091" t="s">
        <v>4565</v>
      </c>
      <c r="B49" s="3091"/>
      <c r="C49" s="3091" t="s">
        <v>4570</v>
      </c>
      <c r="D49" s="3091" t="s">
        <v>5349</v>
      </c>
      <c r="E49" s="3089"/>
      <c r="F49" s="3089"/>
      <c r="G49" s="3089"/>
      <c r="H49" s="3089"/>
      <c r="I49" s="3089"/>
      <c r="J49" s="3089"/>
      <c r="K49" s="3196"/>
      <c r="L49" s="3071"/>
      <c r="M49" s="3070"/>
      <c r="N49" s="3093">
        <f>L49*M49</f>
        <v>0</v>
      </c>
      <c r="O49" s="3093"/>
      <c r="P49" s="3083"/>
      <c r="Q49" s="3203"/>
    </row>
    <row r="50" spans="1:17" ht="15.75" hidden="1" x14ac:dyDescent="0.2">
      <c r="A50" s="3062" t="s">
        <v>4569</v>
      </c>
      <c r="B50" s="3085"/>
      <c r="C50" s="3068" t="s">
        <v>307</v>
      </c>
      <c r="D50" s="3068"/>
      <c r="E50" s="3086"/>
      <c r="F50" s="3086"/>
      <c r="G50" s="3086"/>
      <c r="H50" s="3086"/>
      <c r="I50" s="3086"/>
      <c r="J50" s="3086"/>
      <c r="K50" s="3196"/>
      <c r="L50" s="3071">
        <f t="shared" si="3"/>
        <v>0</v>
      </c>
      <c r="M50" s="3070"/>
      <c r="N50" s="3093">
        <f>L50*M50</f>
        <v>0</v>
      </c>
      <c r="O50" s="3093"/>
      <c r="P50" s="3084"/>
      <c r="Q50" s="3201"/>
    </row>
    <row r="51" spans="1:17" ht="15.75" hidden="1" x14ac:dyDescent="0.2">
      <c r="A51" s="3063" t="s">
        <v>3152</v>
      </c>
      <c r="B51" s="3063"/>
      <c r="C51" s="3063" t="s">
        <v>10</v>
      </c>
      <c r="D51" s="3063"/>
      <c r="E51" s="3087"/>
      <c r="F51" s="3087"/>
      <c r="G51" s="3064"/>
      <c r="H51" s="3064"/>
      <c r="I51" s="3064"/>
      <c r="J51" s="3087"/>
      <c r="K51" s="3087"/>
      <c r="L51" s="3063"/>
      <c r="M51" s="3087"/>
      <c r="N51" s="3064">
        <f>N52+N64</f>
        <v>0</v>
      </c>
      <c r="O51" s="3064"/>
      <c r="P51" s="3087"/>
      <c r="Q51" s="3198">
        <f>Q52+Q64</f>
        <v>0</v>
      </c>
    </row>
    <row r="52" spans="1:17" ht="15.75" hidden="1" x14ac:dyDescent="0.2">
      <c r="A52" s="3065" t="s">
        <v>3153</v>
      </c>
      <c r="B52" s="3065"/>
      <c r="C52" s="3065" t="s">
        <v>11</v>
      </c>
      <c r="D52" s="3065"/>
      <c r="E52" s="3015"/>
      <c r="F52" s="3015"/>
      <c r="G52" s="3066"/>
      <c r="H52" s="3066"/>
      <c r="I52" s="3066"/>
      <c r="J52" s="3015"/>
      <c r="K52" s="3015"/>
      <c r="L52" s="3065"/>
      <c r="M52" s="3015"/>
      <c r="N52" s="3066">
        <f>N53+N57+N60</f>
        <v>0</v>
      </c>
      <c r="O52" s="3066"/>
      <c r="P52" s="3015"/>
      <c r="Q52" s="3199">
        <f>Q53+Q57+Q60</f>
        <v>0</v>
      </c>
    </row>
    <row r="53" spans="1:17" ht="15.75" hidden="1" x14ac:dyDescent="0.2">
      <c r="A53" s="3094" t="s">
        <v>3154</v>
      </c>
      <c r="B53" s="3094" t="s">
        <v>2962</v>
      </c>
      <c r="C53" s="3094" t="s">
        <v>2963</v>
      </c>
      <c r="D53" s="3094"/>
      <c r="E53" s="3014"/>
      <c r="F53" s="3014"/>
      <c r="G53" s="3095"/>
      <c r="H53" s="3095"/>
      <c r="I53" s="3095"/>
      <c r="J53" s="3014"/>
      <c r="K53" s="3014"/>
      <c r="L53" s="3094"/>
      <c r="M53" s="3014"/>
      <c r="N53" s="3095">
        <f>SUM(N54:N56)</f>
        <v>0</v>
      </c>
      <c r="O53" s="3095"/>
      <c r="P53" s="3014"/>
      <c r="Q53" s="3204">
        <f>SUM(Q54:Q56)</f>
        <v>0</v>
      </c>
    </row>
    <row r="54" spans="1:17" ht="114" x14ac:dyDescent="0.2">
      <c r="A54" s="3067" t="s">
        <v>3155</v>
      </c>
      <c r="B54" s="3067" t="s">
        <v>2964</v>
      </c>
      <c r="C54" s="3067" t="s">
        <v>2965</v>
      </c>
      <c r="D54" s="3067" t="s">
        <v>5350</v>
      </c>
      <c r="E54" s="3205"/>
      <c r="F54" s="3144"/>
      <c r="G54" s="3073"/>
      <c r="H54" s="3206"/>
      <c r="I54" s="3144"/>
      <c r="J54" s="3144"/>
      <c r="K54" s="3144"/>
      <c r="L54" s="3071"/>
      <c r="M54" s="3070">
        <v>140</v>
      </c>
      <c r="N54" s="3072">
        <f>L54*M54</f>
        <v>0</v>
      </c>
      <c r="O54" s="3698" t="s">
        <v>5979</v>
      </c>
      <c r="P54" s="3084"/>
      <c r="Q54" s="3201"/>
    </row>
    <row r="55" spans="1:17" ht="31.5" hidden="1" x14ac:dyDescent="0.2">
      <c r="A55" s="3067" t="s">
        <v>3156</v>
      </c>
      <c r="B55" s="3067"/>
      <c r="C55" s="3067" t="s">
        <v>3891</v>
      </c>
      <c r="D55" s="3067" t="s">
        <v>5350</v>
      </c>
      <c r="E55" s="3205">
        <v>560</v>
      </c>
      <c r="F55" s="3105"/>
      <c r="G55" s="3073">
        <v>0</v>
      </c>
      <c r="H55" s="3105"/>
      <c r="I55" s="3105"/>
      <c r="J55" s="3144"/>
      <c r="K55" s="3105"/>
      <c r="L55" s="3071">
        <f>K55/100000</f>
        <v>0</v>
      </c>
      <c r="M55" s="3070"/>
      <c r="N55" s="3072">
        <f>L55*M55</f>
        <v>0</v>
      </c>
      <c r="O55" s="3072"/>
      <c r="P55" s="3084"/>
      <c r="Q55" s="3201"/>
    </row>
    <row r="56" spans="1:17" ht="15.75" hidden="1" x14ac:dyDescent="0.2">
      <c r="A56" s="3067" t="s">
        <v>3157</v>
      </c>
      <c r="B56" s="3067" t="s">
        <v>2966</v>
      </c>
      <c r="C56" s="3067" t="s">
        <v>2967</v>
      </c>
      <c r="D56" s="3067" t="s">
        <v>5350</v>
      </c>
      <c r="E56" s="3084"/>
      <c r="F56" s="3084"/>
      <c r="G56" s="3084"/>
      <c r="H56" s="3084"/>
      <c r="I56" s="3084"/>
      <c r="J56" s="3084"/>
      <c r="K56" s="3196"/>
      <c r="L56" s="3071">
        <f>K56/100000</f>
        <v>0</v>
      </c>
      <c r="M56" s="3070"/>
      <c r="N56" s="3072">
        <f>L56*M56</f>
        <v>0</v>
      </c>
      <c r="O56" s="3072"/>
      <c r="P56" s="3084"/>
      <c r="Q56" s="3201"/>
    </row>
    <row r="57" spans="1:17" ht="15.75" hidden="1" x14ac:dyDescent="0.2">
      <c r="A57" s="3094" t="s">
        <v>3158</v>
      </c>
      <c r="B57" s="3094" t="s">
        <v>2968</v>
      </c>
      <c r="C57" s="3094" t="s">
        <v>2969</v>
      </c>
      <c r="D57" s="3094"/>
      <c r="E57" s="3014"/>
      <c r="F57" s="3014"/>
      <c r="G57" s="3095">
        <f>SUM(G58:G59)</f>
        <v>11.200000000000001</v>
      </c>
      <c r="H57" s="3095">
        <f>SUM(H58:H59)</f>
        <v>0</v>
      </c>
      <c r="I57" s="3095">
        <f>SUM(I58:I59)</f>
        <v>0</v>
      </c>
      <c r="J57" s="3014"/>
      <c r="K57" s="3176"/>
      <c r="L57" s="3095"/>
      <c r="M57" s="3096"/>
      <c r="N57" s="3095">
        <f>SUM(N58:N59)</f>
        <v>0</v>
      </c>
      <c r="O57" s="3095"/>
      <c r="P57" s="3014"/>
      <c r="Q57" s="3204">
        <f>SUM(Q58:Q59)</f>
        <v>0</v>
      </c>
    </row>
    <row r="58" spans="1:17" s="828" customFormat="1" ht="15.75" hidden="1" x14ac:dyDescent="0.2">
      <c r="A58" s="3097" t="s">
        <v>4792</v>
      </c>
      <c r="B58" s="3097"/>
      <c r="C58" s="3098" t="s">
        <v>5303</v>
      </c>
      <c r="D58" s="3067" t="s">
        <v>5350</v>
      </c>
      <c r="E58" s="3207">
        <v>560</v>
      </c>
      <c r="F58" s="3189">
        <v>120</v>
      </c>
      <c r="G58" s="3090">
        <f>560*0.02</f>
        <v>11.200000000000001</v>
      </c>
      <c r="H58" s="3090">
        <v>0</v>
      </c>
      <c r="I58" s="3189"/>
      <c r="J58" s="3189"/>
      <c r="K58" s="3189"/>
      <c r="L58" s="3071">
        <f>K58/100000</f>
        <v>0</v>
      </c>
      <c r="M58" s="3070"/>
      <c r="N58" s="3072">
        <f>L58*M58</f>
        <v>0</v>
      </c>
      <c r="O58" s="3072"/>
      <c r="P58" s="3099"/>
      <c r="Q58" s="3203"/>
    </row>
    <row r="59" spans="1:17" s="828" customFormat="1" ht="15.75" hidden="1" x14ac:dyDescent="0.2">
      <c r="A59" s="3097" t="s">
        <v>4793</v>
      </c>
      <c r="B59" s="3097"/>
      <c r="C59" s="3098" t="s">
        <v>3326</v>
      </c>
      <c r="D59" s="3067" t="s">
        <v>5350</v>
      </c>
      <c r="E59" s="3099"/>
      <c r="F59" s="3099"/>
      <c r="G59" s="3099"/>
      <c r="H59" s="3099"/>
      <c r="I59" s="3099"/>
      <c r="J59" s="3099"/>
      <c r="K59" s="3196"/>
      <c r="L59" s="3071">
        <f>K59/100000</f>
        <v>0</v>
      </c>
      <c r="M59" s="3070"/>
      <c r="N59" s="3072">
        <f>L59*M59</f>
        <v>0</v>
      </c>
      <c r="O59" s="3072"/>
      <c r="P59" s="3099"/>
      <c r="Q59" s="3203"/>
    </row>
    <row r="60" spans="1:17" ht="15.75" hidden="1" x14ac:dyDescent="0.2">
      <c r="A60" s="3094" t="s">
        <v>3159</v>
      </c>
      <c r="B60" s="3094"/>
      <c r="C60" s="3094" t="s">
        <v>4846</v>
      </c>
      <c r="D60" s="3094"/>
      <c r="E60" s="3014"/>
      <c r="F60" s="3014"/>
      <c r="G60" s="3095">
        <f>SUM(G61:G63)</f>
        <v>2.8</v>
      </c>
      <c r="H60" s="3095">
        <f>SUM(H61:H63)</f>
        <v>0</v>
      </c>
      <c r="I60" s="3095">
        <f>SUM(I61:I63)</f>
        <v>0</v>
      </c>
      <c r="J60" s="3014"/>
      <c r="K60" s="3014"/>
      <c r="L60" s="3094"/>
      <c r="M60" s="3014"/>
      <c r="N60" s="3095">
        <f>SUM(N61:N63)</f>
        <v>0</v>
      </c>
      <c r="O60" s="3095"/>
      <c r="P60" s="3014"/>
      <c r="Q60" s="3208">
        <f>SUM(Q61:Q63)</f>
        <v>0</v>
      </c>
    </row>
    <row r="61" spans="1:17" ht="15.75" hidden="1" x14ac:dyDescent="0.2">
      <c r="A61" s="3100" t="s">
        <v>3160</v>
      </c>
      <c r="B61" s="3101" t="s">
        <v>2970</v>
      </c>
      <c r="C61" s="3101" t="s">
        <v>4847</v>
      </c>
      <c r="D61" s="3067" t="s">
        <v>5350</v>
      </c>
      <c r="E61" s="3205">
        <v>560</v>
      </c>
      <c r="F61" s="3103"/>
      <c r="G61" s="3073">
        <f>560*500/100000</f>
        <v>2.8</v>
      </c>
      <c r="H61" s="3103"/>
      <c r="I61" s="3103"/>
      <c r="J61" s="3103"/>
      <c r="K61" s="3103"/>
      <c r="L61" s="3071">
        <f>K61/100000</f>
        <v>0</v>
      </c>
      <c r="M61" s="3070"/>
      <c r="N61" s="3072">
        <f>L61*M61</f>
        <v>0</v>
      </c>
      <c r="O61" s="3072"/>
      <c r="P61" s="3104"/>
      <c r="Q61" s="3201"/>
    </row>
    <row r="62" spans="1:17" ht="15.75" hidden="1" x14ac:dyDescent="0.2">
      <c r="A62" s="3100" t="s">
        <v>5304</v>
      </c>
      <c r="B62" s="3101"/>
      <c r="C62" s="3101" t="s">
        <v>367</v>
      </c>
      <c r="D62" s="3067" t="s">
        <v>5350</v>
      </c>
      <c r="E62" s="3102"/>
      <c r="F62" s="3102"/>
      <c r="G62" s="3102"/>
      <c r="H62" s="3102"/>
      <c r="I62" s="3102"/>
      <c r="J62" s="3102"/>
      <c r="K62" s="3196"/>
      <c r="L62" s="3071">
        <f>K62/100000</f>
        <v>0</v>
      </c>
      <c r="M62" s="3070"/>
      <c r="N62" s="3072">
        <f>L62*M62</f>
        <v>0</v>
      </c>
      <c r="O62" s="3072"/>
      <c r="P62" s="3104"/>
      <c r="Q62" s="3201"/>
    </row>
    <row r="63" spans="1:17" ht="15.75" hidden="1" x14ac:dyDescent="0.2">
      <c r="A63" s="3100" t="s">
        <v>5305</v>
      </c>
      <c r="B63" s="3101"/>
      <c r="C63" s="3101" t="s">
        <v>4523</v>
      </c>
      <c r="D63" s="3067" t="s">
        <v>5350</v>
      </c>
      <c r="E63" s="3102"/>
      <c r="F63" s="3102"/>
      <c r="G63" s="3102"/>
      <c r="H63" s="3102"/>
      <c r="I63" s="3102"/>
      <c r="J63" s="3102"/>
      <c r="K63" s="3196"/>
      <c r="L63" s="3071">
        <f>K63/100000</f>
        <v>0</v>
      </c>
      <c r="M63" s="3070"/>
      <c r="N63" s="3072">
        <f>L63*M63</f>
        <v>0</v>
      </c>
      <c r="O63" s="3072"/>
      <c r="P63" s="3104"/>
      <c r="Q63" s="3201"/>
    </row>
    <row r="64" spans="1:17" ht="15.75" hidden="1" x14ac:dyDescent="0.2">
      <c r="A64" s="3065" t="s">
        <v>3161</v>
      </c>
      <c r="B64" s="3065"/>
      <c r="C64" s="3065" t="s">
        <v>12</v>
      </c>
      <c r="D64" s="3065"/>
      <c r="E64" s="3015"/>
      <c r="F64" s="3015"/>
      <c r="G64" s="3066"/>
      <c r="H64" s="3066"/>
      <c r="I64" s="3066"/>
      <c r="J64" s="3015"/>
      <c r="K64" s="3015"/>
      <c r="L64" s="3065"/>
      <c r="M64" s="3015"/>
      <c r="N64" s="3066">
        <f>N65</f>
        <v>0</v>
      </c>
      <c r="O64" s="3066"/>
      <c r="P64" s="3015"/>
      <c r="Q64" s="3210">
        <f>Q65</f>
        <v>0</v>
      </c>
    </row>
    <row r="65" spans="1:17" ht="15.75" hidden="1" x14ac:dyDescent="0.2">
      <c r="A65" s="3094" t="s">
        <v>3162</v>
      </c>
      <c r="B65" s="3094" t="s">
        <v>2971</v>
      </c>
      <c r="C65" s="3094" t="s">
        <v>2972</v>
      </c>
      <c r="D65" s="3094"/>
      <c r="E65" s="3014"/>
      <c r="F65" s="3014"/>
      <c r="G65" s="3095"/>
      <c r="H65" s="3095"/>
      <c r="I65" s="3095"/>
      <c r="J65" s="3014"/>
      <c r="K65" s="3014"/>
      <c r="L65" s="3094"/>
      <c r="M65" s="3014"/>
      <c r="N65" s="3095">
        <f>SUM(N66:N69)</f>
        <v>0</v>
      </c>
      <c r="O65" s="3095"/>
      <c r="P65" s="3014"/>
      <c r="Q65" s="3208">
        <f>SUM(Q66:Q69)</f>
        <v>0</v>
      </c>
    </row>
    <row r="66" spans="1:17" ht="15.75" hidden="1" x14ac:dyDescent="0.2">
      <c r="A66" s="3067" t="s">
        <v>3163</v>
      </c>
      <c r="B66" s="3067" t="s">
        <v>2973</v>
      </c>
      <c r="C66" s="3067" t="s">
        <v>2974</v>
      </c>
      <c r="D66" s="3067" t="s">
        <v>5350</v>
      </c>
      <c r="E66" s="3084"/>
      <c r="F66" s="3084"/>
      <c r="G66" s="3084"/>
      <c r="H66" s="3084"/>
      <c r="I66" s="3084"/>
      <c r="J66" s="3084"/>
      <c r="K66" s="3196"/>
      <c r="L66" s="3071"/>
      <c r="M66" s="3070"/>
      <c r="N66" s="3072">
        <f>L66*M66</f>
        <v>0</v>
      </c>
      <c r="O66" s="3072"/>
      <c r="P66" s="3084"/>
      <c r="Q66" s="3201"/>
    </row>
    <row r="67" spans="1:17" ht="31.5" hidden="1" x14ac:dyDescent="0.2">
      <c r="A67" s="3067" t="s">
        <v>3164</v>
      </c>
      <c r="B67" s="3067" t="s">
        <v>2975</v>
      </c>
      <c r="C67" s="3067" t="s">
        <v>2976</v>
      </c>
      <c r="D67" s="3067" t="s">
        <v>5350</v>
      </c>
      <c r="E67" s="3084"/>
      <c r="F67" s="3084"/>
      <c r="G67" s="3084"/>
      <c r="H67" s="3084"/>
      <c r="I67" s="3084"/>
      <c r="J67" s="3189"/>
      <c r="K67" s="3196"/>
      <c r="L67" s="3071"/>
      <c r="M67" s="3070"/>
      <c r="N67" s="3072">
        <f>L67*M67</f>
        <v>0</v>
      </c>
      <c r="O67" s="3072"/>
      <c r="P67" s="3084"/>
      <c r="Q67" s="3201"/>
    </row>
    <row r="68" spans="1:17" ht="15.75" hidden="1" x14ac:dyDescent="0.2">
      <c r="A68" s="3067" t="s">
        <v>4015</v>
      </c>
      <c r="B68" s="3067"/>
      <c r="C68" s="3106" t="s">
        <v>606</v>
      </c>
      <c r="D68" s="3067" t="s">
        <v>5350</v>
      </c>
      <c r="E68" s="3084"/>
      <c r="F68" s="3084"/>
      <c r="G68" s="3084"/>
      <c r="H68" s="3084"/>
      <c r="I68" s="3084"/>
      <c r="J68" s="3084"/>
      <c r="K68" s="3196"/>
      <c r="L68" s="3071">
        <f>K68/100000</f>
        <v>0</v>
      </c>
      <c r="M68" s="3070"/>
      <c r="N68" s="3072">
        <f>L68*M68</f>
        <v>0</v>
      </c>
      <c r="O68" s="3072"/>
      <c r="P68" s="3084"/>
      <c r="Q68" s="3201"/>
    </row>
    <row r="69" spans="1:17" ht="15.75" hidden="1" x14ac:dyDescent="0.2">
      <c r="A69" s="3075" t="s">
        <v>3165</v>
      </c>
      <c r="B69" s="3076"/>
      <c r="C69" s="3077" t="s">
        <v>5570</v>
      </c>
      <c r="D69" s="3067" t="s">
        <v>5350</v>
      </c>
      <c r="E69" s="3078"/>
      <c r="F69" s="3078"/>
      <c r="G69" s="3078"/>
      <c r="H69" s="3078"/>
      <c r="I69" s="3078"/>
      <c r="J69" s="3078"/>
      <c r="K69" s="3196"/>
      <c r="L69" s="3071">
        <f>K69/100000</f>
        <v>0</v>
      </c>
      <c r="M69" s="3070"/>
      <c r="N69" s="3072">
        <f>L69*M69</f>
        <v>0</v>
      </c>
      <c r="O69" s="3072"/>
      <c r="P69" s="3107" t="s">
        <v>5306</v>
      </c>
      <c r="Q69" s="3203"/>
    </row>
    <row r="70" spans="1:17" ht="15.75" hidden="1" x14ac:dyDescent="0.2">
      <c r="A70" s="3063" t="s">
        <v>3166</v>
      </c>
      <c r="B70" s="3063"/>
      <c r="C70" s="3063" t="s">
        <v>2978</v>
      </c>
      <c r="D70" s="3063"/>
      <c r="E70" s="3087"/>
      <c r="F70" s="3087"/>
      <c r="G70" s="3064"/>
      <c r="H70" s="3064"/>
      <c r="I70" s="3064"/>
      <c r="J70" s="3087"/>
      <c r="K70" s="3087"/>
      <c r="L70" s="3063"/>
      <c r="M70" s="3087"/>
      <c r="N70" s="3064">
        <f>N71+N74+N75+N76</f>
        <v>0</v>
      </c>
      <c r="O70" s="3064"/>
      <c r="P70" s="3087"/>
      <c r="Q70" s="3211">
        <f>Q71+Q74+Q75+Q76</f>
        <v>0</v>
      </c>
    </row>
    <row r="71" spans="1:17" ht="15.75" hidden="1" x14ac:dyDescent="0.2">
      <c r="A71" s="3065" t="s">
        <v>3167</v>
      </c>
      <c r="B71" s="3065" t="s">
        <v>2979</v>
      </c>
      <c r="C71" s="3065" t="s">
        <v>2980</v>
      </c>
      <c r="D71" s="3065"/>
      <c r="E71" s="3015"/>
      <c r="F71" s="3015"/>
      <c r="G71" s="3066"/>
      <c r="H71" s="3066"/>
      <c r="I71" s="3066"/>
      <c r="J71" s="3015"/>
      <c r="K71" s="3015"/>
      <c r="L71" s="3065"/>
      <c r="M71" s="3015"/>
      <c r="N71" s="3066">
        <f>SUM(N72:N73)</f>
        <v>0</v>
      </c>
      <c r="O71" s="3066"/>
      <c r="P71" s="3015"/>
      <c r="Q71" s="3210">
        <f>SUM(Q72:Q73)</f>
        <v>0</v>
      </c>
    </row>
    <row r="72" spans="1:17" ht="15.75" hidden="1" x14ac:dyDescent="0.2">
      <c r="A72" s="3108" t="s">
        <v>3168</v>
      </c>
      <c r="B72" s="3067" t="s">
        <v>2981</v>
      </c>
      <c r="C72" s="3067" t="s">
        <v>2982</v>
      </c>
      <c r="D72" s="3067" t="s">
        <v>5348</v>
      </c>
      <c r="E72" s="3081"/>
      <c r="F72" s="3083"/>
      <c r="G72" s="3073"/>
      <c r="H72" s="3200"/>
      <c r="I72" s="3083"/>
      <c r="J72" s="3083"/>
      <c r="K72" s="3083"/>
      <c r="L72" s="3071"/>
      <c r="M72" s="3070"/>
      <c r="N72" s="3072">
        <f>L72*M72</f>
        <v>0</v>
      </c>
      <c r="O72" s="3072"/>
      <c r="P72" s="3084"/>
      <c r="Q72" s="3201"/>
    </row>
    <row r="73" spans="1:17" ht="15.75" hidden="1" x14ac:dyDescent="0.2">
      <c r="A73" s="3108" t="s">
        <v>3169</v>
      </c>
      <c r="B73" s="3067" t="s">
        <v>2983</v>
      </c>
      <c r="C73" s="3067" t="s">
        <v>2984</v>
      </c>
      <c r="D73" s="3067" t="s">
        <v>5348</v>
      </c>
      <c r="E73" s="3084"/>
      <c r="F73" s="3084"/>
      <c r="G73" s="3084"/>
      <c r="H73" s="3084"/>
      <c r="I73" s="3084"/>
      <c r="J73" s="3084"/>
      <c r="K73" s="3196"/>
      <c r="L73" s="3071">
        <f>K73/100000</f>
        <v>0</v>
      </c>
      <c r="M73" s="3070"/>
      <c r="N73" s="3072">
        <f>L73*M73</f>
        <v>0</v>
      </c>
      <c r="O73" s="3072"/>
      <c r="P73" s="3084"/>
      <c r="Q73" s="3201"/>
    </row>
    <row r="74" spans="1:17" ht="15.75" hidden="1" x14ac:dyDescent="0.2">
      <c r="A74" s="3065" t="s">
        <v>3170</v>
      </c>
      <c r="B74" s="3065" t="s">
        <v>2985</v>
      </c>
      <c r="C74" s="3065" t="s">
        <v>2986</v>
      </c>
      <c r="D74" s="3065" t="s">
        <v>5348</v>
      </c>
      <c r="E74" s="3111"/>
      <c r="F74" s="3015"/>
      <c r="G74" s="3111"/>
      <c r="H74" s="3111"/>
      <c r="I74" s="3015"/>
      <c r="J74" s="3015"/>
      <c r="K74" s="3015"/>
      <c r="L74" s="3066"/>
      <c r="M74" s="3111"/>
      <c r="N74" s="3066">
        <f>L74*M74</f>
        <v>0</v>
      </c>
      <c r="O74" s="3066"/>
      <c r="P74" s="3015"/>
      <c r="Q74" s="3210"/>
    </row>
    <row r="75" spans="1:17" ht="15.75" hidden="1" x14ac:dyDescent="0.2">
      <c r="A75" s="3065" t="s">
        <v>3171</v>
      </c>
      <c r="B75" s="3065" t="s">
        <v>2987</v>
      </c>
      <c r="C75" s="3065" t="s">
        <v>2988</v>
      </c>
      <c r="D75" s="3065" t="s">
        <v>5348</v>
      </c>
      <c r="E75" s="3111"/>
      <c r="F75" s="3015"/>
      <c r="G75" s="3111"/>
      <c r="H75" s="3111"/>
      <c r="I75" s="3015"/>
      <c r="J75" s="3015"/>
      <c r="K75" s="3015"/>
      <c r="L75" s="3066"/>
      <c r="M75" s="3111"/>
      <c r="N75" s="3066">
        <f>L75*M75</f>
        <v>0</v>
      </c>
      <c r="O75" s="3066"/>
      <c r="P75" s="3015"/>
      <c r="Q75" s="3210"/>
    </row>
    <row r="76" spans="1:17" ht="15.75" hidden="1" x14ac:dyDescent="0.2">
      <c r="A76" s="3065" t="s">
        <v>3172</v>
      </c>
      <c r="B76" s="3065" t="s">
        <v>2989</v>
      </c>
      <c r="C76" s="3065" t="s">
        <v>2990</v>
      </c>
      <c r="D76" s="3065" t="s">
        <v>5350</v>
      </c>
      <c r="E76" s="3111"/>
      <c r="F76" s="3015"/>
      <c r="G76" s="3111"/>
      <c r="H76" s="3111"/>
      <c r="I76" s="3015"/>
      <c r="J76" s="3015"/>
      <c r="K76" s="3015"/>
      <c r="L76" s="3066"/>
      <c r="M76" s="3111"/>
      <c r="N76" s="3066">
        <f>L76*M76</f>
        <v>0</v>
      </c>
      <c r="O76" s="3066"/>
      <c r="P76" s="3015"/>
      <c r="Q76" s="3210"/>
    </row>
    <row r="77" spans="1:17" ht="15.75" hidden="1" x14ac:dyDescent="0.2">
      <c r="A77" s="3063" t="s">
        <v>3173</v>
      </c>
      <c r="B77" s="3063"/>
      <c r="C77" s="3063" t="s">
        <v>14</v>
      </c>
      <c r="D77" s="3063"/>
      <c r="E77" s="3087"/>
      <c r="F77" s="3087"/>
      <c r="G77" s="3064"/>
      <c r="H77" s="3064"/>
      <c r="I77" s="3064"/>
      <c r="J77" s="3087"/>
      <c r="K77" s="3087"/>
      <c r="L77" s="3063"/>
      <c r="M77" s="3087"/>
      <c r="N77" s="3064">
        <f>N78+N84+N88</f>
        <v>0</v>
      </c>
      <c r="O77" s="3064"/>
      <c r="P77" s="3087"/>
      <c r="Q77" s="3211">
        <f>Q78+Q84+Q88</f>
        <v>0</v>
      </c>
    </row>
    <row r="78" spans="1:17" ht="15.75" hidden="1" x14ac:dyDescent="0.2">
      <c r="A78" s="3065" t="s">
        <v>3174</v>
      </c>
      <c r="B78" s="3065"/>
      <c r="C78" s="3065" t="s">
        <v>15</v>
      </c>
      <c r="D78" s="3065"/>
      <c r="E78" s="3015"/>
      <c r="F78" s="3015"/>
      <c r="G78" s="3066"/>
      <c r="H78" s="3066"/>
      <c r="I78" s="3066"/>
      <c r="J78" s="3015"/>
      <c r="K78" s="3015"/>
      <c r="L78" s="3065"/>
      <c r="M78" s="3015"/>
      <c r="N78" s="3066">
        <f>SUM(N79:N83)</f>
        <v>0</v>
      </c>
      <c r="O78" s="3066"/>
      <c r="P78" s="3015"/>
      <c r="Q78" s="3210">
        <f>SUM(Q79:Q83)</f>
        <v>0</v>
      </c>
    </row>
    <row r="79" spans="1:17" ht="15.75" hidden="1" x14ac:dyDescent="0.2">
      <c r="A79" s="3067" t="s">
        <v>3175</v>
      </c>
      <c r="B79" s="3085" t="s">
        <v>2991</v>
      </c>
      <c r="C79" s="3068" t="s">
        <v>2992</v>
      </c>
      <c r="D79" s="3067" t="s">
        <v>5348</v>
      </c>
      <c r="E79" s="3081"/>
      <c r="F79" s="3086"/>
      <c r="G79" s="3073"/>
      <c r="H79" s="3086"/>
      <c r="I79" s="3086"/>
      <c r="J79" s="3086"/>
      <c r="K79" s="3086"/>
      <c r="L79" s="3071"/>
      <c r="M79" s="3081"/>
      <c r="N79" s="3072">
        <f>L79*M79</f>
        <v>0</v>
      </c>
      <c r="O79" s="3072"/>
      <c r="P79" s="3084"/>
      <c r="Q79" s="3201"/>
    </row>
    <row r="80" spans="1:17" ht="15.75" hidden="1" x14ac:dyDescent="0.2">
      <c r="A80" s="3067" t="s">
        <v>3176</v>
      </c>
      <c r="B80" s="3085" t="s">
        <v>2993</v>
      </c>
      <c r="C80" s="3068" t="s">
        <v>2994</v>
      </c>
      <c r="D80" s="3067" t="s">
        <v>5348</v>
      </c>
      <c r="E80" s="3081"/>
      <c r="F80" s="3086"/>
      <c r="G80" s="3073"/>
      <c r="H80" s="3086"/>
      <c r="I80" s="3086"/>
      <c r="J80" s="3086"/>
      <c r="K80" s="3086"/>
      <c r="L80" s="3071"/>
      <c r="M80" s="3081"/>
      <c r="N80" s="3072">
        <f>L80*M80</f>
        <v>0</v>
      </c>
      <c r="O80" s="3072"/>
      <c r="P80" s="3084"/>
      <c r="Q80" s="3201"/>
    </row>
    <row r="81" spans="1:17" ht="15.75" hidden="1" x14ac:dyDescent="0.2">
      <c r="A81" s="3067" t="s">
        <v>3177</v>
      </c>
      <c r="B81" s="3085" t="s">
        <v>2993</v>
      </c>
      <c r="C81" s="3068" t="s">
        <v>2995</v>
      </c>
      <c r="D81" s="3067" t="s">
        <v>5348</v>
      </c>
      <c r="E81" s="3081"/>
      <c r="F81" s="3089"/>
      <c r="G81" s="3073"/>
      <c r="H81" s="3212"/>
      <c r="I81" s="3089"/>
      <c r="J81" s="3089"/>
      <c r="K81" s="3274"/>
      <c r="L81" s="3071"/>
      <c r="M81" s="3081"/>
      <c r="N81" s="3072">
        <f>L81*M81</f>
        <v>0</v>
      </c>
      <c r="O81" s="3072"/>
      <c r="P81" s="3418"/>
      <c r="Q81" s="3203"/>
    </row>
    <row r="82" spans="1:17" ht="15.75" hidden="1" x14ac:dyDescent="0.2">
      <c r="A82" s="3067" t="s">
        <v>3178</v>
      </c>
      <c r="B82" s="3067" t="s">
        <v>2996</v>
      </c>
      <c r="C82" s="3067" t="s">
        <v>2997</v>
      </c>
      <c r="D82" s="3067" t="s">
        <v>5348</v>
      </c>
      <c r="E82" s="3084"/>
      <c r="F82" s="3084"/>
      <c r="G82" s="3084"/>
      <c r="H82" s="3084"/>
      <c r="I82" s="3084"/>
      <c r="J82" s="3084"/>
      <c r="K82" s="3196"/>
      <c r="L82" s="3071">
        <f>K82/100000</f>
        <v>0</v>
      </c>
      <c r="M82" s="3070"/>
      <c r="N82" s="3072">
        <f>L82*M82</f>
        <v>0</v>
      </c>
      <c r="O82" s="3072"/>
      <c r="P82" s="3084"/>
      <c r="Q82" s="3201"/>
    </row>
    <row r="83" spans="1:17" ht="15.75" hidden="1" x14ac:dyDescent="0.2">
      <c r="A83" s="3067" t="s">
        <v>5307</v>
      </c>
      <c r="B83" s="3067"/>
      <c r="C83" s="3067" t="s">
        <v>1310</v>
      </c>
      <c r="D83" s="3067" t="s">
        <v>5348</v>
      </c>
      <c r="E83" s="3084"/>
      <c r="F83" s="3084"/>
      <c r="G83" s="3084"/>
      <c r="H83" s="3084"/>
      <c r="I83" s="3084"/>
      <c r="J83" s="3084"/>
      <c r="K83" s="3196"/>
      <c r="L83" s="3071">
        <f>K83/100000</f>
        <v>0</v>
      </c>
      <c r="M83" s="3070"/>
      <c r="N83" s="3072">
        <f>L83*M83</f>
        <v>0</v>
      </c>
      <c r="O83" s="3072"/>
      <c r="P83" s="3084"/>
      <c r="Q83" s="3201"/>
    </row>
    <row r="84" spans="1:17" ht="15.75" hidden="1" x14ac:dyDescent="0.2">
      <c r="A84" s="3065" t="s">
        <v>3179</v>
      </c>
      <c r="B84" s="3065"/>
      <c r="C84" s="3065" t="s">
        <v>16</v>
      </c>
      <c r="D84" s="3065"/>
      <c r="E84" s="3015"/>
      <c r="F84" s="3015"/>
      <c r="G84" s="3066"/>
      <c r="H84" s="3066"/>
      <c r="I84" s="3066"/>
      <c r="J84" s="3015"/>
      <c r="K84" s="3015"/>
      <c r="L84" s="3065"/>
      <c r="M84" s="3015"/>
      <c r="N84" s="3066">
        <f>SUM(N85:N87)</f>
        <v>0</v>
      </c>
      <c r="O84" s="3066"/>
      <c r="P84" s="3015"/>
      <c r="Q84" s="3210">
        <f>SUM(Q85:Q87)</f>
        <v>0</v>
      </c>
    </row>
    <row r="85" spans="1:17" ht="15.75" hidden="1" x14ac:dyDescent="0.2">
      <c r="A85" s="3067" t="s">
        <v>3180</v>
      </c>
      <c r="B85" s="3067" t="s">
        <v>2998</v>
      </c>
      <c r="C85" s="3067" t="s">
        <v>2992</v>
      </c>
      <c r="D85" s="3067" t="s">
        <v>5348</v>
      </c>
      <c r="E85" s="3081"/>
      <c r="F85" s="3213"/>
      <c r="G85" s="3073"/>
      <c r="H85" s="3213"/>
      <c r="I85" s="3213"/>
      <c r="J85" s="3083"/>
      <c r="K85" s="3275"/>
      <c r="L85" s="3071"/>
      <c r="M85" s="3081"/>
      <c r="N85" s="3072">
        <f>L85*M85</f>
        <v>0</v>
      </c>
      <c r="O85" s="3072"/>
      <c r="P85" s="3084"/>
      <c r="Q85" s="3201"/>
    </row>
    <row r="86" spans="1:17" ht="15.75" hidden="1" x14ac:dyDescent="0.2">
      <c r="A86" s="3067" t="s">
        <v>3181</v>
      </c>
      <c r="B86" s="3067" t="s">
        <v>2999</v>
      </c>
      <c r="C86" s="3067" t="s">
        <v>2994</v>
      </c>
      <c r="D86" s="3067" t="s">
        <v>5348</v>
      </c>
      <c r="E86" s="3081">
        <v>1</v>
      </c>
      <c r="F86" s="3082">
        <v>8</v>
      </c>
      <c r="G86" s="3073">
        <f>(2000)*30/100</f>
        <v>600</v>
      </c>
      <c r="H86" s="3214"/>
      <c r="I86" s="3082"/>
      <c r="J86" s="3083"/>
      <c r="K86" s="3082"/>
      <c r="L86" s="3071">
        <f>K86/100000</f>
        <v>0</v>
      </c>
      <c r="M86" s="3081"/>
      <c r="N86" s="3072">
        <f>L86*M86</f>
        <v>0</v>
      </c>
      <c r="O86" s="3072"/>
      <c r="P86" s="3084"/>
      <c r="Q86" s="3201"/>
    </row>
    <row r="87" spans="1:17" ht="15.75" hidden="1" x14ac:dyDescent="0.2">
      <c r="A87" s="3067" t="s">
        <v>3182</v>
      </c>
      <c r="B87" s="3067" t="s">
        <v>3000</v>
      </c>
      <c r="C87" s="3067" t="s">
        <v>3001</v>
      </c>
      <c r="D87" s="3067" t="s">
        <v>5348</v>
      </c>
      <c r="E87" s="3084"/>
      <c r="F87" s="3084"/>
      <c r="G87" s="3084"/>
      <c r="H87" s="3084"/>
      <c r="I87" s="3084"/>
      <c r="J87" s="3084"/>
      <c r="K87" s="3196"/>
      <c r="L87" s="3071">
        <f>K87/100000</f>
        <v>0</v>
      </c>
      <c r="M87" s="3070"/>
      <c r="N87" s="3072">
        <f>L87*M87</f>
        <v>0</v>
      </c>
      <c r="O87" s="3072"/>
      <c r="P87" s="3084"/>
      <c r="Q87" s="3201"/>
    </row>
    <row r="88" spans="1:17" ht="15.75" hidden="1" x14ac:dyDescent="0.2">
      <c r="A88" s="3065" t="s">
        <v>3183</v>
      </c>
      <c r="B88" s="3065"/>
      <c r="C88" s="3065" t="s">
        <v>17</v>
      </c>
      <c r="D88" s="3065"/>
      <c r="E88" s="3015"/>
      <c r="F88" s="3015"/>
      <c r="G88" s="3066">
        <f>G89+G90</f>
        <v>140</v>
      </c>
      <c r="H88" s="3066">
        <f>H89+H90</f>
        <v>0</v>
      </c>
      <c r="I88" s="3066">
        <f>I89+I90</f>
        <v>0</v>
      </c>
      <c r="J88" s="3015"/>
      <c r="K88" s="3015"/>
      <c r="L88" s="3065"/>
      <c r="M88" s="3015"/>
      <c r="N88" s="3066">
        <f>N89+N90</f>
        <v>0</v>
      </c>
      <c r="O88" s="3066"/>
      <c r="P88" s="3015"/>
      <c r="Q88" s="3210">
        <f>Q89+Q90</f>
        <v>0</v>
      </c>
    </row>
    <row r="89" spans="1:17" ht="15.75" hidden="1" x14ac:dyDescent="0.2">
      <c r="A89" s="3067" t="s">
        <v>3184</v>
      </c>
      <c r="B89" s="3085"/>
      <c r="C89" s="3068" t="s">
        <v>3929</v>
      </c>
      <c r="D89" s="3067" t="s">
        <v>5349</v>
      </c>
      <c r="E89" s="3081">
        <v>140</v>
      </c>
      <c r="F89" s="3089">
        <v>140</v>
      </c>
      <c r="G89" s="3073">
        <v>140</v>
      </c>
      <c r="H89" s="3212"/>
      <c r="I89" s="3089"/>
      <c r="J89" s="3083"/>
      <c r="K89" s="3082"/>
      <c r="L89" s="3071">
        <f>K89/100000</f>
        <v>0</v>
      </c>
      <c r="M89" s="3070"/>
      <c r="N89" s="3072">
        <f>L89*M89</f>
        <v>0</v>
      </c>
      <c r="O89" s="3072"/>
      <c r="P89" s="3084"/>
      <c r="Q89" s="3201"/>
    </row>
    <row r="90" spans="1:17" ht="15.75" hidden="1" x14ac:dyDescent="0.2">
      <c r="A90" s="3067" t="s">
        <v>4016</v>
      </c>
      <c r="B90" s="3112"/>
      <c r="C90" s="3068" t="s">
        <v>3876</v>
      </c>
      <c r="D90" s="3067" t="s">
        <v>5348</v>
      </c>
      <c r="E90" s="3086"/>
      <c r="F90" s="3086"/>
      <c r="G90" s="3086"/>
      <c r="H90" s="3086"/>
      <c r="I90" s="3086"/>
      <c r="J90" s="3086"/>
      <c r="K90" s="3196"/>
      <c r="L90" s="3071">
        <f>K90/100000</f>
        <v>0</v>
      </c>
      <c r="M90" s="3070"/>
      <c r="N90" s="3072">
        <f>L90*M90</f>
        <v>0</v>
      </c>
      <c r="O90" s="3072"/>
      <c r="P90" s="3084"/>
      <c r="Q90" s="3201"/>
    </row>
    <row r="91" spans="1:17" ht="15.75" hidden="1" x14ac:dyDescent="0.2">
      <c r="A91" s="3063" t="s">
        <v>3185</v>
      </c>
      <c r="B91" s="3063"/>
      <c r="C91" s="3063" t="s">
        <v>18</v>
      </c>
      <c r="D91" s="3063"/>
      <c r="E91" s="3087"/>
      <c r="F91" s="3087"/>
      <c r="G91" s="3064"/>
      <c r="H91" s="3064"/>
      <c r="I91" s="3064"/>
      <c r="J91" s="3087"/>
      <c r="K91" s="3087"/>
      <c r="L91" s="3063"/>
      <c r="M91" s="3087"/>
      <c r="N91" s="3064">
        <f>N92+N103+N115</f>
        <v>0</v>
      </c>
      <c r="O91" s="3064"/>
      <c r="P91" s="3087"/>
      <c r="Q91" s="3211">
        <f>Q92+Q103+Q115</f>
        <v>0</v>
      </c>
    </row>
    <row r="92" spans="1:17" ht="15.75" hidden="1" x14ac:dyDescent="0.2">
      <c r="A92" s="3065" t="s">
        <v>3186</v>
      </c>
      <c r="B92" s="3065"/>
      <c r="C92" s="3065" t="s">
        <v>1586</v>
      </c>
      <c r="D92" s="3065"/>
      <c r="E92" s="3015"/>
      <c r="F92" s="3015"/>
      <c r="G92" s="3066"/>
      <c r="H92" s="3066"/>
      <c r="I92" s="3066"/>
      <c r="J92" s="3015"/>
      <c r="K92" s="3015"/>
      <c r="L92" s="3065"/>
      <c r="M92" s="3015"/>
      <c r="N92" s="3066">
        <f>SUM(N93:N99)</f>
        <v>0</v>
      </c>
      <c r="O92" s="3066"/>
      <c r="P92" s="3015"/>
      <c r="Q92" s="3210">
        <f>SUM(Q93:Q99)</f>
        <v>0</v>
      </c>
    </row>
    <row r="93" spans="1:17" s="828" customFormat="1" ht="15.75" hidden="1" x14ac:dyDescent="0.2">
      <c r="A93" s="3091" t="s">
        <v>3187</v>
      </c>
      <c r="B93" s="3109"/>
      <c r="C93" s="3106" t="s">
        <v>4567</v>
      </c>
      <c r="D93" s="3067" t="s">
        <v>5349</v>
      </c>
      <c r="E93" s="3113"/>
      <c r="F93" s="3113"/>
      <c r="G93" s="3114"/>
      <c r="H93" s="3113"/>
      <c r="I93" s="3113"/>
      <c r="J93" s="3113"/>
      <c r="K93" s="3113"/>
      <c r="L93" s="3071"/>
      <c r="M93" s="3070"/>
      <c r="N93" s="3093">
        <f t="shared" ref="N93:N98" si="4">L93*M93</f>
        <v>0</v>
      </c>
      <c r="O93" s="3093"/>
      <c r="P93" s="3113"/>
      <c r="Q93" s="3215"/>
    </row>
    <row r="94" spans="1:17" ht="15.75" hidden="1" x14ac:dyDescent="0.2">
      <c r="A94" s="3067" t="s">
        <v>3188</v>
      </c>
      <c r="B94" s="3067" t="s">
        <v>3002</v>
      </c>
      <c r="C94" s="3067" t="s">
        <v>3003</v>
      </c>
      <c r="D94" s="3067" t="s">
        <v>5351</v>
      </c>
      <c r="E94" s="3084"/>
      <c r="F94" s="3084"/>
      <c r="G94" s="3084"/>
      <c r="H94" s="3084"/>
      <c r="I94" s="3084"/>
      <c r="J94" s="3084"/>
      <c r="K94" s="3196"/>
      <c r="L94" s="3071"/>
      <c r="M94" s="3070"/>
      <c r="N94" s="3072">
        <f t="shared" si="4"/>
        <v>0</v>
      </c>
      <c r="O94" s="3072"/>
      <c r="P94" s="3084"/>
      <c r="Q94" s="3201"/>
    </row>
    <row r="95" spans="1:17" ht="15.75" hidden="1" x14ac:dyDescent="0.2">
      <c r="A95" s="3067" t="s">
        <v>3189</v>
      </c>
      <c r="B95" s="3067" t="s">
        <v>3004</v>
      </c>
      <c r="C95" s="3067" t="s">
        <v>3005</v>
      </c>
      <c r="D95" s="3067" t="s">
        <v>5351</v>
      </c>
      <c r="E95" s="3084"/>
      <c r="F95" s="3084"/>
      <c r="G95" s="3084"/>
      <c r="H95" s="3084"/>
      <c r="I95" s="3084"/>
      <c r="J95" s="3216"/>
      <c r="K95" s="3196"/>
      <c r="L95" s="3071"/>
      <c r="M95" s="3070"/>
      <c r="N95" s="3072">
        <f t="shared" si="4"/>
        <v>0</v>
      </c>
      <c r="O95" s="3072"/>
      <c r="P95" s="3084"/>
      <c r="Q95" s="3201"/>
    </row>
    <row r="96" spans="1:17" ht="15.75" hidden="1" x14ac:dyDescent="0.2">
      <c r="A96" s="3067" t="s">
        <v>3314</v>
      </c>
      <c r="B96" s="3067" t="s">
        <v>3006</v>
      </c>
      <c r="C96" s="3067" t="s">
        <v>3007</v>
      </c>
      <c r="D96" s="3067" t="s">
        <v>5351</v>
      </c>
      <c r="E96" s="3084"/>
      <c r="F96" s="3084"/>
      <c r="G96" s="3084"/>
      <c r="H96" s="3084"/>
      <c r="I96" s="3084"/>
      <c r="J96" s="3084"/>
      <c r="K96" s="3196"/>
      <c r="L96" s="3071">
        <f t="shared" ref="L96:L102" si="5">K96/100000</f>
        <v>0</v>
      </c>
      <c r="M96" s="3070"/>
      <c r="N96" s="3072">
        <f t="shared" si="4"/>
        <v>0</v>
      </c>
      <c r="O96" s="3072"/>
      <c r="P96" s="3084"/>
      <c r="Q96" s="3201"/>
    </row>
    <row r="97" spans="1:17" ht="15.75" hidden="1" x14ac:dyDescent="0.2">
      <c r="A97" s="3067" t="s">
        <v>4566</v>
      </c>
      <c r="B97" s="3067"/>
      <c r="C97" s="3067" t="s">
        <v>5309</v>
      </c>
      <c r="D97" s="3067" t="s">
        <v>5351</v>
      </c>
      <c r="E97" s="3084"/>
      <c r="F97" s="3084"/>
      <c r="G97" s="3084"/>
      <c r="H97" s="3084"/>
      <c r="I97" s="3084"/>
      <c r="J97" s="3084"/>
      <c r="K97" s="3196"/>
      <c r="L97" s="3071">
        <f t="shared" si="5"/>
        <v>0</v>
      </c>
      <c r="M97" s="3070"/>
      <c r="N97" s="3072">
        <f t="shared" si="4"/>
        <v>0</v>
      </c>
      <c r="O97" s="3072"/>
      <c r="P97" s="3084"/>
      <c r="Q97" s="3201"/>
    </row>
    <row r="98" spans="1:17" ht="15.75" hidden="1" x14ac:dyDescent="0.2">
      <c r="A98" s="3067" t="s">
        <v>5308</v>
      </c>
      <c r="B98" s="3067"/>
      <c r="C98" s="3067" t="s">
        <v>1310</v>
      </c>
      <c r="D98" s="3067" t="s">
        <v>5351</v>
      </c>
      <c r="E98" s="3084"/>
      <c r="F98" s="3084"/>
      <c r="G98" s="3084"/>
      <c r="H98" s="3084"/>
      <c r="I98" s="3084"/>
      <c r="J98" s="3084"/>
      <c r="K98" s="3196"/>
      <c r="L98" s="3071">
        <f t="shared" si="5"/>
        <v>0</v>
      </c>
      <c r="M98" s="3070"/>
      <c r="N98" s="3072">
        <f t="shared" si="4"/>
        <v>0</v>
      </c>
      <c r="O98" s="3072"/>
      <c r="P98" s="3084"/>
      <c r="Q98" s="3201"/>
    </row>
    <row r="99" spans="1:17" s="856" customFormat="1" ht="15.75" hidden="1" x14ac:dyDescent="0.2">
      <c r="A99" s="3109" t="s">
        <v>5312</v>
      </c>
      <c r="B99" s="3109" t="s">
        <v>3198</v>
      </c>
      <c r="C99" s="3109" t="s">
        <v>4959</v>
      </c>
      <c r="D99" s="3109"/>
      <c r="E99" s="3115"/>
      <c r="F99" s="3115"/>
      <c r="G99" s="3115"/>
      <c r="H99" s="3115"/>
      <c r="I99" s="3115"/>
      <c r="J99" s="3115"/>
      <c r="K99" s="3196"/>
      <c r="L99" s="3071">
        <f t="shared" si="5"/>
        <v>0</v>
      </c>
      <c r="M99" s="3116"/>
      <c r="N99" s="3117">
        <f>N100+N101+N102</f>
        <v>0</v>
      </c>
      <c r="O99" s="3117"/>
      <c r="P99" s="3118"/>
      <c r="Q99" s="3217">
        <f>Q100+Q101+Q102</f>
        <v>0</v>
      </c>
    </row>
    <row r="100" spans="1:17" ht="31.5" hidden="1" x14ac:dyDescent="0.2">
      <c r="A100" s="3067" t="s">
        <v>5313</v>
      </c>
      <c r="B100" s="3067" t="s">
        <v>4586</v>
      </c>
      <c r="C100" s="3091" t="s">
        <v>4584</v>
      </c>
      <c r="D100" s="3091" t="s">
        <v>5349</v>
      </c>
      <c r="E100" s="3119"/>
      <c r="F100" s="3119"/>
      <c r="G100" s="3119"/>
      <c r="H100" s="3119"/>
      <c r="I100" s="3119"/>
      <c r="J100" s="3119"/>
      <c r="K100" s="3196"/>
      <c r="L100" s="3071">
        <f t="shared" si="5"/>
        <v>0</v>
      </c>
      <c r="M100" s="3070"/>
      <c r="N100" s="3072">
        <f>L100*M100</f>
        <v>0</v>
      </c>
      <c r="O100" s="3072"/>
      <c r="P100" s="3084"/>
      <c r="Q100" s="3201"/>
    </row>
    <row r="101" spans="1:17" ht="47.25" hidden="1" x14ac:dyDescent="0.2">
      <c r="A101" s="3067" t="s">
        <v>5314</v>
      </c>
      <c r="B101" s="3067" t="s">
        <v>4587</v>
      </c>
      <c r="C101" s="3091" t="s">
        <v>4585</v>
      </c>
      <c r="D101" s="3091" t="s">
        <v>5348</v>
      </c>
      <c r="E101" s="3119"/>
      <c r="F101" s="3119"/>
      <c r="G101" s="3119"/>
      <c r="H101" s="3119"/>
      <c r="I101" s="3119"/>
      <c r="J101" s="3119"/>
      <c r="K101" s="3196"/>
      <c r="L101" s="3071">
        <f t="shared" si="5"/>
        <v>0</v>
      </c>
      <c r="M101" s="3070"/>
      <c r="N101" s="3072">
        <f>L101*M101</f>
        <v>0</v>
      </c>
      <c r="O101" s="3072"/>
      <c r="P101" s="3084"/>
      <c r="Q101" s="3201"/>
    </row>
    <row r="102" spans="1:17" ht="15.75" hidden="1" x14ac:dyDescent="0.2">
      <c r="A102" s="3067" t="s">
        <v>5315</v>
      </c>
      <c r="B102" s="3067" t="s">
        <v>4588</v>
      </c>
      <c r="C102" s="3091" t="s">
        <v>2977</v>
      </c>
      <c r="D102" s="3091" t="s">
        <v>5348</v>
      </c>
      <c r="E102" s="3119"/>
      <c r="F102" s="3119"/>
      <c r="G102" s="3119"/>
      <c r="H102" s="3119"/>
      <c r="I102" s="3119"/>
      <c r="J102" s="3119"/>
      <c r="K102" s="3196"/>
      <c r="L102" s="3071">
        <f t="shared" si="5"/>
        <v>0</v>
      </c>
      <c r="M102" s="3070"/>
      <c r="N102" s="3072">
        <f>L102*M102</f>
        <v>0</v>
      </c>
      <c r="O102" s="3072"/>
      <c r="P102" s="3084"/>
      <c r="Q102" s="3201"/>
    </row>
    <row r="103" spans="1:17" ht="15.75" hidden="1" x14ac:dyDescent="0.2">
      <c r="A103" s="3065" t="s">
        <v>3190</v>
      </c>
      <c r="B103" s="3065"/>
      <c r="C103" s="3065" t="s">
        <v>4571</v>
      </c>
      <c r="D103" s="3065"/>
      <c r="E103" s="3015"/>
      <c r="F103" s="3015"/>
      <c r="G103" s="3066"/>
      <c r="H103" s="3066"/>
      <c r="I103" s="3066"/>
      <c r="J103" s="3015"/>
      <c r="K103" s="3015"/>
      <c r="L103" s="3065"/>
      <c r="M103" s="3015"/>
      <c r="N103" s="3066">
        <f>N104+N108+N111+N112</f>
        <v>0</v>
      </c>
      <c r="O103" s="3066"/>
      <c r="P103" s="3015"/>
      <c r="Q103" s="3210">
        <f>Q104+Q108+Q111+Q112</f>
        <v>0</v>
      </c>
    </row>
    <row r="104" spans="1:17" s="858" customFormat="1" ht="15.75" hidden="1" x14ac:dyDescent="0.2">
      <c r="A104" s="3120" t="s">
        <v>3191</v>
      </c>
      <c r="B104" s="3120"/>
      <c r="C104" s="3120" t="s">
        <v>4568</v>
      </c>
      <c r="D104" s="3120"/>
      <c r="E104" s="3121"/>
      <c r="F104" s="3121"/>
      <c r="G104" s="3117"/>
      <c r="H104" s="3117"/>
      <c r="I104" s="3117"/>
      <c r="J104" s="3121"/>
      <c r="K104" s="3196"/>
      <c r="L104" s="3071"/>
      <c r="M104" s="3116"/>
      <c r="N104" s="3117">
        <f>SUM(N105:N107)</f>
        <v>0</v>
      </c>
      <c r="O104" s="3117"/>
      <c r="P104" s="3121"/>
      <c r="Q104" s="3217">
        <f>SUM(Q105:Q107)</f>
        <v>0</v>
      </c>
    </row>
    <row r="105" spans="1:17" s="828" customFormat="1" ht="15.75" hidden="1" x14ac:dyDescent="0.2">
      <c r="A105" s="3091" t="s">
        <v>4576</v>
      </c>
      <c r="B105" s="3091" t="s">
        <v>3008</v>
      </c>
      <c r="C105" s="3091" t="s">
        <v>4581</v>
      </c>
      <c r="D105" s="3091" t="s">
        <v>5349</v>
      </c>
      <c r="E105" s="3122"/>
      <c r="F105" s="3083"/>
      <c r="G105" s="3080"/>
      <c r="H105" s="3212"/>
      <c r="I105" s="3083"/>
      <c r="J105" s="3083"/>
      <c r="K105" s="3083"/>
      <c r="L105" s="3071"/>
      <c r="M105" s="3122"/>
      <c r="N105" s="3093">
        <f>L105*M105</f>
        <v>0</v>
      </c>
      <c r="O105" s="3093"/>
      <c r="P105" s="3083"/>
      <c r="Q105" s="3203"/>
    </row>
    <row r="106" spans="1:17" s="828" customFormat="1" ht="47.25" hidden="1" x14ac:dyDescent="0.2">
      <c r="A106" s="3091" t="s">
        <v>4577</v>
      </c>
      <c r="B106" s="3091" t="s">
        <v>4574</v>
      </c>
      <c r="C106" s="3091" t="s">
        <v>4575</v>
      </c>
      <c r="D106" s="3091" t="s">
        <v>5349</v>
      </c>
      <c r="E106" s="3122"/>
      <c r="F106" s="3083"/>
      <c r="G106" s="3080"/>
      <c r="H106" s="3212"/>
      <c r="I106" s="3083"/>
      <c r="J106" s="3083"/>
      <c r="K106" s="3218"/>
      <c r="L106" s="3071"/>
      <c r="M106" s="3122"/>
      <c r="N106" s="3093">
        <f>L106*M106</f>
        <v>0</v>
      </c>
      <c r="O106" s="3093"/>
      <c r="P106" s="3083"/>
      <c r="Q106" s="3203"/>
    </row>
    <row r="107" spans="1:17" s="828" customFormat="1" ht="15.75" hidden="1" x14ac:dyDescent="0.2">
      <c r="A107" s="3091" t="s">
        <v>5310</v>
      </c>
      <c r="B107" s="3091"/>
      <c r="C107" s="3091" t="s">
        <v>3876</v>
      </c>
      <c r="D107" s="3091" t="s">
        <v>5348</v>
      </c>
      <c r="E107" s="3083"/>
      <c r="F107" s="3083"/>
      <c r="G107" s="3083"/>
      <c r="H107" s="3083"/>
      <c r="I107" s="3083"/>
      <c r="J107" s="3083"/>
      <c r="K107" s="3196"/>
      <c r="L107" s="3071">
        <f>K107/100000</f>
        <v>0</v>
      </c>
      <c r="M107" s="3070"/>
      <c r="N107" s="3093">
        <f>L107*M107</f>
        <v>0</v>
      </c>
      <c r="O107" s="3093"/>
      <c r="P107" s="3083"/>
      <c r="Q107" s="3203"/>
    </row>
    <row r="108" spans="1:17" s="856" customFormat="1" ht="15.75" hidden="1" x14ac:dyDescent="0.2">
      <c r="A108" s="3125" t="s">
        <v>3192</v>
      </c>
      <c r="B108" s="3125"/>
      <c r="C108" s="3126" t="s">
        <v>1791</v>
      </c>
      <c r="D108" s="3126"/>
      <c r="E108" s="3127"/>
      <c r="F108" s="3127"/>
      <c r="G108" s="3128"/>
      <c r="H108" s="3128"/>
      <c r="I108" s="3128"/>
      <c r="J108" s="3127"/>
      <c r="K108" s="3220"/>
      <c r="L108" s="3128"/>
      <c r="M108" s="3129"/>
      <c r="N108" s="3128">
        <f>SUM(N109:N110)</f>
        <v>0</v>
      </c>
      <c r="O108" s="3128"/>
      <c r="P108" s="3127"/>
      <c r="Q108" s="3221">
        <f>SUM(Q109:Q110)</f>
        <v>0</v>
      </c>
    </row>
    <row r="109" spans="1:17" ht="15.75" hidden="1" x14ac:dyDescent="0.2">
      <c r="A109" s="3067" t="s">
        <v>4578</v>
      </c>
      <c r="B109" s="3067" t="s">
        <v>3009</v>
      </c>
      <c r="C109" s="3067" t="s">
        <v>3010</v>
      </c>
      <c r="D109" s="3067" t="s">
        <v>5350</v>
      </c>
      <c r="E109" s="3081"/>
      <c r="F109" s="3084"/>
      <c r="G109" s="3073"/>
      <c r="H109" s="3084"/>
      <c r="I109" s="3084"/>
      <c r="J109" s="3084"/>
      <c r="K109" s="3084"/>
      <c r="L109" s="3071"/>
      <c r="M109" s="3070"/>
      <c r="N109" s="3072">
        <f>L109*M109</f>
        <v>0</v>
      </c>
      <c r="O109" s="3072"/>
      <c r="P109" s="3084"/>
      <c r="Q109" s="3201"/>
    </row>
    <row r="110" spans="1:17" ht="15.75" hidden="1" x14ac:dyDescent="0.2">
      <c r="A110" s="3067" t="s">
        <v>4579</v>
      </c>
      <c r="B110" s="3067" t="s">
        <v>3011</v>
      </c>
      <c r="C110" s="3067" t="s">
        <v>5311</v>
      </c>
      <c r="D110" s="3067" t="s">
        <v>5350</v>
      </c>
      <c r="E110" s="3084"/>
      <c r="F110" s="3084"/>
      <c r="G110" s="3084"/>
      <c r="H110" s="3084"/>
      <c r="I110" s="3084"/>
      <c r="J110" s="3084"/>
      <c r="K110" s="3196"/>
      <c r="L110" s="3071">
        <f>K110/100000</f>
        <v>0</v>
      </c>
      <c r="M110" s="3070"/>
      <c r="N110" s="3072">
        <f>L110*M110</f>
        <v>0</v>
      </c>
      <c r="O110" s="3072"/>
      <c r="P110" s="3084"/>
      <c r="Q110" s="3201"/>
    </row>
    <row r="111" spans="1:17" s="856" customFormat="1" ht="15.75" hidden="1" x14ac:dyDescent="0.2">
      <c r="A111" s="3120" t="s">
        <v>3193</v>
      </c>
      <c r="B111" s="3131" t="s">
        <v>3012</v>
      </c>
      <c r="C111" s="3131" t="s">
        <v>1879</v>
      </c>
      <c r="D111" s="3131" t="s">
        <v>5348</v>
      </c>
      <c r="E111" s="3135"/>
      <c r="F111" s="3135"/>
      <c r="G111" s="3135"/>
      <c r="H111" s="3135"/>
      <c r="I111" s="3135"/>
      <c r="J111" s="3135"/>
      <c r="K111" s="3196"/>
      <c r="L111" s="3071"/>
      <c r="M111" s="3070"/>
      <c r="N111" s="3134">
        <f>L111*M111</f>
        <v>0</v>
      </c>
      <c r="O111" s="3134"/>
      <c r="P111" s="3135"/>
      <c r="Q111" s="3405">
        <v>0</v>
      </c>
    </row>
    <row r="112" spans="1:17" s="828" customFormat="1" ht="15.75" hidden="1" x14ac:dyDescent="0.2">
      <c r="A112" s="3137" t="s">
        <v>3194</v>
      </c>
      <c r="B112" s="3138"/>
      <c r="C112" s="3139" t="s">
        <v>4582</v>
      </c>
      <c r="D112" s="3139"/>
      <c r="E112" s="3140"/>
      <c r="F112" s="3140"/>
      <c r="G112" s="3141"/>
      <c r="H112" s="3141"/>
      <c r="I112" s="3141"/>
      <c r="J112" s="3140"/>
      <c r="K112" s="3223"/>
      <c r="L112" s="3141"/>
      <c r="M112" s="3142"/>
      <c r="N112" s="3141">
        <f>SUM(N113:N114)</f>
        <v>0</v>
      </c>
      <c r="O112" s="3141"/>
      <c r="P112" s="3140"/>
      <c r="Q112" s="3224">
        <f>SUM(Q113:Q114)</f>
        <v>0</v>
      </c>
    </row>
    <row r="113" spans="1:17" s="828" customFormat="1" ht="31.5" hidden="1" x14ac:dyDescent="0.2">
      <c r="A113" s="3120" t="s">
        <v>3195</v>
      </c>
      <c r="B113" s="3091"/>
      <c r="C113" s="3091" t="s">
        <v>4580</v>
      </c>
      <c r="D113" s="3091" t="s">
        <v>5349</v>
      </c>
      <c r="E113" s="3116"/>
      <c r="F113" s="3194"/>
      <c r="G113" s="3223"/>
      <c r="H113" s="3225"/>
      <c r="I113" s="3194"/>
      <c r="J113" s="3124"/>
      <c r="K113" s="3194"/>
      <c r="L113" s="3071"/>
      <c r="M113" s="3116"/>
      <c r="N113" s="3093">
        <f>L113*M113</f>
        <v>0</v>
      </c>
      <c r="O113" s="3093"/>
      <c r="P113" s="3083"/>
      <c r="Q113" s="3203"/>
    </row>
    <row r="114" spans="1:17" s="828" customFormat="1" ht="31.5" hidden="1" x14ac:dyDescent="0.2">
      <c r="A114" s="3120" t="s">
        <v>3196</v>
      </c>
      <c r="B114" s="3091"/>
      <c r="C114" s="3091" t="s">
        <v>4583</v>
      </c>
      <c r="D114" s="3091" t="s">
        <v>5349</v>
      </c>
      <c r="E114" s="3116"/>
      <c r="F114" s="3083"/>
      <c r="G114" s="3223"/>
      <c r="H114" s="3083"/>
      <c r="I114" s="3083"/>
      <c r="J114" s="3083"/>
      <c r="K114" s="3083"/>
      <c r="L114" s="3071"/>
      <c r="M114" s="3116"/>
      <c r="N114" s="3093">
        <f>L114*M114</f>
        <v>0</v>
      </c>
      <c r="O114" s="3093"/>
      <c r="P114" s="3083"/>
      <c r="Q114" s="3203"/>
    </row>
    <row r="115" spans="1:17" s="867" customFormat="1" ht="15.75" hidden="1" x14ac:dyDescent="0.2">
      <c r="A115" s="3065" t="s">
        <v>3197</v>
      </c>
      <c r="B115" s="3065" t="s">
        <v>3304</v>
      </c>
      <c r="C115" s="3065" t="s">
        <v>4939</v>
      </c>
      <c r="D115" s="3065"/>
      <c r="E115" s="3015"/>
      <c r="F115" s="3015"/>
      <c r="G115" s="3066">
        <f>SUM(G116:G117)</f>
        <v>0</v>
      </c>
      <c r="H115" s="3066">
        <f>SUM(H116:H117)</f>
        <v>0</v>
      </c>
      <c r="I115" s="3066">
        <f>SUM(I116:I117)</f>
        <v>0</v>
      </c>
      <c r="J115" s="3015"/>
      <c r="K115" s="3015"/>
      <c r="L115" s="3065"/>
      <c r="M115" s="3015"/>
      <c r="N115" s="3066">
        <f>SUM(N116:N117)</f>
        <v>0</v>
      </c>
      <c r="O115" s="3066"/>
      <c r="P115" s="3015"/>
      <c r="Q115" s="3210">
        <f>SUM(Q116:Q117)</f>
        <v>0</v>
      </c>
    </row>
    <row r="116" spans="1:17" s="868" customFormat="1" ht="31.5" hidden="1" x14ac:dyDescent="0.2">
      <c r="A116" s="3075" t="s">
        <v>4605</v>
      </c>
      <c r="B116" s="3076" t="s">
        <v>3930</v>
      </c>
      <c r="C116" s="3077" t="s">
        <v>3932</v>
      </c>
      <c r="D116" s="3077" t="s">
        <v>5347</v>
      </c>
      <c r="E116" s="3148"/>
      <c r="F116" s="3148"/>
      <c r="G116" s="3148"/>
      <c r="H116" s="3148"/>
      <c r="I116" s="3148"/>
      <c r="J116" s="3148"/>
      <c r="K116" s="3196"/>
      <c r="L116" s="3071">
        <f>K116/100000</f>
        <v>0</v>
      </c>
      <c r="M116" s="3070"/>
      <c r="N116" s="3134">
        <f>L116*M116</f>
        <v>0</v>
      </c>
      <c r="O116" s="3134"/>
      <c r="P116" s="3149"/>
      <c r="Q116" s="3201"/>
    </row>
    <row r="117" spans="1:17" s="868" customFormat="1" ht="15.75" hidden="1" x14ac:dyDescent="0.2">
      <c r="A117" s="3075" t="s">
        <v>5316</v>
      </c>
      <c r="B117" s="3076" t="s">
        <v>3931</v>
      </c>
      <c r="C117" s="3067" t="s">
        <v>1310</v>
      </c>
      <c r="D117" s="3067" t="s">
        <v>3303</v>
      </c>
      <c r="E117" s="3148"/>
      <c r="F117" s="3148"/>
      <c r="G117" s="3148"/>
      <c r="H117" s="3148"/>
      <c r="I117" s="3148"/>
      <c r="J117" s="3148"/>
      <c r="K117" s="3196"/>
      <c r="L117" s="3071">
        <f>K117/100000</f>
        <v>0</v>
      </c>
      <c r="M117" s="3070"/>
      <c r="N117" s="3134">
        <f>L117*M117</f>
        <v>0</v>
      </c>
      <c r="O117" s="3134"/>
      <c r="P117" s="3149"/>
      <c r="Q117" s="3201"/>
    </row>
    <row r="118" spans="1:17" ht="15.75" hidden="1" x14ac:dyDescent="0.2">
      <c r="A118" s="3063" t="s">
        <v>3199</v>
      </c>
      <c r="B118" s="3063"/>
      <c r="C118" s="3063" t="s">
        <v>20</v>
      </c>
      <c r="D118" s="3063"/>
      <c r="E118" s="3087"/>
      <c r="F118" s="3087"/>
      <c r="G118" s="3064">
        <f>G119</f>
        <v>0</v>
      </c>
      <c r="H118" s="3064">
        <f>H119</f>
        <v>0</v>
      </c>
      <c r="I118" s="3064">
        <f>I119</f>
        <v>0</v>
      </c>
      <c r="J118" s="3087"/>
      <c r="K118" s="3087"/>
      <c r="L118" s="3063"/>
      <c r="M118" s="3087"/>
      <c r="N118" s="3064">
        <f>N119</f>
        <v>0</v>
      </c>
      <c r="O118" s="3064"/>
      <c r="P118" s="3087"/>
      <c r="Q118" s="3211">
        <f>Q119</f>
        <v>0</v>
      </c>
    </row>
    <row r="119" spans="1:17" ht="15.75" hidden="1" x14ac:dyDescent="0.2">
      <c r="A119" s="3067" t="s">
        <v>3200</v>
      </c>
      <c r="B119" s="3067"/>
      <c r="C119" s="3067" t="s">
        <v>4454</v>
      </c>
      <c r="D119" s="3067" t="s">
        <v>5348</v>
      </c>
      <c r="E119" s="3084"/>
      <c r="F119" s="3084"/>
      <c r="G119" s="3084"/>
      <c r="H119" s="3084"/>
      <c r="I119" s="3084"/>
      <c r="J119" s="3084"/>
      <c r="K119" s="3196"/>
      <c r="L119" s="3071">
        <f>K119/100000</f>
        <v>0</v>
      </c>
      <c r="M119" s="3070"/>
      <c r="N119" s="3072">
        <f>L119*M119</f>
        <v>0</v>
      </c>
      <c r="O119" s="3072"/>
      <c r="P119" s="3084"/>
      <c r="Q119" s="3201"/>
    </row>
    <row r="120" spans="1:17" ht="15.75" hidden="1" x14ac:dyDescent="0.2">
      <c r="A120" s="3063" t="s">
        <v>3201</v>
      </c>
      <c r="B120" s="3063"/>
      <c r="C120" s="3063" t="s">
        <v>21</v>
      </c>
      <c r="D120" s="3063"/>
      <c r="E120" s="3087"/>
      <c r="F120" s="3087"/>
      <c r="G120" s="3064"/>
      <c r="H120" s="3064"/>
      <c r="I120" s="3064"/>
      <c r="J120" s="3087"/>
      <c r="K120" s="3087"/>
      <c r="L120" s="3063"/>
      <c r="M120" s="3087"/>
      <c r="N120" s="3064">
        <f>N121+N169+N170+N171</f>
        <v>1033.63662</v>
      </c>
      <c r="O120" s="3064"/>
      <c r="P120" s="3087"/>
      <c r="Q120" s="3211">
        <f>Q121+Q169+Q170+Q171</f>
        <v>0</v>
      </c>
    </row>
    <row r="121" spans="1:17" ht="15.75" hidden="1" x14ac:dyDescent="0.2">
      <c r="A121" s="3065" t="s">
        <v>3202</v>
      </c>
      <c r="B121" s="3065"/>
      <c r="C121" s="3065" t="s">
        <v>41</v>
      </c>
      <c r="D121" s="3065"/>
      <c r="E121" s="3015"/>
      <c r="F121" s="3015"/>
      <c r="G121" s="3066"/>
      <c r="H121" s="3066"/>
      <c r="I121" s="3066"/>
      <c r="J121" s="3015"/>
      <c r="K121" s="3015"/>
      <c r="L121" s="3065"/>
      <c r="M121" s="3015"/>
      <c r="N121" s="3066">
        <f>N122+N126+N130+N134+N138+N142+N150+N152+N162+N166</f>
        <v>1033.63662</v>
      </c>
      <c r="O121" s="3066"/>
      <c r="P121" s="3015"/>
      <c r="Q121" s="3210">
        <f>Q122+Q126+Q130+Q134+Q138+Q142+Q150+Q152+Q162+Q166</f>
        <v>0</v>
      </c>
    </row>
    <row r="122" spans="1:17" ht="15.75" hidden="1" x14ac:dyDescent="0.2">
      <c r="A122" s="3094" t="s">
        <v>3203</v>
      </c>
      <c r="B122" s="3094" t="s">
        <v>3014</v>
      </c>
      <c r="C122" s="3094" t="s">
        <v>3015</v>
      </c>
      <c r="D122" s="3094"/>
      <c r="E122" s="3014"/>
      <c r="F122" s="3014"/>
      <c r="G122" s="3095"/>
      <c r="H122" s="3095"/>
      <c r="I122" s="3095"/>
      <c r="J122" s="3014"/>
      <c r="K122" s="3014"/>
      <c r="L122" s="3094"/>
      <c r="M122" s="3014"/>
      <c r="N122" s="3095">
        <f>SUM(N123:N125)</f>
        <v>172.8</v>
      </c>
      <c r="O122" s="3095"/>
      <c r="P122" s="3014"/>
      <c r="Q122" s="3208">
        <f>SUM(Q123:Q125)</f>
        <v>0</v>
      </c>
    </row>
    <row r="123" spans="1:17" ht="42.75" x14ac:dyDescent="0.2">
      <c r="A123" s="3067" t="s">
        <v>3204</v>
      </c>
      <c r="B123" s="3067" t="s">
        <v>3016</v>
      </c>
      <c r="C123" s="3067" t="s">
        <v>2992</v>
      </c>
      <c r="D123" s="3067" t="s">
        <v>5352</v>
      </c>
      <c r="E123" s="3081"/>
      <c r="F123" s="3082"/>
      <c r="G123" s="3073"/>
      <c r="H123" s="3226"/>
      <c r="I123" s="3082"/>
      <c r="J123" s="3700" t="s">
        <v>5980</v>
      </c>
      <c r="K123" s="3701">
        <f>15000*3</f>
        <v>45000</v>
      </c>
      <c r="L123" s="3702">
        <f>K123/100000</f>
        <v>0.45</v>
      </c>
      <c r="M123" s="3703">
        <v>382</v>
      </c>
      <c r="N123" s="3704">
        <f>L123*M123</f>
        <v>171.9</v>
      </c>
      <c r="O123" s="3691" t="s">
        <v>5981</v>
      </c>
      <c r="P123" s="3084"/>
      <c r="Q123" s="3201"/>
    </row>
    <row r="124" spans="1:17" ht="71.25" x14ac:dyDescent="0.2">
      <c r="A124" s="3067" t="s">
        <v>3205</v>
      </c>
      <c r="B124" s="3067" t="s">
        <v>3017</v>
      </c>
      <c r="C124" s="3067" t="s">
        <v>2994</v>
      </c>
      <c r="D124" s="3067" t="s">
        <v>5352</v>
      </c>
      <c r="E124" s="3205"/>
      <c r="F124" s="3227"/>
      <c r="G124" s="3073"/>
      <c r="H124" s="3228"/>
      <c r="I124" s="3227"/>
      <c r="J124" s="3700" t="s">
        <v>5980</v>
      </c>
      <c r="K124" s="3705">
        <f>15000*3</f>
        <v>45000</v>
      </c>
      <c r="L124" s="3702">
        <f>K124/100000</f>
        <v>0.45</v>
      </c>
      <c r="M124" s="3703">
        <f>2</f>
        <v>2</v>
      </c>
      <c r="N124" s="3704">
        <f>L124*M124</f>
        <v>0.9</v>
      </c>
      <c r="O124" s="3691" t="s">
        <v>5982</v>
      </c>
      <c r="P124" s="3084"/>
      <c r="Q124" s="3201"/>
    </row>
    <row r="125" spans="1:17" ht="15.75" hidden="1" x14ac:dyDescent="0.2">
      <c r="A125" s="3067" t="s">
        <v>3206</v>
      </c>
      <c r="B125" s="3067" t="s">
        <v>3018</v>
      </c>
      <c r="C125" s="3067" t="s">
        <v>2995</v>
      </c>
      <c r="D125" s="3067" t="s">
        <v>5352</v>
      </c>
      <c r="E125" s="3205"/>
      <c r="F125" s="3229"/>
      <c r="G125" s="3073"/>
      <c r="H125" s="3229"/>
      <c r="I125" s="3229"/>
      <c r="J125" s="3229"/>
      <c r="K125" s="3229"/>
      <c r="L125" s="3071"/>
      <c r="M125" s="3205"/>
      <c r="N125" s="3072">
        <f>L125*M125</f>
        <v>0</v>
      </c>
      <c r="O125" s="3072"/>
      <c r="P125" s="3084"/>
      <c r="Q125" s="3201"/>
    </row>
    <row r="126" spans="1:17" ht="15.75" hidden="1" x14ac:dyDescent="0.2">
      <c r="A126" s="3094" t="s">
        <v>3207</v>
      </c>
      <c r="B126" s="3094" t="s">
        <v>3019</v>
      </c>
      <c r="C126" s="3094" t="s">
        <v>3020</v>
      </c>
      <c r="D126" s="3094"/>
      <c r="E126" s="3014"/>
      <c r="F126" s="3176"/>
      <c r="G126" s="3176"/>
      <c r="H126" s="3176"/>
      <c r="I126" s="3176"/>
      <c r="J126" s="3014"/>
      <c r="K126" s="3014"/>
      <c r="L126" s="3094"/>
      <c r="M126" s="3014"/>
      <c r="N126" s="3095">
        <f>SUM(N127:N129)</f>
        <v>298.8</v>
      </c>
      <c r="O126" s="3095"/>
      <c r="P126" s="3014"/>
      <c r="Q126" s="3208">
        <f>SUM(Q127:Q129)</f>
        <v>0</v>
      </c>
    </row>
    <row r="127" spans="1:17" ht="71.25" x14ac:dyDescent="0.2">
      <c r="A127" s="3067" t="s">
        <v>3208</v>
      </c>
      <c r="B127" s="3067" t="s">
        <v>3021</v>
      </c>
      <c r="C127" s="3067" t="s">
        <v>2992</v>
      </c>
      <c r="D127" s="3067" t="s">
        <v>5352</v>
      </c>
      <c r="E127" s="3230"/>
      <c r="F127" s="3082"/>
      <c r="G127" s="3073"/>
      <c r="H127" s="3226"/>
      <c r="I127" s="3082"/>
      <c r="J127" s="3700" t="s">
        <v>5980</v>
      </c>
      <c r="K127" s="3706">
        <f>20000*3</f>
        <v>60000</v>
      </c>
      <c r="L127" s="3702">
        <f>K127/100000</f>
        <v>0.6</v>
      </c>
      <c r="M127" s="3703">
        <v>396</v>
      </c>
      <c r="N127" s="3704">
        <f>L127*M127</f>
        <v>237.6</v>
      </c>
      <c r="O127" s="3707" t="s">
        <v>5983</v>
      </c>
      <c r="P127" s="3084"/>
      <c r="Q127" s="3201"/>
    </row>
    <row r="128" spans="1:17" ht="42.75" x14ac:dyDescent="0.2">
      <c r="A128" s="3067" t="s">
        <v>3209</v>
      </c>
      <c r="B128" s="3067" t="s">
        <v>3022</v>
      </c>
      <c r="C128" s="3067" t="s">
        <v>2994</v>
      </c>
      <c r="D128" s="3067" t="s">
        <v>5352</v>
      </c>
      <c r="E128" s="3230"/>
      <c r="F128" s="3082"/>
      <c r="G128" s="3231"/>
      <c r="H128" s="3226"/>
      <c r="I128" s="3082"/>
      <c r="J128" s="3700" t="s">
        <v>5980</v>
      </c>
      <c r="K128" s="3706">
        <f>20000*3</f>
        <v>60000</v>
      </c>
      <c r="L128" s="3702">
        <f>K128/100000</f>
        <v>0.6</v>
      </c>
      <c r="M128" s="3703">
        <v>96</v>
      </c>
      <c r="N128" s="3704">
        <f>L128*M128</f>
        <v>57.599999999999994</v>
      </c>
      <c r="O128" s="3707" t="s">
        <v>5984</v>
      </c>
      <c r="P128" s="3084"/>
      <c r="Q128" s="3201"/>
    </row>
    <row r="129" spans="1:17" ht="71.25" x14ac:dyDescent="0.2">
      <c r="A129" s="3067" t="s">
        <v>3210</v>
      </c>
      <c r="B129" s="3067" t="s">
        <v>3023</v>
      </c>
      <c r="C129" s="3067" t="s">
        <v>2995</v>
      </c>
      <c r="D129" s="3067" t="s">
        <v>5352</v>
      </c>
      <c r="E129" s="3230"/>
      <c r="F129" s="3082"/>
      <c r="G129" s="3231"/>
      <c r="H129" s="3226"/>
      <c r="I129" s="3082"/>
      <c r="J129" s="3700" t="s">
        <v>5980</v>
      </c>
      <c r="K129" s="3706">
        <f>20000*3</f>
        <v>60000</v>
      </c>
      <c r="L129" s="3702">
        <f>K129/100000</f>
        <v>0.6</v>
      </c>
      <c r="M129" s="3703">
        <v>6</v>
      </c>
      <c r="N129" s="3704">
        <f>L129*M129</f>
        <v>3.5999999999999996</v>
      </c>
      <c r="O129" s="3707" t="s">
        <v>5985</v>
      </c>
      <c r="P129" s="3407"/>
      <c r="Q129" s="3203"/>
    </row>
    <row r="130" spans="1:17" ht="15.75" hidden="1" x14ac:dyDescent="0.2">
      <c r="A130" s="3094" t="s">
        <v>3211</v>
      </c>
      <c r="B130" s="3094" t="s">
        <v>3024</v>
      </c>
      <c r="C130" s="3094" t="s">
        <v>3025</v>
      </c>
      <c r="D130" s="3094"/>
      <c r="E130" s="3014"/>
      <c r="F130" s="3176"/>
      <c r="G130" s="3176"/>
      <c r="H130" s="3176"/>
      <c r="I130" s="3176"/>
      <c r="J130" s="3014"/>
      <c r="K130" s="3014"/>
      <c r="L130" s="3094"/>
      <c r="M130" s="3014"/>
      <c r="N130" s="3095">
        <f>SUM(N131:N133)</f>
        <v>49.95</v>
      </c>
      <c r="O130" s="3095"/>
      <c r="P130" s="3014"/>
      <c r="Q130" s="3208">
        <f>SUM(Q131:Q133)</f>
        <v>0</v>
      </c>
    </row>
    <row r="131" spans="1:17" ht="57" x14ac:dyDescent="0.2">
      <c r="A131" s="3067" t="s">
        <v>3212</v>
      </c>
      <c r="B131" s="3067" t="s">
        <v>3026</v>
      </c>
      <c r="C131" s="3067" t="s">
        <v>2992</v>
      </c>
      <c r="D131" s="3067" t="s">
        <v>5352</v>
      </c>
      <c r="E131" s="3230"/>
      <c r="F131" s="3082"/>
      <c r="G131" s="3133"/>
      <c r="H131" s="3226"/>
      <c r="I131" s="3082"/>
      <c r="J131" s="3700" t="s">
        <v>5980</v>
      </c>
      <c r="K131" s="3706">
        <f>15000*3</f>
        <v>45000</v>
      </c>
      <c r="L131" s="3702">
        <f>K131/100000</f>
        <v>0.45</v>
      </c>
      <c r="M131" s="3703">
        <v>80</v>
      </c>
      <c r="N131" s="3704">
        <f>L131*M131</f>
        <v>36</v>
      </c>
      <c r="O131" s="3707" t="s">
        <v>5986</v>
      </c>
      <c r="P131" s="3084"/>
      <c r="Q131" s="3201"/>
    </row>
    <row r="132" spans="1:17" ht="57" x14ac:dyDescent="0.2">
      <c r="A132" s="3067" t="s">
        <v>3213</v>
      </c>
      <c r="B132" s="3067" t="s">
        <v>3027</v>
      </c>
      <c r="C132" s="3067" t="s">
        <v>2994</v>
      </c>
      <c r="D132" s="3067" t="s">
        <v>5352</v>
      </c>
      <c r="E132" s="3230"/>
      <c r="F132" s="3082"/>
      <c r="G132" s="3231"/>
      <c r="H132" s="3226"/>
      <c r="I132" s="3082"/>
      <c r="J132" s="3700" t="s">
        <v>5980</v>
      </c>
      <c r="K132" s="3706">
        <f t="shared" ref="K132:K133" si="6">15000*3</f>
        <v>45000</v>
      </c>
      <c r="L132" s="3702">
        <f>K132/100000</f>
        <v>0.45</v>
      </c>
      <c r="M132" s="3703">
        <f>23+5</f>
        <v>28</v>
      </c>
      <c r="N132" s="3704">
        <f>L132*M132</f>
        <v>12.6</v>
      </c>
      <c r="O132" s="3707" t="s">
        <v>5987</v>
      </c>
      <c r="P132" s="3084"/>
      <c r="Q132" s="3201"/>
    </row>
    <row r="133" spans="1:17" ht="71.25" x14ac:dyDescent="0.2">
      <c r="A133" s="3067" t="s">
        <v>3214</v>
      </c>
      <c r="B133" s="3067" t="s">
        <v>3028</v>
      </c>
      <c r="C133" s="3067" t="s">
        <v>2995</v>
      </c>
      <c r="D133" s="3067" t="s">
        <v>5352</v>
      </c>
      <c r="E133" s="3230"/>
      <c r="F133" s="3213"/>
      <c r="G133" s="3231"/>
      <c r="H133" s="3213"/>
      <c r="I133" s="3213"/>
      <c r="J133" s="3700" t="s">
        <v>5980</v>
      </c>
      <c r="K133" s="3706">
        <f t="shared" si="6"/>
        <v>45000</v>
      </c>
      <c r="L133" s="3702">
        <f>K133/100000</f>
        <v>0.45</v>
      </c>
      <c r="M133" s="3703">
        <v>3</v>
      </c>
      <c r="N133" s="3704">
        <f>L133*M133</f>
        <v>1.35</v>
      </c>
      <c r="O133" s="3707" t="s">
        <v>5988</v>
      </c>
      <c r="P133" s="3219"/>
      <c r="Q133" s="3201"/>
    </row>
    <row r="134" spans="1:17" ht="15.75" hidden="1" x14ac:dyDescent="0.2">
      <c r="A134" s="3094" t="s">
        <v>3215</v>
      </c>
      <c r="B134" s="3094" t="s">
        <v>3029</v>
      </c>
      <c r="C134" s="3094" t="s">
        <v>552</v>
      </c>
      <c r="D134" s="3094"/>
      <c r="E134" s="3014"/>
      <c r="F134" s="3176"/>
      <c r="G134" s="3176"/>
      <c r="H134" s="3176"/>
      <c r="I134" s="3176"/>
      <c r="J134" s="3014"/>
      <c r="K134" s="3014"/>
      <c r="L134" s="3094"/>
      <c r="M134" s="3014"/>
      <c r="N134" s="3095">
        <f>SUM(N135:N137)</f>
        <v>44.550000000000004</v>
      </c>
      <c r="O134" s="3095"/>
      <c r="P134" s="3014"/>
      <c r="Q134" s="3208">
        <f>SUM(Q135:Q137)</f>
        <v>0</v>
      </c>
    </row>
    <row r="135" spans="1:17" ht="71.25" x14ac:dyDescent="0.2">
      <c r="A135" s="3067" t="s">
        <v>3216</v>
      </c>
      <c r="B135" s="3067" t="s">
        <v>3030</v>
      </c>
      <c r="C135" s="3067" t="s">
        <v>2992</v>
      </c>
      <c r="D135" s="3067" t="s">
        <v>5352</v>
      </c>
      <c r="E135" s="3230"/>
      <c r="F135" s="3082"/>
      <c r="G135" s="3073"/>
      <c r="H135" s="3226"/>
      <c r="I135" s="3082"/>
      <c r="J135" s="3700" t="s">
        <v>5980</v>
      </c>
      <c r="K135" s="3706">
        <f>15000*3</f>
        <v>45000</v>
      </c>
      <c r="L135" s="3702">
        <f>K135/100000</f>
        <v>0.45</v>
      </c>
      <c r="M135" s="3703">
        <v>83</v>
      </c>
      <c r="N135" s="3704">
        <f>L135*M135</f>
        <v>37.35</v>
      </c>
      <c r="O135" s="3707" t="s">
        <v>5989</v>
      </c>
      <c r="P135" s="3084"/>
      <c r="Q135" s="3201"/>
    </row>
    <row r="136" spans="1:17" ht="57" x14ac:dyDescent="0.2">
      <c r="A136" s="3067" t="s">
        <v>3217</v>
      </c>
      <c r="B136" s="3067" t="s">
        <v>3031</v>
      </c>
      <c r="C136" s="3067" t="s">
        <v>2994</v>
      </c>
      <c r="D136" s="3067" t="s">
        <v>5352</v>
      </c>
      <c r="E136" s="3230"/>
      <c r="F136" s="3082"/>
      <c r="G136" s="3231"/>
      <c r="H136" s="3226"/>
      <c r="I136" s="3082"/>
      <c r="J136" s="3700" t="s">
        <v>5980</v>
      </c>
      <c r="K136" s="3706">
        <f>15000*3</f>
        <v>45000</v>
      </c>
      <c r="L136" s="3702">
        <f>K136/100000</f>
        <v>0.45</v>
      </c>
      <c r="M136" s="3703">
        <v>16</v>
      </c>
      <c r="N136" s="3704">
        <f>L136*M136</f>
        <v>7.2</v>
      </c>
      <c r="O136" s="3707" t="s">
        <v>5990</v>
      </c>
      <c r="P136" s="3084"/>
      <c r="Q136" s="3201"/>
    </row>
    <row r="137" spans="1:17" ht="15.75" hidden="1" x14ac:dyDescent="0.2">
      <c r="A137" s="3067" t="s">
        <v>3218</v>
      </c>
      <c r="B137" s="3067" t="s">
        <v>3032</v>
      </c>
      <c r="C137" s="3067" t="s">
        <v>2995</v>
      </c>
      <c r="D137" s="3067" t="s">
        <v>5352</v>
      </c>
      <c r="E137" s="3230">
        <v>3</v>
      </c>
      <c r="F137" s="3213"/>
      <c r="G137" s="3073">
        <v>0</v>
      </c>
      <c r="H137" s="3213"/>
      <c r="I137" s="3213"/>
      <c r="J137" s="3083"/>
      <c r="K137" s="3232"/>
      <c r="L137" s="3071">
        <f>K137/100000</f>
        <v>0</v>
      </c>
      <c r="M137" s="3230"/>
      <c r="N137" s="3072">
        <f>L137*M137</f>
        <v>0</v>
      </c>
      <c r="O137" s="3072"/>
      <c r="P137" s="3084"/>
      <c r="Q137" s="3201"/>
    </row>
    <row r="138" spans="1:17" ht="15.75" hidden="1" x14ac:dyDescent="0.2">
      <c r="A138" s="3094" t="s">
        <v>3219</v>
      </c>
      <c r="B138" s="3094" t="s">
        <v>3033</v>
      </c>
      <c r="C138" s="3094" t="s">
        <v>3034</v>
      </c>
      <c r="D138" s="3094"/>
      <c r="E138" s="3014"/>
      <c r="F138" s="3176"/>
      <c r="G138" s="3176"/>
      <c r="H138" s="3176"/>
      <c r="I138" s="3176"/>
      <c r="J138" s="3014"/>
      <c r="K138" s="3014"/>
      <c r="L138" s="3094"/>
      <c r="M138" s="3014"/>
      <c r="N138" s="3095">
        <f>SUM(N139:N141)</f>
        <v>11.327999999999999</v>
      </c>
      <c r="O138" s="3095"/>
      <c r="P138" s="3014"/>
      <c r="Q138" s="3208">
        <f>SUM(Q139:Q141)</f>
        <v>0</v>
      </c>
    </row>
    <row r="139" spans="1:17" ht="57" x14ac:dyDescent="0.2">
      <c r="A139" s="3067" t="s">
        <v>3220</v>
      </c>
      <c r="B139" s="3067" t="s">
        <v>3035</v>
      </c>
      <c r="C139" s="3067" t="s">
        <v>3036</v>
      </c>
      <c r="D139" s="3067" t="s">
        <v>5352</v>
      </c>
      <c r="E139" s="3230"/>
      <c r="F139" s="3227"/>
      <c r="G139" s="3231"/>
      <c r="H139" s="3228"/>
      <c r="I139" s="3227"/>
      <c r="J139" s="3700" t="s">
        <v>5980</v>
      </c>
      <c r="K139" s="3701">
        <f>12000*3</f>
        <v>36000</v>
      </c>
      <c r="L139" s="3702">
        <f>K139/100000</f>
        <v>0.36</v>
      </c>
      <c r="M139" s="3703">
        <v>16</v>
      </c>
      <c r="N139" s="3704">
        <f>L139*M139</f>
        <v>5.76</v>
      </c>
      <c r="O139" s="3707" t="s">
        <v>5991</v>
      </c>
      <c r="P139" s="3084"/>
      <c r="Q139" s="3201"/>
    </row>
    <row r="140" spans="1:17" ht="42.75" x14ac:dyDescent="0.2">
      <c r="A140" s="3067" t="s">
        <v>3221</v>
      </c>
      <c r="B140" s="3067" t="s">
        <v>3037</v>
      </c>
      <c r="C140" s="3067" t="s">
        <v>639</v>
      </c>
      <c r="D140" s="3067" t="s">
        <v>5352</v>
      </c>
      <c r="E140" s="3230"/>
      <c r="F140" s="3227"/>
      <c r="G140" s="3073"/>
      <c r="H140" s="3228"/>
      <c r="I140" s="3227"/>
      <c r="J140" s="3700" t="s">
        <v>5980</v>
      </c>
      <c r="K140" s="3701">
        <f>8400*3</f>
        <v>25200</v>
      </c>
      <c r="L140" s="3702">
        <f>K140/100000</f>
        <v>0.252</v>
      </c>
      <c r="M140" s="3703">
        <v>9</v>
      </c>
      <c r="N140" s="3704">
        <f>L140*M140</f>
        <v>2.2679999999999998</v>
      </c>
      <c r="O140" s="3707" t="s">
        <v>5992</v>
      </c>
      <c r="P140" s="3084"/>
      <c r="Q140" s="3201"/>
    </row>
    <row r="141" spans="1:17" ht="85.5" x14ac:dyDescent="0.2">
      <c r="A141" s="3067" t="s">
        <v>3222</v>
      </c>
      <c r="B141" s="3067" t="s">
        <v>3038</v>
      </c>
      <c r="C141" s="3067" t="s">
        <v>1310</v>
      </c>
      <c r="D141" s="3067" t="s">
        <v>5352</v>
      </c>
      <c r="E141" s="3230"/>
      <c r="F141" s="3082"/>
      <c r="G141" s="3073"/>
      <c r="H141" s="3226"/>
      <c r="I141" s="3082"/>
      <c r="J141" s="3700" t="s">
        <v>5980</v>
      </c>
      <c r="K141" s="3701">
        <f>(5*10000*3)+(5*12000*3)</f>
        <v>330000</v>
      </c>
      <c r="L141" s="3702">
        <f>K141/100000</f>
        <v>3.3</v>
      </c>
      <c r="M141" s="3703">
        <v>1</v>
      </c>
      <c r="N141" s="3704">
        <f>L141*M141</f>
        <v>3.3</v>
      </c>
      <c r="O141" s="3707" t="s">
        <v>5993</v>
      </c>
      <c r="P141" s="3084"/>
      <c r="Q141" s="3201"/>
    </row>
    <row r="142" spans="1:17" ht="15.75" hidden="1" x14ac:dyDescent="0.2">
      <c r="A142" s="3094" t="s">
        <v>3223</v>
      </c>
      <c r="B142" s="3094" t="s">
        <v>3039</v>
      </c>
      <c r="C142" s="3094" t="s">
        <v>3040</v>
      </c>
      <c r="D142" s="3094"/>
      <c r="E142" s="3014"/>
      <c r="F142" s="3176"/>
      <c r="G142" s="3176"/>
      <c r="H142" s="3176"/>
      <c r="I142" s="3176"/>
      <c r="J142" s="3014"/>
      <c r="K142" s="3014"/>
      <c r="L142" s="3094"/>
      <c r="M142" s="3014"/>
      <c r="N142" s="3095">
        <f>SUM(N143:N149)</f>
        <v>199.79999999999998</v>
      </c>
      <c r="O142" s="3095"/>
      <c r="P142" s="3014"/>
      <c r="Q142" s="3208">
        <f>SUM(Q143:Q149)</f>
        <v>0</v>
      </c>
    </row>
    <row r="143" spans="1:17" ht="57" x14ac:dyDescent="0.2">
      <c r="A143" s="3067" t="s">
        <v>3224</v>
      </c>
      <c r="B143" s="3067" t="s">
        <v>3041</v>
      </c>
      <c r="C143" s="3067" t="s">
        <v>3042</v>
      </c>
      <c r="D143" s="3067" t="s">
        <v>5352</v>
      </c>
      <c r="E143" s="3230"/>
      <c r="F143" s="3227"/>
      <c r="G143" s="3231"/>
      <c r="H143" s="3228"/>
      <c r="I143" s="3227"/>
      <c r="J143" s="3700" t="s">
        <v>5980</v>
      </c>
      <c r="K143" s="3701">
        <f>90000*3</f>
        <v>270000</v>
      </c>
      <c r="L143" s="3702">
        <f t="shared" ref="L143:L146" si="7">K143/100000</f>
        <v>2.7</v>
      </c>
      <c r="M143" s="3703">
        <v>21</v>
      </c>
      <c r="N143" s="3704">
        <f t="shared" ref="N143:N146" si="8">L143*M143</f>
        <v>56.7</v>
      </c>
      <c r="O143" s="3707" t="s">
        <v>5994</v>
      </c>
      <c r="P143" s="3219"/>
      <c r="Q143" s="3201"/>
    </row>
    <row r="144" spans="1:17" ht="85.5" x14ac:dyDescent="0.2">
      <c r="A144" s="3067" t="s">
        <v>3225</v>
      </c>
      <c r="B144" s="3067" t="s">
        <v>3043</v>
      </c>
      <c r="C144" s="3067" t="s">
        <v>556</v>
      </c>
      <c r="D144" s="3067" t="s">
        <v>5352</v>
      </c>
      <c r="E144" s="3230"/>
      <c r="F144" s="3227"/>
      <c r="G144" s="3231"/>
      <c r="H144" s="3228"/>
      <c r="I144" s="3227"/>
      <c r="J144" s="3700" t="s">
        <v>5980</v>
      </c>
      <c r="K144" s="3701">
        <f>90000*3</f>
        <v>270000</v>
      </c>
      <c r="L144" s="3702">
        <f t="shared" si="7"/>
        <v>2.7</v>
      </c>
      <c r="M144" s="3703">
        <v>19</v>
      </c>
      <c r="N144" s="3704">
        <f t="shared" si="8"/>
        <v>51.300000000000004</v>
      </c>
      <c r="O144" s="3707" t="s">
        <v>5995</v>
      </c>
      <c r="P144" s="3084"/>
      <c r="Q144" s="3201"/>
    </row>
    <row r="145" spans="1:17" ht="15.75" hidden="1" x14ac:dyDescent="0.2">
      <c r="A145" s="3067" t="s">
        <v>3226</v>
      </c>
      <c r="B145" s="3067" t="s">
        <v>3044</v>
      </c>
      <c r="C145" s="3067" t="s">
        <v>3045</v>
      </c>
      <c r="D145" s="3067" t="s">
        <v>5352</v>
      </c>
      <c r="E145" s="3230"/>
      <c r="F145" s="3082"/>
      <c r="G145" s="3072"/>
      <c r="H145" s="3072"/>
      <c r="I145" s="3072"/>
      <c r="J145" s="3700"/>
      <c r="K145" s="3708"/>
      <c r="L145" s="3702"/>
      <c r="M145" s="3703"/>
      <c r="N145" s="3704"/>
      <c r="O145" s="3707"/>
      <c r="P145" s="3084"/>
      <c r="Q145" s="3201"/>
    </row>
    <row r="146" spans="1:17" ht="71.25" x14ac:dyDescent="0.2">
      <c r="A146" s="3067" t="s">
        <v>3227</v>
      </c>
      <c r="B146" s="3067" t="s">
        <v>3046</v>
      </c>
      <c r="C146" s="3067" t="s">
        <v>3047</v>
      </c>
      <c r="D146" s="3067" t="s">
        <v>5352</v>
      </c>
      <c r="E146" s="3230"/>
      <c r="F146" s="3227"/>
      <c r="G146" s="3231"/>
      <c r="H146" s="3228"/>
      <c r="I146" s="3227"/>
      <c r="J146" s="3700" t="s">
        <v>5980</v>
      </c>
      <c r="K146" s="3701">
        <f>90000*3</f>
        <v>270000</v>
      </c>
      <c r="L146" s="3702">
        <f t="shared" si="7"/>
        <v>2.7</v>
      </c>
      <c r="M146" s="3703">
        <v>16</v>
      </c>
      <c r="N146" s="3704">
        <f t="shared" si="8"/>
        <v>43.2</v>
      </c>
      <c r="O146" s="3707" t="s">
        <v>5996</v>
      </c>
      <c r="P146" s="3084"/>
      <c r="Q146" s="3201"/>
    </row>
    <row r="147" spans="1:17" ht="15.75" hidden="1" x14ac:dyDescent="0.2">
      <c r="A147" s="3067" t="s">
        <v>3228</v>
      </c>
      <c r="B147" s="3067" t="s">
        <v>3048</v>
      </c>
      <c r="C147" s="3067" t="s">
        <v>3049</v>
      </c>
      <c r="D147" s="3067" t="s">
        <v>5352</v>
      </c>
      <c r="E147" s="3230"/>
      <c r="F147" s="3082"/>
      <c r="G147" s="3073"/>
      <c r="H147" s="3214"/>
      <c r="I147" s="3082"/>
      <c r="J147" s="3083"/>
      <c r="K147" s="3123"/>
      <c r="L147" s="3071">
        <f t="shared" ref="L147:L149" si="9">K147/100000</f>
        <v>0</v>
      </c>
      <c r="M147" s="3230"/>
      <c r="N147" s="3072">
        <f t="shared" ref="N147:N149" si="10">L147*M147</f>
        <v>0</v>
      </c>
      <c r="O147" s="3072"/>
      <c r="P147" s="3084"/>
      <c r="Q147" s="3201"/>
    </row>
    <row r="148" spans="1:17" ht="15.75" hidden="1" x14ac:dyDescent="0.2">
      <c r="A148" s="3067" t="s">
        <v>3229</v>
      </c>
      <c r="B148" s="3067" t="s">
        <v>3050</v>
      </c>
      <c r="C148" s="3067" t="s">
        <v>3051</v>
      </c>
      <c r="D148" s="3067" t="s">
        <v>5352</v>
      </c>
      <c r="E148" s="3230"/>
      <c r="F148" s="3227"/>
      <c r="G148" s="3073"/>
      <c r="H148" s="3233"/>
      <c r="I148" s="3227"/>
      <c r="J148" s="3144"/>
      <c r="K148" s="3123">
        <v>0</v>
      </c>
      <c r="L148" s="3071">
        <f t="shared" si="9"/>
        <v>0</v>
      </c>
      <c r="M148" s="3230"/>
      <c r="N148" s="3072">
        <f t="shared" si="10"/>
        <v>0</v>
      </c>
      <c r="O148" s="3072"/>
      <c r="P148" s="3084"/>
      <c r="Q148" s="3201"/>
    </row>
    <row r="149" spans="1:17" ht="57" x14ac:dyDescent="0.2">
      <c r="A149" s="3067" t="s">
        <v>3230</v>
      </c>
      <c r="B149" s="3067" t="s">
        <v>3052</v>
      </c>
      <c r="C149" s="3067" t="s">
        <v>478</v>
      </c>
      <c r="D149" s="3067" t="s">
        <v>5352</v>
      </c>
      <c r="E149" s="3230"/>
      <c r="F149" s="3082"/>
      <c r="G149" s="3231"/>
      <c r="H149" s="3226"/>
      <c r="I149" s="3082"/>
      <c r="J149" s="3700" t="s">
        <v>5980</v>
      </c>
      <c r="K149" s="3701">
        <f>90000*3</f>
        <v>270000</v>
      </c>
      <c r="L149" s="3702">
        <f t="shared" si="9"/>
        <v>2.7</v>
      </c>
      <c r="M149" s="3703">
        <v>18</v>
      </c>
      <c r="N149" s="3704">
        <f t="shared" si="10"/>
        <v>48.6</v>
      </c>
      <c r="O149" s="3707" t="s">
        <v>5997</v>
      </c>
      <c r="P149" s="3084"/>
      <c r="Q149" s="3201"/>
    </row>
    <row r="150" spans="1:17" ht="15.75" hidden="1" x14ac:dyDescent="0.2">
      <c r="A150" s="3094" t="s">
        <v>3231</v>
      </c>
      <c r="B150" s="3094"/>
      <c r="C150" s="3094" t="s">
        <v>505</v>
      </c>
      <c r="D150" s="3094"/>
      <c r="E150" s="3014"/>
      <c r="F150" s="3176"/>
      <c r="G150" s="3176"/>
      <c r="H150" s="3176"/>
      <c r="I150" s="3176"/>
      <c r="J150" s="3014"/>
      <c r="K150" s="3014"/>
      <c r="L150" s="3094"/>
      <c r="M150" s="3014"/>
      <c r="N150" s="3095">
        <f>N151</f>
        <v>16.32</v>
      </c>
      <c r="O150" s="3095"/>
      <c r="P150" s="3014"/>
      <c r="Q150" s="3208">
        <f>Q151</f>
        <v>0</v>
      </c>
    </row>
    <row r="151" spans="1:17" ht="57" x14ac:dyDescent="0.2">
      <c r="A151" s="3067" t="s">
        <v>3232</v>
      </c>
      <c r="B151" s="3067" t="s">
        <v>3052</v>
      </c>
      <c r="C151" s="3067" t="s">
        <v>3053</v>
      </c>
      <c r="D151" s="3067" t="s">
        <v>5352</v>
      </c>
      <c r="E151" s="3230"/>
      <c r="F151" s="3213"/>
      <c r="G151" s="3231"/>
      <c r="H151" s="3213"/>
      <c r="I151" s="3213"/>
      <c r="J151" s="3700" t="s">
        <v>5737</v>
      </c>
      <c r="K151" s="3709">
        <f>34000*3</f>
        <v>102000</v>
      </c>
      <c r="L151" s="3702">
        <f>K151/100000</f>
        <v>1.02</v>
      </c>
      <c r="M151" s="3703">
        <v>16</v>
      </c>
      <c r="N151" s="3704">
        <f>L151*M151</f>
        <v>16.32</v>
      </c>
      <c r="O151" s="3710" t="s">
        <v>5998</v>
      </c>
      <c r="P151" s="3084"/>
      <c r="Q151" s="3201"/>
    </row>
    <row r="152" spans="1:17" ht="15.75" hidden="1" x14ac:dyDescent="0.2">
      <c r="A152" s="3094" t="s">
        <v>3233</v>
      </c>
      <c r="B152" s="3094"/>
      <c r="C152" s="3094" t="s">
        <v>524</v>
      </c>
      <c r="D152" s="3094"/>
      <c r="E152" s="3014"/>
      <c r="F152" s="3176"/>
      <c r="G152" s="3176"/>
      <c r="H152" s="3176"/>
      <c r="I152" s="3176"/>
      <c r="J152" s="3014"/>
      <c r="K152" s="3014"/>
      <c r="L152" s="3094"/>
      <c r="M152" s="3014"/>
      <c r="N152" s="3095">
        <f>N153+N156+N159</f>
        <v>134.4</v>
      </c>
      <c r="O152" s="3095"/>
      <c r="P152" s="3014"/>
      <c r="Q152" s="3208">
        <f>Q153+Q156+Q159</f>
        <v>0</v>
      </c>
    </row>
    <row r="153" spans="1:17" s="856" customFormat="1" ht="15.75" hidden="1" x14ac:dyDescent="0.2">
      <c r="A153" s="3131" t="s">
        <v>3234</v>
      </c>
      <c r="B153" s="3151" t="s">
        <v>3054</v>
      </c>
      <c r="C153" s="3151" t="s">
        <v>3055</v>
      </c>
      <c r="D153" s="3151"/>
      <c r="E153" s="3152"/>
      <c r="F153" s="3136"/>
      <c r="G153" s="3136"/>
      <c r="H153" s="3136"/>
      <c r="I153" s="3136"/>
      <c r="J153" s="3152"/>
      <c r="K153" s="3152"/>
      <c r="L153" s="3071"/>
      <c r="M153" s="3152"/>
      <c r="N153" s="3134">
        <f>SUM(N154:N155)</f>
        <v>106.8</v>
      </c>
      <c r="O153" s="3134"/>
      <c r="P153" s="3153"/>
      <c r="Q153" s="3222"/>
    </row>
    <row r="154" spans="1:17" ht="57" x14ac:dyDescent="0.2">
      <c r="A154" s="3067" t="s">
        <v>3235</v>
      </c>
      <c r="B154" s="3067" t="s">
        <v>3056</v>
      </c>
      <c r="C154" s="3067" t="s">
        <v>3057</v>
      </c>
      <c r="D154" s="3067" t="s">
        <v>5352</v>
      </c>
      <c r="E154" s="3230"/>
      <c r="F154" s="3082"/>
      <c r="G154" s="3073"/>
      <c r="H154" s="3226"/>
      <c r="I154" s="3082"/>
      <c r="J154" s="3700" t="s">
        <v>5980</v>
      </c>
      <c r="K154" s="3701">
        <f>40000*3</f>
        <v>120000</v>
      </c>
      <c r="L154" s="3702">
        <f t="shared" ref="L154:L160" si="11">K154/100000</f>
        <v>1.2</v>
      </c>
      <c r="M154" s="3703">
        <v>89</v>
      </c>
      <c r="N154" s="3704">
        <f t="shared" ref="N154:N160" si="12">L154*M154</f>
        <v>106.8</v>
      </c>
      <c r="O154" s="3710" t="s">
        <v>5999</v>
      </c>
      <c r="P154" s="3084"/>
      <c r="Q154" s="3201"/>
    </row>
    <row r="155" spans="1:17" ht="15.75" hidden="1" x14ac:dyDescent="0.2">
      <c r="A155" s="3067" t="s">
        <v>3236</v>
      </c>
      <c r="B155" s="3067" t="s">
        <v>3058</v>
      </c>
      <c r="C155" s="3067" t="s">
        <v>3059</v>
      </c>
      <c r="D155" s="3067" t="s">
        <v>5352</v>
      </c>
      <c r="E155" s="3230"/>
      <c r="F155" s="3213"/>
      <c r="G155" s="3073"/>
      <c r="H155" s="3213"/>
      <c r="I155" s="3213"/>
      <c r="J155" s="3709"/>
      <c r="K155" s="3709"/>
      <c r="L155" s="3702">
        <f t="shared" si="11"/>
        <v>0</v>
      </c>
      <c r="M155" s="3703"/>
      <c r="N155" s="3704">
        <f t="shared" si="12"/>
        <v>0</v>
      </c>
      <c r="O155" s="3695"/>
      <c r="P155" s="3084"/>
      <c r="Q155" s="3201"/>
    </row>
    <row r="156" spans="1:17" s="856" customFormat="1" ht="15.75" hidden="1" x14ac:dyDescent="0.2">
      <c r="A156" s="3131" t="s">
        <v>3237</v>
      </c>
      <c r="B156" s="3151" t="s">
        <v>3060</v>
      </c>
      <c r="C156" s="3151" t="s">
        <v>3061</v>
      </c>
      <c r="D156" s="3151"/>
      <c r="E156" s="3152"/>
      <c r="F156" s="3136">
        <f>SUM(F157:F158)</f>
        <v>0</v>
      </c>
      <c r="G156" s="3136">
        <f>SUM(G157:G158)</f>
        <v>0</v>
      </c>
      <c r="H156" s="3136">
        <f>SUM(H157:H158)</f>
        <v>0</v>
      </c>
      <c r="I156" s="3136">
        <f>SUM(I157:I158)</f>
        <v>0</v>
      </c>
      <c r="J156" s="3711"/>
      <c r="K156" s="3711"/>
      <c r="L156" s="3702">
        <f t="shared" si="11"/>
        <v>0</v>
      </c>
      <c r="M156" s="3711"/>
      <c r="N156" s="3712">
        <f>SUM(N157:N158)</f>
        <v>0</v>
      </c>
      <c r="O156" s="3713"/>
      <c r="P156" s="3153"/>
      <c r="Q156" s="3222">
        <f>SUM(Q157:Q158)</f>
        <v>0</v>
      </c>
    </row>
    <row r="157" spans="1:17" ht="15.75" hidden="1" x14ac:dyDescent="0.2">
      <c r="A157" s="3067" t="s">
        <v>3238</v>
      </c>
      <c r="B157" s="3067" t="s">
        <v>3062</v>
      </c>
      <c r="C157" s="3067" t="s">
        <v>3057</v>
      </c>
      <c r="D157" s="3067" t="s">
        <v>5352</v>
      </c>
      <c r="E157" s="3230"/>
      <c r="F157" s="3213"/>
      <c r="G157" s="3073"/>
      <c r="H157" s="3213"/>
      <c r="I157" s="3213"/>
      <c r="J157" s="3700"/>
      <c r="K157" s="3701"/>
      <c r="L157" s="3702">
        <f t="shared" si="11"/>
        <v>0</v>
      </c>
      <c r="M157" s="3703"/>
      <c r="N157" s="3704">
        <f t="shared" si="12"/>
        <v>0</v>
      </c>
      <c r="O157" s="3697"/>
      <c r="P157" s="3084"/>
      <c r="Q157" s="3201"/>
    </row>
    <row r="158" spans="1:17" ht="15.75" hidden="1" x14ac:dyDescent="0.2">
      <c r="A158" s="3067" t="s">
        <v>3239</v>
      </c>
      <c r="B158" s="3067" t="s">
        <v>3063</v>
      </c>
      <c r="C158" s="3067" t="s">
        <v>3059</v>
      </c>
      <c r="D158" s="3067" t="s">
        <v>5352</v>
      </c>
      <c r="E158" s="3230"/>
      <c r="F158" s="3213"/>
      <c r="G158" s="3073"/>
      <c r="H158" s="3213"/>
      <c r="I158" s="3213"/>
      <c r="J158" s="3709"/>
      <c r="K158" s="3709"/>
      <c r="L158" s="3702">
        <f t="shared" si="11"/>
        <v>0</v>
      </c>
      <c r="M158" s="3703"/>
      <c r="N158" s="3704">
        <f t="shared" si="12"/>
        <v>0</v>
      </c>
      <c r="O158" s="3695"/>
      <c r="P158" s="3084"/>
      <c r="Q158" s="3201"/>
    </row>
    <row r="159" spans="1:17" s="856" customFormat="1" ht="15.75" hidden="1" x14ac:dyDescent="0.2">
      <c r="A159" s="3131" t="s">
        <v>3240</v>
      </c>
      <c r="B159" s="3151" t="s">
        <v>3064</v>
      </c>
      <c r="C159" s="3151" t="s">
        <v>3065</v>
      </c>
      <c r="D159" s="3151"/>
      <c r="E159" s="3152"/>
      <c r="F159" s="3136"/>
      <c r="G159" s="3136"/>
      <c r="H159" s="3136"/>
      <c r="I159" s="3136"/>
      <c r="J159" s="3711"/>
      <c r="K159" s="3711"/>
      <c r="L159" s="3702">
        <f t="shared" si="11"/>
        <v>0</v>
      </c>
      <c r="M159" s="3711"/>
      <c r="N159" s="3712">
        <f>SUM(N160:N161)</f>
        <v>27.599999999999998</v>
      </c>
      <c r="O159" s="3713"/>
      <c r="P159" s="3153"/>
      <c r="Q159" s="3222"/>
    </row>
    <row r="160" spans="1:17" ht="57" x14ac:dyDescent="0.2">
      <c r="A160" s="3067" t="s">
        <v>3241</v>
      </c>
      <c r="B160" s="3067" t="s">
        <v>3066</v>
      </c>
      <c r="C160" s="3067" t="s">
        <v>3057</v>
      </c>
      <c r="D160" s="3067" t="s">
        <v>5352</v>
      </c>
      <c r="E160" s="3230"/>
      <c r="F160" s="3213"/>
      <c r="G160" s="3231"/>
      <c r="H160" s="3226"/>
      <c r="I160" s="3082"/>
      <c r="J160" s="3700" t="s">
        <v>5980</v>
      </c>
      <c r="K160" s="3701">
        <f>40000*3</f>
        <v>120000</v>
      </c>
      <c r="L160" s="3702">
        <f t="shared" si="11"/>
        <v>1.2</v>
      </c>
      <c r="M160" s="3703">
        <v>23</v>
      </c>
      <c r="N160" s="3704">
        <f t="shared" si="12"/>
        <v>27.599999999999998</v>
      </c>
      <c r="O160" s="3710" t="s">
        <v>6000</v>
      </c>
      <c r="P160" s="3396"/>
      <c r="Q160" s="3404"/>
    </row>
    <row r="161" spans="1:18" ht="15.75" hidden="1" x14ac:dyDescent="0.2">
      <c r="A161" s="3067" t="s">
        <v>3242</v>
      </c>
      <c r="B161" s="3067" t="s">
        <v>3066</v>
      </c>
      <c r="C161" s="3067" t="s">
        <v>3059</v>
      </c>
      <c r="D161" s="3067" t="s">
        <v>5352</v>
      </c>
      <c r="E161" s="3081"/>
      <c r="F161" s="3213"/>
      <c r="G161" s="3073"/>
      <c r="H161" s="3213"/>
      <c r="I161" s="3213"/>
      <c r="J161" s="3213"/>
      <c r="K161" s="3213"/>
      <c r="L161" s="3071">
        <f t="shared" ref="L161" si="13">K161/100000</f>
        <v>0</v>
      </c>
      <c r="M161" s="3081"/>
      <c r="N161" s="3072">
        <f t="shared" ref="N161" si="14">L161*M161</f>
        <v>0</v>
      </c>
      <c r="O161" s="3072"/>
      <c r="P161" s="3084"/>
      <c r="Q161" s="3201"/>
    </row>
    <row r="162" spans="1:18" ht="15.75" hidden="1" x14ac:dyDescent="0.2">
      <c r="A162" s="3094" t="s">
        <v>3243</v>
      </c>
      <c r="B162" s="3094"/>
      <c r="C162" s="3094" t="s">
        <v>673</v>
      </c>
      <c r="D162" s="3094"/>
      <c r="E162" s="3014"/>
      <c r="F162" s="3014"/>
      <c r="G162" s="3095"/>
      <c r="H162" s="3095"/>
      <c r="I162" s="3095"/>
      <c r="J162" s="3014"/>
      <c r="K162" s="3014"/>
      <c r="L162" s="3094"/>
      <c r="M162" s="3014"/>
      <c r="N162" s="3095">
        <f>N163</f>
        <v>8.4</v>
      </c>
      <c r="O162" s="3095"/>
      <c r="P162" s="3014"/>
      <c r="Q162" s="3208">
        <f>Q163</f>
        <v>0</v>
      </c>
    </row>
    <row r="163" spans="1:18" s="856" customFormat="1" ht="15.75" hidden="1" x14ac:dyDescent="0.2">
      <c r="A163" s="3131" t="s">
        <v>3244</v>
      </c>
      <c r="B163" s="3151" t="s">
        <v>3067</v>
      </c>
      <c r="C163" s="3151" t="s">
        <v>3068</v>
      </c>
      <c r="D163" s="3151"/>
      <c r="E163" s="3152"/>
      <c r="F163" s="3152"/>
      <c r="G163" s="3134"/>
      <c r="H163" s="3134"/>
      <c r="I163" s="3134"/>
      <c r="J163" s="3152"/>
      <c r="K163" s="3196"/>
      <c r="L163" s="3071"/>
      <c r="M163" s="3152"/>
      <c r="N163" s="3134">
        <f>SUM(N164:N165)</f>
        <v>8.4</v>
      </c>
      <c r="O163" s="3134"/>
      <c r="P163" s="3153"/>
      <c r="Q163" s="3222"/>
      <c r="R163" s="3456"/>
    </row>
    <row r="164" spans="1:18" ht="15.75" hidden="1" x14ac:dyDescent="0.2">
      <c r="A164" s="3067" t="s">
        <v>3245</v>
      </c>
      <c r="B164" s="3067" t="s">
        <v>3069</v>
      </c>
      <c r="C164" s="3067" t="s">
        <v>2992</v>
      </c>
      <c r="D164" s="3067" t="s">
        <v>5352</v>
      </c>
      <c r="E164" s="3084"/>
      <c r="F164" s="3084"/>
      <c r="G164" s="3084"/>
      <c r="H164" s="3084"/>
      <c r="I164" s="3084"/>
      <c r="J164" s="3084"/>
      <c r="K164" s="3196"/>
      <c r="L164" s="3071">
        <f>K164/100000</f>
        <v>0</v>
      </c>
      <c r="M164" s="3070"/>
      <c r="N164" s="3072">
        <f>L164*M164</f>
        <v>0</v>
      </c>
      <c r="O164" s="3072"/>
      <c r="P164" s="3084"/>
      <c r="Q164" s="3201"/>
    </row>
    <row r="165" spans="1:18" ht="71.25" x14ac:dyDescent="0.2">
      <c r="A165" s="3067" t="s">
        <v>3246</v>
      </c>
      <c r="B165" s="3067" t="s">
        <v>3037</v>
      </c>
      <c r="C165" s="3067" t="s">
        <v>2994</v>
      </c>
      <c r="D165" s="3067" t="s">
        <v>5352</v>
      </c>
      <c r="E165" s="3230"/>
      <c r="F165" s="3082"/>
      <c r="G165" s="3073"/>
      <c r="H165" s="3226"/>
      <c r="I165" s="3082"/>
      <c r="J165" s="3700" t="s">
        <v>5980</v>
      </c>
      <c r="K165" s="3701">
        <f>35000*3</f>
        <v>105000</v>
      </c>
      <c r="L165" s="3702">
        <f>K165/100000</f>
        <v>1.05</v>
      </c>
      <c r="M165" s="3703">
        <v>8</v>
      </c>
      <c r="N165" s="3704">
        <f>L165*M165</f>
        <v>8.4</v>
      </c>
      <c r="O165" s="3710" t="s">
        <v>6001</v>
      </c>
      <c r="P165" s="3084"/>
      <c r="Q165" s="3201"/>
      <c r="R165" s="3313">
        <f>Q165</f>
        <v>0</v>
      </c>
    </row>
    <row r="166" spans="1:18" ht="15.75" hidden="1" x14ac:dyDescent="0.2">
      <c r="A166" s="3094" t="s">
        <v>3247</v>
      </c>
      <c r="B166" s="3094"/>
      <c r="C166" s="3094" t="s">
        <v>2436</v>
      </c>
      <c r="D166" s="3094"/>
      <c r="E166" s="3014"/>
      <c r="F166" s="3176"/>
      <c r="G166" s="3176"/>
      <c r="H166" s="3176"/>
      <c r="I166" s="3176"/>
      <c r="J166" s="3014"/>
      <c r="K166" s="3014"/>
      <c r="L166" s="3094"/>
      <c r="M166" s="3014"/>
      <c r="N166" s="3095">
        <f>SUM(N167:N168)</f>
        <v>97.288619999999995</v>
      </c>
      <c r="O166" s="3095"/>
      <c r="P166" s="3014"/>
      <c r="Q166" s="3208">
        <f>SUM(Q167:Q168)</f>
        <v>0</v>
      </c>
    </row>
    <row r="167" spans="1:18" ht="42.75" x14ac:dyDescent="0.2">
      <c r="A167" s="3067" t="s">
        <v>3248</v>
      </c>
      <c r="B167" s="3067" t="s">
        <v>3070</v>
      </c>
      <c r="C167" s="3067" t="s">
        <v>3071</v>
      </c>
      <c r="D167" s="3067" t="s">
        <v>5352</v>
      </c>
      <c r="E167" s="3234"/>
      <c r="F167" s="3082"/>
      <c r="G167" s="3073"/>
      <c r="H167" s="3226"/>
      <c r="I167" s="3082"/>
      <c r="J167" s="3700" t="s">
        <v>5980</v>
      </c>
      <c r="K167" s="3701">
        <f>10166*3</f>
        <v>30498</v>
      </c>
      <c r="L167" s="3702">
        <f>K167/100000</f>
        <v>0.30497999999999997</v>
      </c>
      <c r="M167" s="3714">
        <v>319</v>
      </c>
      <c r="N167" s="3704">
        <f>L167*M167</f>
        <v>97.288619999999995</v>
      </c>
      <c r="O167" s="3710" t="s">
        <v>6002</v>
      </c>
      <c r="P167" s="3084"/>
      <c r="Q167" s="3201"/>
    </row>
    <row r="168" spans="1:18" ht="15.75" hidden="1" x14ac:dyDescent="0.2">
      <c r="A168" s="3067" t="s">
        <v>3249</v>
      </c>
      <c r="B168" s="3067" t="s">
        <v>3072</v>
      </c>
      <c r="C168" s="3067" t="s">
        <v>3073</v>
      </c>
      <c r="D168" s="3067" t="s">
        <v>5352</v>
      </c>
      <c r="E168" s="3230"/>
      <c r="F168" s="3082"/>
      <c r="G168" s="3080"/>
      <c r="H168" s="3226"/>
      <c r="I168" s="3082"/>
      <c r="J168" s="3083"/>
      <c r="K168" s="3123"/>
      <c r="L168" s="3071"/>
      <c r="M168" s="3230"/>
      <c r="N168" s="3072">
        <f>L168*M168</f>
        <v>0</v>
      </c>
      <c r="O168" s="3072"/>
      <c r="P168" s="3084"/>
      <c r="Q168" s="3201"/>
      <c r="R168" s="3313">
        <v>182.16</v>
      </c>
    </row>
    <row r="169" spans="1:18" ht="15.75" hidden="1" x14ac:dyDescent="0.2">
      <c r="A169" s="3065" t="s">
        <v>3250</v>
      </c>
      <c r="B169" s="3065"/>
      <c r="C169" s="3065" t="s">
        <v>716</v>
      </c>
      <c r="D169" s="3110" t="s">
        <v>5352</v>
      </c>
      <c r="E169" s="3111"/>
      <c r="F169" s="3015"/>
      <c r="G169" s="3235"/>
      <c r="H169" s="3111"/>
      <c r="I169" s="3111"/>
      <c r="J169" s="3015"/>
      <c r="K169" s="3015"/>
      <c r="L169" s="3066"/>
      <c r="M169" s="3111"/>
      <c r="N169" s="3066">
        <f>L169*M169</f>
        <v>0</v>
      </c>
      <c r="O169" s="3066"/>
      <c r="P169" s="3015"/>
      <c r="Q169" s="3210"/>
    </row>
    <row r="170" spans="1:18" ht="31.5" hidden="1" x14ac:dyDescent="0.2">
      <c r="A170" s="3065" t="s">
        <v>3251</v>
      </c>
      <c r="B170" s="3065"/>
      <c r="C170" s="3065" t="s">
        <v>718</v>
      </c>
      <c r="D170" s="3110" t="s">
        <v>5352</v>
      </c>
      <c r="E170" s="3111"/>
      <c r="F170" s="3015"/>
      <c r="G170" s="3111"/>
      <c r="H170" s="3111"/>
      <c r="I170" s="3111"/>
      <c r="J170" s="3015"/>
      <c r="K170" s="3015"/>
      <c r="L170" s="3066"/>
      <c r="M170" s="3111"/>
      <c r="N170" s="3066">
        <f>L170*M170</f>
        <v>0</v>
      </c>
      <c r="O170" s="3066"/>
      <c r="P170" s="3015"/>
      <c r="Q170" s="3210"/>
    </row>
    <row r="171" spans="1:18" ht="15.75" hidden="1" x14ac:dyDescent="0.2">
      <c r="A171" s="3065" t="s">
        <v>3252</v>
      </c>
      <c r="B171" s="3065"/>
      <c r="C171" s="3065" t="s">
        <v>3074</v>
      </c>
      <c r="D171" s="3065"/>
      <c r="E171" s="3015"/>
      <c r="F171" s="3015"/>
      <c r="G171" s="3066"/>
      <c r="H171" s="3066"/>
      <c r="I171" s="3066"/>
      <c r="J171" s="3015"/>
      <c r="K171" s="3111"/>
      <c r="L171" s="3066"/>
      <c r="M171" s="3111"/>
      <c r="N171" s="3066">
        <f>SUM(N172:N173)</f>
        <v>0</v>
      </c>
      <c r="O171" s="3066"/>
      <c r="P171" s="3015"/>
      <c r="Q171" s="3210">
        <f>SUM(Q172:Q173)</f>
        <v>0</v>
      </c>
    </row>
    <row r="172" spans="1:18" ht="47.25" hidden="1" x14ac:dyDescent="0.2">
      <c r="A172" s="3067" t="s">
        <v>3253</v>
      </c>
      <c r="B172" s="3085"/>
      <c r="C172" s="3068" t="s">
        <v>5325</v>
      </c>
      <c r="D172" s="3068" t="s">
        <v>5349</v>
      </c>
      <c r="E172" s="3086"/>
      <c r="F172" s="3086"/>
      <c r="G172" s="3086"/>
      <c r="H172" s="3086"/>
      <c r="I172" s="3086"/>
      <c r="J172" s="3086"/>
      <c r="K172" s="3196"/>
      <c r="L172" s="3071">
        <f>K172/100000</f>
        <v>0</v>
      </c>
      <c r="M172" s="3070"/>
      <c r="N172" s="3072">
        <f>L172*M172</f>
        <v>0</v>
      </c>
      <c r="O172" s="3072"/>
      <c r="P172" s="3084"/>
      <c r="Q172" s="3201"/>
    </row>
    <row r="173" spans="1:18" ht="15.75" hidden="1" x14ac:dyDescent="0.2">
      <c r="A173" s="3067" t="s">
        <v>3937</v>
      </c>
      <c r="B173" s="3085"/>
      <c r="C173" s="3068" t="s">
        <v>606</v>
      </c>
      <c r="D173" s="3068" t="s">
        <v>3303</v>
      </c>
      <c r="E173" s="3086"/>
      <c r="F173" s="3086"/>
      <c r="G173" s="3086"/>
      <c r="H173" s="3086"/>
      <c r="I173" s="3086"/>
      <c r="J173" s="3086"/>
      <c r="K173" s="3086"/>
      <c r="L173" s="3071"/>
      <c r="M173" s="3070"/>
      <c r="N173" s="3072">
        <f>L173*M173</f>
        <v>0</v>
      </c>
      <c r="O173" s="3072"/>
      <c r="P173" s="3084"/>
      <c r="Q173" s="3201"/>
    </row>
    <row r="174" spans="1:18" ht="15.75" hidden="1" x14ac:dyDescent="0.2">
      <c r="A174" s="3063" t="s">
        <v>3254</v>
      </c>
      <c r="B174" s="3063"/>
      <c r="C174" s="3063" t="s">
        <v>52</v>
      </c>
      <c r="D174" s="3063"/>
      <c r="E174" s="3087"/>
      <c r="F174" s="3087"/>
      <c r="G174" s="3064"/>
      <c r="H174" s="3064"/>
      <c r="I174" s="3064"/>
      <c r="J174" s="3087"/>
      <c r="K174" s="3087"/>
      <c r="L174" s="3063"/>
      <c r="M174" s="3087"/>
      <c r="N174" s="3064">
        <f>N175+N178</f>
        <v>0</v>
      </c>
      <c r="O174" s="3064"/>
      <c r="P174" s="3087"/>
      <c r="Q174" s="3211">
        <f>Q175+Q178</f>
        <v>0</v>
      </c>
    </row>
    <row r="175" spans="1:18" ht="31.5" hidden="1" x14ac:dyDescent="0.2">
      <c r="A175" s="3065" t="s">
        <v>3255</v>
      </c>
      <c r="B175" s="3065"/>
      <c r="C175" s="3065" t="s">
        <v>22</v>
      </c>
      <c r="D175" s="3065"/>
      <c r="E175" s="3015"/>
      <c r="F175" s="3015"/>
      <c r="G175" s="3066">
        <f>SUM(G176:G177)</f>
        <v>0</v>
      </c>
      <c r="H175" s="3066">
        <f>SUM(H176:H177)</f>
        <v>0</v>
      </c>
      <c r="I175" s="3066">
        <f>SUM(I176:I177)</f>
        <v>0</v>
      </c>
      <c r="J175" s="3015"/>
      <c r="K175" s="3015"/>
      <c r="L175" s="3065"/>
      <c r="M175" s="3015"/>
      <c r="N175" s="3066">
        <f>SUM(N176:N177)</f>
        <v>0</v>
      </c>
      <c r="O175" s="3066"/>
      <c r="P175" s="3015"/>
      <c r="Q175" s="3210">
        <f>SUM(Q176:Q177)</f>
        <v>0</v>
      </c>
    </row>
    <row r="176" spans="1:18" ht="15.75" hidden="1" x14ac:dyDescent="0.2">
      <c r="A176" s="3067" t="s">
        <v>3256</v>
      </c>
      <c r="B176" s="3085" t="s">
        <v>3075</v>
      </c>
      <c r="C176" s="3155" t="s">
        <v>3076</v>
      </c>
      <c r="D176" s="3155" t="s">
        <v>5348</v>
      </c>
      <c r="E176" s="3086"/>
      <c r="F176" s="3086"/>
      <c r="G176" s="3086"/>
      <c r="H176" s="3086"/>
      <c r="I176" s="3086"/>
      <c r="J176" s="3086"/>
      <c r="K176" s="3196"/>
      <c r="L176" s="3071">
        <f>K176/100000</f>
        <v>0</v>
      </c>
      <c r="M176" s="3070"/>
      <c r="N176" s="3072">
        <f>L176*M176</f>
        <v>0</v>
      </c>
      <c r="O176" s="3072"/>
      <c r="P176" s="3084"/>
      <c r="Q176" s="3201"/>
    </row>
    <row r="177" spans="1:17" ht="15.75" hidden="1" x14ac:dyDescent="0.2">
      <c r="A177" s="3067" t="s">
        <v>3257</v>
      </c>
      <c r="B177" s="3085"/>
      <c r="C177" s="3155" t="s">
        <v>2977</v>
      </c>
      <c r="D177" s="3155" t="s">
        <v>5348</v>
      </c>
      <c r="E177" s="3086"/>
      <c r="F177" s="3086"/>
      <c r="G177" s="3086"/>
      <c r="H177" s="3086"/>
      <c r="I177" s="3086"/>
      <c r="J177" s="3086"/>
      <c r="K177" s="3196"/>
      <c r="L177" s="3071">
        <f>K177/100000</f>
        <v>0</v>
      </c>
      <c r="M177" s="3070"/>
      <c r="N177" s="3072">
        <f>L177*M177</f>
        <v>0</v>
      </c>
      <c r="O177" s="3072"/>
      <c r="P177" s="3084"/>
      <c r="Q177" s="3201"/>
    </row>
    <row r="178" spans="1:17" ht="15.75" hidden="1" x14ac:dyDescent="0.2">
      <c r="A178" s="3065" t="s">
        <v>3258</v>
      </c>
      <c r="B178" s="3065" t="s">
        <v>3259</v>
      </c>
      <c r="C178" s="3065" t="s">
        <v>5317</v>
      </c>
      <c r="D178" s="3065"/>
      <c r="E178" s="3015"/>
      <c r="F178" s="3015"/>
      <c r="G178" s="3066"/>
      <c r="H178" s="3066"/>
      <c r="I178" s="3066"/>
      <c r="J178" s="3015"/>
      <c r="K178" s="3015"/>
      <c r="L178" s="3065"/>
      <c r="M178" s="3015"/>
      <c r="N178" s="3066">
        <f>SUM(N179:N185)+SUM(N189:N194)</f>
        <v>0</v>
      </c>
      <c r="O178" s="3066"/>
      <c r="P178" s="3015"/>
      <c r="Q178" s="3210">
        <f>SUM(Q179:Q185)+SUM(Q189:Q194)</f>
        <v>0</v>
      </c>
    </row>
    <row r="179" spans="1:17" ht="31.5" hidden="1" x14ac:dyDescent="0.2">
      <c r="A179" s="3067" t="s">
        <v>5329</v>
      </c>
      <c r="B179" s="3067" t="s">
        <v>5318</v>
      </c>
      <c r="C179" s="3067" t="s">
        <v>3077</v>
      </c>
      <c r="D179" s="3155" t="s">
        <v>5348</v>
      </c>
      <c r="E179" s="3084"/>
      <c r="F179" s="3084"/>
      <c r="G179" s="3084"/>
      <c r="H179" s="3084"/>
      <c r="I179" s="3084"/>
      <c r="J179" s="3084"/>
      <c r="K179" s="3213"/>
      <c r="L179" s="3071"/>
      <c r="M179" s="3081"/>
      <c r="N179" s="3072">
        <f t="shared" ref="N179:N189" si="15">L179*M179</f>
        <v>0</v>
      </c>
      <c r="O179" s="3072"/>
      <c r="P179" s="3084"/>
      <c r="Q179" s="3201"/>
    </row>
    <row r="180" spans="1:17" ht="15.75" hidden="1" x14ac:dyDescent="0.2">
      <c r="A180" s="3067" t="s">
        <v>5330</v>
      </c>
      <c r="B180" s="3067" t="s">
        <v>5319</v>
      </c>
      <c r="C180" s="3067" t="s">
        <v>3078</v>
      </c>
      <c r="D180" s="3155" t="s">
        <v>5348</v>
      </c>
      <c r="E180" s="3084"/>
      <c r="F180" s="3084"/>
      <c r="G180" s="3084"/>
      <c r="H180" s="3084"/>
      <c r="I180" s="3084"/>
      <c r="J180" s="3084"/>
      <c r="K180" s="3213"/>
      <c r="L180" s="3071"/>
      <c r="M180" s="3081"/>
      <c r="N180" s="3072">
        <f t="shared" si="15"/>
        <v>0</v>
      </c>
      <c r="O180" s="3072"/>
      <c r="P180" s="3084"/>
      <c r="Q180" s="3201"/>
    </row>
    <row r="181" spans="1:17" ht="15.75" hidden="1" x14ac:dyDescent="0.2">
      <c r="A181" s="3067" t="s">
        <v>5331</v>
      </c>
      <c r="B181" s="3067" t="s">
        <v>5320</v>
      </c>
      <c r="C181" s="3067" t="s">
        <v>3079</v>
      </c>
      <c r="D181" s="3155" t="s">
        <v>5348</v>
      </c>
      <c r="E181" s="3084"/>
      <c r="F181" s="3084"/>
      <c r="G181" s="3084"/>
      <c r="H181" s="3084"/>
      <c r="I181" s="3084"/>
      <c r="J181" s="3084"/>
      <c r="K181" s="3196"/>
      <c r="L181" s="3071">
        <f t="shared" ref="L181:L194" si="16">K181/100000</f>
        <v>0</v>
      </c>
      <c r="M181" s="3070"/>
      <c r="N181" s="3072">
        <f t="shared" si="15"/>
        <v>0</v>
      </c>
      <c r="O181" s="3072"/>
      <c r="P181" s="3084"/>
      <c r="Q181" s="3201"/>
    </row>
    <row r="182" spans="1:17" ht="15.75" hidden="1" x14ac:dyDescent="0.2">
      <c r="A182" s="3067" t="s">
        <v>5332</v>
      </c>
      <c r="B182" s="3067" t="s">
        <v>5321</v>
      </c>
      <c r="C182" s="3067" t="s">
        <v>3080</v>
      </c>
      <c r="D182" s="3155" t="s">
        <v>5348</v>
      </c>
      <c r="E182" s="3084"/>
      <c r="F182" s="3084"/>
      <c r="G182" s="3084"/>
      <c r="H182" s="3084"/>
      <c r="I182" s="3084"/>
      <c r="J182" s="3084"/>
      <c r="K182" s="3196"/>
      <c r="L182" s="3071">
        <f t="shared" si="16"/>
        <v>0</v>
      </c>
      <c r="M182" s="3070"/>
      <c r="N182" s="3072">
        <f t="shared" si="15"/>
        <v>0</v>
      </c>
      <c r="O182" s="3072"/>
      <c r="P182" s="3084"/>
      <c r="Q182" s="3201"/>
    </row>
    <row r="183" spans="1:17" ht="31.5" hidden="1" x14ac:dyDescent="0.2">
      <c r="A183" s="3067" t="s">
        <v>5333</v>
      </c>
      <c r="B183" s="3067" t="s">
        <v>5322</v>
      </c>
      <c r="C183" s="3067" t="s">
        <v>5324</v>
      </c>
      <c r="D183" s="3155" t="s">
        <v>5348</v>
      </c>
      <c r="E183" s="3084"/>
      <c r="F183" s="3084"/>
      <c r="G183" s="3084"/>
      <c r="H183" s="3084"/>
      <c r="I183" s="3084"/>
      <c r="J183" s="3084"/>
      <c r="K183" s="3196"/>
      <c r="L183" s="3071">
        <f t="shared" si="16"/>
        <v>0</v>
      </c>
      <c r="M183" s="3070"/>
      <c r="N183" s="3072">
        <f t="shared" si="15"/>
        <v>0</v>
      </c>
      <c r="O183" s="3072"/>
      <c r="P183" s="3084"/>
      <c r="Q183" s="3201"/>
    </row>
    <row r="184" spans="1:17" ht="15.75" hidden="1" x14ac:dyDescent="0.2">
      <c r="A184" s="3067" t="s">
        <v>5334</v>
      </c>
      <c r="B184" s="3067" t="s">
        <v>5323</v>
      </c>
      <c r="C184" s="3067" t="s">
        <v>3082</v>
      </c>
      <c r="D184" s="3155" t="s">
        <v>5353</v>
      </c>
      <c r="E184" s="3084"/>
      <c r="F184" s="3084"/>
      <c r="G184" s="3084"/>
      <c r="H184" s="3084"/>
      <c r="I184" s="3084"/>
      <c r="J184" s="3084"/>
      <c r="K184" s="3196"/>
      <c r="L184" s="3071">
        <f t="shared" si="16"/>
        <v>0</v>
      </c>
      <c r="M184" s="3070"/>
      <c r="N184" s="3072">
        <f t="shared" si="15"/>
        <v>0</v>
      </c>
      <c r="O184" s="3072"/>
      <c r="P184" s="3084"/>
      <c r="Q184" s="3201"/>
    </row>
    <row r="185" spans="1:17" ht="31.5" hidden="1" x14ac:dyDescent="0.2">
      <c r="A185" s="3067" t="s">
        <v>5335</v>
      </c>
      <c r="B185" s="3067" t="s">
        <v>3260</v>
      </c>
      <c r="C185" s="3067" t="s">
        <v>3928</v>
      </c>
      <c r="D185" s="3067"/>
      <c r="E185" s="3084"/>
      <c r="F185" s="3084"/>
      <c r="G185" s="3136"/>
      <c r="H185" s="3084"/>
      <c r="I185" s="3084"/>
      <c r="J185" s="3084"/>
      <c r="K185" s="3196"/>
      <c r="L185" s="3071"/>
      <c r="M185" s="3081"/>
      <c r="N185" s="3134">
        <f>SUM(N186:N188)</f>
        <v>0</v>
      </c>
      <c r="O185" s="3134"/>
      <c r="P185" s="3084"/>
      <c r="Q185" s="3222">
        <f>SUM(Q186:Q188)</f>
        <v>0</v>
      </c>
    </row>
    <row r="186" spans="1:17" ht="15.75" hidden="1" x14ac:dyDescent="0.2">
      <c r="A186" s="3067" t="s">
        <v>5336</v>
      </c>
      <c r="B186" s="3067" t="s">
        <v>4597</v>
      </c>
      <c r="C186" s="3067" t="s">
        <v>3927</v>
      </c>
      <c r="D186" s="3067" t="s">
        <v>5349</v>
      </c>
      <c r="E186" s="3081"/>
      <c r="F186" s="3213"/>
      <c r="G186" s="3073"/>
      <c r="H186" s="3213"/>
      <c r="I186" s="3213"/>
      <c r="J186" s="3213"/>
      <c r="K186" s="3213"/>
      <c r="L186" s="3071"/>
      <c r="M186" s="3070"/>
      <c r="N186" s="3072">
        <f>L186*M186</f>
        <v>0</v>
      </c>
      <c r="O186" s="3072"/>
      <c r="P186" s="3084"/>
      <c r="Q186" s="3201"/>
    </row>
    <row r="187" spans="1:17" ht="15.75" hidden="1" x14ac:dyDescent="0.2">
      <c r="A187" s="3067" t="s">
        <v>5337</v>
      </c>
      <c r="B187" s="3067" t="s">
        <v>4598</v>
      </c>
      <c r="C187" s="3067" t="s">
        <v>4407</v>
      </c>
      <c r="D187" s="3067" t="s">
        <v>5349</v>
      </c>
      <c r="E187" s="3084"/>
      <c r="F187" s="3084"/>
      <c r="G187" s="3084"/>
      <c r="H187" s="3084"/>
      <c r="I187" s="3084"/>
      <c r="J187" s="3084"/>
      <c r="K187" s="3196"/>
      <c r="L187" s="3071">
        <f t="shared" si="16"/>
        <v>0</v>
      </c>
      <c r="M187" s="3070"/>
      <c r="N187" s="3072">
        <f>L187*M187</f>
        <v>0</v>
      </c>
      <c r="O187" s="3072"/>
      <c r="P187" s="3084"/>
      <c r="Q187" s="3201"/>
    </row>
    <row r="188" spans="1:17" ht="15.75" hidden="1" x14ac:dyDescent="0.2">
      <c r="A188" s="3067" t="s">
        <v>5338</v>
      </c>
      <c r="B188" s="3067" t="s">
        <v>4599</v>
      </c>
      <c r="C188" s="3067" t="s">
        <v>5326</v>
      </c>
      <c r="D188" s="3067" t="s">
        <v>5349</v>
      </c>
      <c r="E188" s="3084"/>
      <c r="F188" s="3084"/>
      <c r="G188" s="3084"/>
      <c r="H188" s="3084"/>
      <c r="I188" s="3084"/>
      <c r="J188" s="3084"/>
      <c r="K188" s="3196"/>
      <c r="L188" s="3071">
        <f t="shared" si="16"/>
        <v>0</v>
      </c>
      <c r="M188" s="3070"/>
      <c r="N188" s="3072">
        <f>L188*M188</f>
        <v>0</v>
      </c>
      <c r="O188" s="3072"/>
      <c r="P188" s="3084"/>
      <c r="Q188" s="3201"/>
    </row>
    <row r="189" spans="1:17" ht="15.75" hidden="1" x14ac:dyDescent="0.2">
      <c r="A189" s="3067" t="s">
        <v>5339</v>
      </c>
      <c r="B189" s="3067" t="s">
        <v>5328</v>
      </c>
      <c r="C189" s="3067" t="s">
        <v>5327</v>
      </c>
      <c r="D189" s="3067" t="s">
        <v>5349</v>
      </c>
      <c r="E189" s="3084"/>
      <c r="F189" s="3084"/>
      <c r="G189" s="3084"/>
      <c r="H189" s="3084"/>
      <c r="I189" s="3084"/>
      <c r="J189" s="3084"/>
      <c r="K189" s="3196"/>
      <c r="L189" s="3071">
        <f t="shared" si="16"/>
        <v>0</v>
      </c>
      <c r="M189" s="3070"/>
      <c r="N189" s="3072">
        <f t="shared" si="15"/>
        <v>0</v>
      </c>
      <c r="O189" s="3072"/>
      <c r="P189" s="3084"/>
      <c r="Q189" s="3201"/>
    </row>
    <row r="190" spans="1:17" ht="15.75" hidden="1" x14ac:dyDescent="0.2">
      <c r="A190" s="3067" t="s">
        <v>5340</v>
      </c>
      <c r="B190" s="3067" t="s">
        <v>4600</v>
      </c>
      <c r="C190" s="3091" t="s">
        <v>3081</v>
      </c>
      <c r="D190" s="3091" t="s">
        <v>4730</v>
      </c>
      <c r="E190" s="3081"/>
      <c r="F190" s="3084"/>
      <c r="G190" s="3136"/>
      <c r="H190" s="3084"/>
      <c r="I190" s="3084"/>
      <c r="J190" s="3084"/>
      <c r="K190" s="3084"/>
      <c r="L190" s="3071"/>
      <c r="M190" s="3081"/>
      <c r="N190" s="3072">
        <f>L190*M190</f>
        <v>0</v>
      </c>
      <c r="O190" s="3072"/>
      <c r="P190" s="3084"/>
      <c r="Q190" s="3201"/>
    </row>
    <row r="191" spans="1:17" ht="15.75" hidden="1" x14ac:dyDescent="0.2">
      <c r="A191" s="3067" t="s">
        <v>5341</v>
      </c>
      <c r="B191" s="3067" t="s">
        <v>4601</v>
      </c>
      <c r="C191" s="3067" t="s">
        <v>4053</v>
      </c>
      <c r="D191" s="3091" t="s">
        <v>4730</v>
      </c>
      <c r="E191" s="3081"/>
      <c r="F191" s="3084"/>
      <c r="G191" s="3136"/>
      <c r="H191" s="3084"/>
      <c r="I191" s="3084"/>
      <c r="J191" s="3084"/>
      <c r="K191" s="3084"/>
      <c r="L191" s="3071"/>
      <c r="M191" s="3081"/>
      <c r="N191" s="3072">
        <f>L191*M191</f>
        <v>0</v>
      </c>
      <c r="O191" s="3072"/>
      <c r="P191" s="3084"/>
      <c r="Q191" s="3201"/>
    </row>
    <row r="192" spans="1:17" ht="15.75" hidden="1" x14ac:dyDescent="0.2">
      <c r="A192" s="3067" t="s">
        <v>5342</v>
      </c>
      <c r="B192" s="3067" t="s">
        <v>4602</v>
      </c>
      <c r="C192" s="3067" t="s">
        <v>4054</v>
      </c>
      <c r="D192" s="3091" t="s">
        <v>4730</v>
      </c>
      <c r="E192" s="3081">
        <v>15</v>
      </c>
      <c r="F192" s="3084"/>
      <c r="G192" s="3136">
        <v>4.42</v>
      </c>
      <c r="H192" s="3084"/>
      <c r="I192" s="3084"/>
      <c r="J192" s="3084" t="s">
        <v>5738</v>
      </c>
      <c r="K192" s="3084">
        <v>35000</v>
      </c>
      <c r="L192" s="3071">
        <f t="shared" si="16"/>
        <v>0.35</v>
      </c>
      <c r="M192" s="3081">
        <v>0</v>
      </c>
      <c r="N192" s="3072">
        <f>L192*M192</f>
        <v>0</v>
      </c>
      <c r="O192" s="3072"/>
      <c r="P192" s="3084"/>
      <c r="Q192" s="3201"/>
    </row>
    <row r="193" spans="1:17" ht="15.75" hidden="1" x14ac:dyDescent="0.2">
      <c r="A193" s="3067" t="s">
        <v>5343</v>
      </c>
      <c r="B193" s="3067" t="s">
        <v>4604</v>
      </c>
      <c r="C193" s="3067" t="s">
        <v>4055</v>
      </c>
      <c r="D193" s="3091" t="s">
        <v>4730</v>
      </c>
      <c r="E193" s="3084"/>
      <c r="F193" s="3084"/>
      <c r="G193" s="3084"/>
      <c r="H193" s="3084"/>
      <c r="I193" s="3084"/>
      <c r="J193" s="3084"/>
      <c r="K193" s="3196"/>
      <c r="L193" s="3071">
        <f t="shared" si="16"/>
        <v>0</v>
      </c>
      <c r="M193" s="3070"/>
      <c r="N193" s="3072">
        <f>L193*M193</f>
        <v>0</v>
      </c>
      <c r="O193" s="3072"/>
      <c r="P193" s="3084"/>
      <c r="Q193" s="3201"/>
    </row>
    <row r="194" spans="1:17" ht="15.75" hidden="1" x14ac:dyDescent="0.2">
      <c r="A194" s="3067" t="s">
        <v>5344</v>
      </c>
      <c r="B194" s="3067" t="s">
        <v>4603</v>
      </c>
      <c r="C194" s="3067" t="s">
        <v>4052</v>
      </c>
      <c r="D194" s="3091" t="s">
        <v>3303</v>
      </c>
      <c r="E194" s="3084"/>
      <c r="F194" s="3084"/>
      <c r="G194" s="3084"/>
      <c r="H194" s="3084"/>
      <c r="I194" s="3084"/>
      <c r="J194" s="3084"/>
      <c r="K194" s="3196"/>
      <c r="L194" s="3071">
        <f t="shared" si="16"/>
        <v>0</v>
      </c>
      <c r="M194" s="3070"/>
      <c r="N194" s="3072">
        <f>L194*M194</f>
        <v>0</v>
      </c>
      <c r="O194" s="3072"/>
      <c r="P194" s="3084"/>
      <c r="Q194" s="3201"/>
    </row>
    <row r="195" spans="1:17" ht="15.75" hidden="1" x14ac:dyDescent="0.2">
      <c r="A195" s="3063" t="s">
        <v>3261</v>
      </c>
      <c r="B195" s="3063"/>
      <c r="C195" s="3063" t="s">
        <v>23</v>
      </c>
      <c r="D195" s="3063"/>
      <c r="E195" s="3087"/>
      <c r="F195" s="3087"/>
      <c r="G195" s="3064"/>
      <c r="H195" s="3064"/>
      <c r="I195" s="3064"/>
      <c r="J195" s="3087"/>
      <c r="K195" s="3087"/>
      <c r="L195" s="3063"/>
      <c r="M195" s="3087"/>
      <c r="N195" s="3064">
        <f>N196+N199</f>
        <v>0</v>
      </c>
      <c r="O195" s="3064"/>
      <c r="P195" s="3087"/>
      <c r="Q195" s="3211">
        <f>Q196+Q199</f>
        <v>0</v>
      </c>
    </row>
    <row r="196" spans="1:17" ht="15.75" hidden="1" x14ac:dyDescent="0.2">
      <c r="A196" s="3065" t="s">
        <v>3262</v>
      </c>
      <c r="B196" s="3065"/>
      <c r="C196" s="3065" t="s">
        <v>24</v>
      </c>
      <c r="D196" s="3065"/>
      <c r="E196" s="3015"/>
      <c r="F196" s="3015"/>
      <c r="G196" s="3066">
        <f>SUM(G197:G198)</f>
        <v>0</v>
      </c>
      <c r="H196" s="3066">
        <f>SUM(H197:H198)</f>
        <v>0</v>
      </c>
      <c r="I196" s="3066">
        <f>SUM(I197:I198)</f>
        <v>0</v>
      </c>
      <c r="J196" s="3015"/>
      <c r="K196" s="3015"/>
      <c r="L196" s="3065"/>
      <c r="M196" s="3015"/>
      <c r="N196" s="3066">
        <f>SUM(N197:N198)</f>
        <v>0</v>
      </c>
      <c r="O196" s="3066"/>
      <c r="P196" s="3015"/>
      <c r="Q196" s="3210">
        <f>SUM(Q197:Q198)</f>
        <v>0</v>
      </c>
    </row>
    <row r="197" spans="1:17" ht="31.5" hidden="1" x14ac:dyDescent="0.2">
      <c r="A197" s="3067" t="s">
        <v>3263</v>
      </c>
      <c r="B197" s="3157"/>
      <c r="C197" s="3101" t="s">
        <v>1170</v>
      </c>
      <c r="D197" s="3101" t="s">
        <v>118</v>
      </c>
      <c r="E197" s="3158"/>
      <c r="F197" s="3158"/>
      <c r="G197" s="3158"/>
      <c r="H197" s="3158"/>
      <c r="I197" s="3158"/>
      <c r="J197" s="3158"/>
      <c r="K197" s="3196"/>
      <c r="L197" s="3071">
        <f>K197/100000</f>
        <v>0</v>
      </c>
      <c r="M197" s="3070"/>
      <c r="N197" s="3072">
        <f>L197*M197</f>
        <v>0</v>
      </c>
      <c r="O197" s="3072"/>
      <c r="P197" s="3159"/>
      <c r="Q197" s="3201"/>
    </row>
    <row r="198" spans="1:17" ht="15.75" hidden="1" x14ac:dyDescent="0.2">
      <c r="A198" s="3067" t="s">
        <v>3264</v>
      </c>
      <c r="B198" s="3157"/>
      <c r="C198" s="3101" t="s">
        <v>1171</v>
      </c>
      <c r="D198" s="3101" t="s">
        <v>131</v>
      </c>
      <c r="E198" s="3158"/>
      <c r="F198" s="3158"/>
      <c r="G198" s="3158"/>
      <c r="H198" s="3158"/>
      <c r="I198" s="3158"/>
      <c r="J198" s="3158"/>
      <c r="K198" s="3196"/>
      <c r="L198" s="3071">
        <f>K198/100000</f>
        <v>0</v>
      </c>
      <c r="M198" s="3070"/>
      <c r="N198" s="3072">
        <f>L198*M198</f>
        <v>0</v>
      </c>
      <c r="O198" s="3072"/>
      <c r="P198" s="3159"/>
      <c r="Q198" s="3201"/>
    </row>
    <row r="199" spans="1:17" ht="15.75" hidden="1" x14ac:dyDescent="0.2">
      <c r="A199" s="3065" t="s">
        <v>3265</v>
      </c>
      <c r="B199" s="3065"/>
      <c r="C199" s="3065" t="s">
        <v>25</v>
      </c>
      <c r="D199" s="3065"/>
      <c r="E199" s="3015"/>
      <c r="F199" s="3015"/>
      <c r="G199" s="3066"/>
      <c r="H199" s="3066"/>
      <c r="I199" s="3066"/>
      <c r="J199" s="3015"/>
      <c r="K199" s="3015"/>
      <c r="L199" s="3065"/>
      <c r="M199" s="3015"/>
      <c r="N199" s="3066">
        <f>N200+N201</f>
        <v>0</v>
      </c>
      <c r="O199" s="3066"/>
      <c r="P199" s="3015"/>
      <c r="Q199" s="3210">
        <f>Q200+Q201</f>
        <v>0</v>
      </c>
    </row>
    <row r="200" spans="1:17" ht="15.75" hidden="1" x14ac:dyDescent="0.2">
      <c r="A200" s="3067" t="s">
        <v>3266</v>
      </c>
      <c r="B200" s="3067" t="s">
        <v>3083</v>
      </c>
      <c r="C200" s="3067" t="s">
        <v>3084</v>
      </c>
      <c r="D200" s="3067" t="s">
        <v>3303</v>
      </c>
      <c r="E200" s="3084"/>
      <c r="F200" s="3084"/>
      <c r="G200" s="3084"/>
      <c r="H200" s="3084"/>
      <c r="I200" s="3084"/>
      <c r="J200" s="3105"/>
      <c r="K200" s="3105"/>
      <c r="L200" s="3071"/>
      <c r="M200" s="3070"/>
      <c r="N200" s="3072">
        <f>L200*M200</f>
        <v>0</v>
      </c>
      <c r="O200" s="3072"/>
      <c r="P200" s="3084"/>
      <c r="Q200" s="3201"/>
    </row>
    <row r="201" spans="1:17" ht="15.75" hidden="1" x14ac:dyDescent="0.2">
      <c r="A201" s="3067" t="s">
        <v>3267</v>
      </c>
      <c r="B201" s="3067" t="s">
        <v>3267</v>
      </c>
      <c r="C201" s="3067" t="s">
        <v>307</v>
      </c>
      <c r="D201" s="3067" t="s">
        <v>3303</v>
      </c>
      <c r="E201" s="3084"/>
      <c r="F201" s="3084"/>
      <c r="G201" s="3084"/>
      <c r="H201" s="3084"/>
      <c r="I201" s="3084"/>
      <c r="J201" s="3084"/>
      <c r="K201" s="3196"/>
      <c r="L201" s="3071">
        <f>K201/100000</f>
        <v>0</v>
      </c>
      <c r="M201" s="3070"/>
      <c r="N201" s="3072">
        <f>L201*M201</f>
        <v>0</v>
      </c>
      <c r="O201" s="3072"/>
      <c r="P201" s="3084"/>
      <c r="Q201" s="3201"/>
    </row>
    <row r="202" spans="1:17" ht="15.75" hidden="1" x14ac:dyDescent="0.2">
      <c r="A202" s="3075" t="s">
        <v>3268</v>
      </c>
      <c r="B202" s="3076" t="s">
        <v>3268</v>
      </c>
      <c r="C202" s="3077" t="s">
        <v>26</v>
      </c>
      <c r="D202" s="3077"/>
      <c r="E202" s="3160"/>
      <c r="F202" s="3160"/>
      <c r="G202" s="3160"/>
      <c r="H202" s="3160"/>
      <c r="I202" s="3160"/>
      <c r="J202" s="3160"/>
      <c r="K202" s="3165"/>
      <c r="L202" s="3161"/>
      <c r="M202" s="3162"/>
      <c r="N202" s="3161"/>
      <c r="O202" s="3161"/>
      <c r="P202" s="3164" t="s">
        <v>5306</v>
      </c>
      <c r="Q202" s="3236"/>
    </row>
    <row r="203" spans="1:17" ht="15.75" hidden="1" x14ac:dyDescent="0.2">
      <c r="A203" s="3075" t="s">
        <v>3269</v>
      </c>
      <c r="B203" s="3076" t="s">
        <v>3269</v>
      </c>
      <c r="C203" s="3077" t="s">
        <v>27</v>
      </c>
      <c r="D203" s="3077"/>
      <c r="E203" s="3160"/>
      <c r="F203" s="3160"/>
      <c r="G203" s="3160"/>
      <c r="H203" s="3160"/>
      <c r="I203" s="3160"/>
      <c r="J203" s="3160"/>
      <c r="K203" s="3165"/>
      <c r="L203" s="3161"/>
      <c r="M203" s="3162"/>
      <c r="N203" s="3161"/>
      <c r="O203" s="3161"/>
      <c r="P203" s="3164" t="s">
        <v>5306</v>
      </c>
      <c r="Q203" s="3236"/>
    </row>
    <row r="204" spans="1:17" ht="15.75" hidden="1" x14ac:dyDescent="0.2">
      <c r="A204" s="3063" t="s">
        <v>3270</v>
      </c>
      <c r="B204" s="3063"/>
      <c r="C204" s="3063" t="s">
        <v>28</v>
      </c>
      <c r="D204" s="3063"/>
      <c r="E204" s="3087"/>
      <c r="F204" s="3087"/>
      <c r="G204" s="3064"/>
      <c r="H204" s="3064"/>
      <c r="I204" s="3064"/>
      <c r="J204" s="3087"/>
      <c r="K204" s="3087"/>
      <c r="L204" s="3063"/>
      <c r="M204" s="3087"/>
      <c r="N204" s="3064">
        <f>SUM(N205:N206)</f>
        <v>0</v>
      </c>
      <c r="O204" s="3064"/>
      <c r="P204" s="3087"/>
      <c r="Q204" s="3211">
        <f>SUM(Q205:Q206)</f>
        <v>0</v>
      </c>
    </row>
    <row r="205" spans="1:17" ht="15.75" hidden="1" x14ac:dyDescent="0.2">
      <c r="A205" s="3067" t="s">
        <v>3271</v>
      </c>
      <c r="B205" s="3067" t="s">
        <v>3087</v>
      </c>
      <c r="C205" s="3067" t="s">
        <v>5345</v>
      </c>
      <c r="D205" s="3067" t="s">
        <v>3303</v>
      </c>
      <c r="E205" s="3084"/>
      <c r="F205" s="3084"/>
      <c r="G205" s="3084"/>
      <c r="H205" s="3084"/>
      <c r="I205" s="3084"/>
      <c r="J205" s="3084"/>
      <c r="K205" s="3196"/>
      <c r="L205" s="3071">
        <f>K205/100000</f>
        <v>0</v>
      </c>
      <c r="M205" s="3070"/>
      <c r="N205" s="3072">
        <f>L205*M205</f>
        <v>0</v>
      </c>
      <c r="O205" s="3072"/>
      <c r="P205" s="3084"/>
      <c r="Q205" s="3201"/>
    </row>
    <row r="206" spans="1:17" ht="15.75" hidden="1" x14ac:dyDescent="0.2">
      <c r="A206" s="3067" t="s">
        <v>3272</v>
      </c>
      <c r="B206" s="3067" t="s">
        <v>3273</v>
      </c>
      <c r="C206" s="3068" t="s">
        <v>3939</v>
      </c>
      <c r="D206" s="3068" t="s">
        <v>5349</v>
      </c>
      <c r="E206" s="3081"/>
      <c r="F206" s="3166"/>
      <c r="G206" s="3073"/>
      <c r="H206" s="3237"/>
      <c r="I206" s="3166"/>
      <c r="J206" s="3086"/>
      <c r="K206" s="3086"/>
      <c r="L206" s="3071"/>
      <c r="M206" s="3070"/>
      <c r="N206" s="3072">
        <f>L206*M206</f>
        <v>0</v>
      </c>
      <c r="O206" s="3072"/>
      <c r="P206" s="3419"/>
      <c r="Q206" s="3201"/>
    </row>
    <row r="207" spans="1:17" ht="15.75" hidden="1" x14ac:dyDescent="0.2">
      <c r="A207" s="3063" t="s">
        <v>3274</v>
      </c>
      <c r="B207" s="3063"/>
      <c r="C207" s="3063" t="s">
        <v>29</v>
      </c>
      <c r="D207" s="3063"/>
      <c r="E207" s="3087"/>
      <c r="F207" s="3087"/>
      <c r="G207" s="3064"/>
      <c r="H207" s="3064"/>
      <c r="I207" s="3064"/>
      <c r="J207" s="3087"/>
      <c r="K207" s="3087"/>
      <c r="L207" s="3063"/>
      <c r="M207" s="3087"/>
      <c r="N207" s="3064">
        <f>SUM(N208:N209)</f>
        <v>0</v>
      </c>
      <c r="O207" s="3064"/>
      <c r="P207" s="3087"/>
      <c r="Q207" s="3211">
        <f>SUM(Q208:Q209)</f>
        <v>0</v>
      </c>
    </row>
    <row r="208" spans="1:17" ht="15.75" hidden="1" x14ac:dyDescent="0.2">
      <c r="A208" s="3067" t="s">
        <v>3275</v>
      </c>
      <c r="B208" s="3112"/>
      <c r="C208" s="3068" t="s">
        <v>3088</v>
      </c>
      <c r="D208" s="3068" t="s">
        <v>3303</v>
      </c>
      <c r="E208" s="3081"/>
      <c r="F208" s="3166"/>
      <c r="G208" s="3073"/>
      <c r="H208" s="3166"/>
      <c r="I208" s="3166"/>
      <c r="J208" s="3086"/>
      <c r="K208" s="3086"/>
      <c r="L208" s="3071"/>
      <c r="M208" s="3070"/>
      <c r="N208" s="3072">
        <f>L208*M208</f>
        <v>0</v>
      </c>
      <c r="O208" s="3072"/>
      <c r="P208" s="3419"/>
      <c r="Q208" s="3201"/>
    </row>
    <row r="209" spans="1:17" ht="15.75" hidden="1" x14ac:dyDescent="0.2">
      <c r="A209" s="3067" t="s">
        <v>3938</v>
      </c>
      <c r="B209" s="3112"/>
      <c r="C209" s="3068" t="s">
        <v>2870</v>
      </c>
      <c r="D209" s="3068" t="s">
        <v>5349</v>
      </c>
      <c r="E209" s="3166"/>
      <c r="F209" s="3166"/>
      <c r="G209" s="3166"/>
      <c r="H209" s="3166"/>
      <c r="I209" s="3166"/>
      <c r="J209" s="3166"/>
      <c r="K209" s="3196"/>
      <c r="L209" s="3071"/>
      <c r="M209" s="3070"/>
      <c r="N209" s="3072">
        <f>L209*M209</f>
        <v>0</v>
      </c>
      <c r="O209" s="3072"/>
      <c r="P209" s="3419"/>
      <c r="Q209" s="3201"/>
    </row>
    <row r="210" spans="1:17" ht="15.75" hidden="1" x14ac:dyDescent="0.2">
      <c r="A210" s="3063" t="s">
        <v>3276</v>
      </c>
      <c r="B210" s="3063"/>
      <c r="C210" s="3063" t="s">
        <v>30</v>
      </c>
      <c r="D210" s="3063"/>
      <c r="E210" s="3087"/>
      <c r="F210" s="3087"/>
      <c r="G210" s="3064"/>
      <c r="H210" s="3064"/>
      <c r="I210" s="3064"/>
      <c r="J210" s="3087"/>
      <c r="K210" s="3087"/>
      <c r="L210" s="3063"/>
      <c r="M210" s="3087"/>
      <c r="N210" s="3064">
        <f>N211+N216+N222</f>
        <v>0</v>
      </c>
      <c r="O210" s="3064"/>
      <c r="P210" s="3087"/>
      <c r="Q210" s="3211">
        <f>Q211+Q216+Q222</f>
        <v>0</v>
      </c>
    </row>
    <row r="211" spans="1:17" ht="15.75" hidden="1" x14ac:dyDescent="0.2">
      <c r="A211" s="3065" t="s">
        <v>3277</v>
      </c>
      <c r="B211" s="3065"/>
      <c r="C211" s="3065" t="s">
        <v>30</v>
      </c>
      <c r="D211" s="3065"/>
      <c r="E211" s="3015"/>
      <c r="F211" s="3015"/>
      <c r="G211" s="3066"/>
      <c r="H211" s="3066"/>
      <c r="I211" s="3066"/>
      <c r="J211" s="3015"/>
      <c r="K211" s="3015"/>
      <c r="L211" s="3065"/>
      <c r="M211" s="3015"/>
      <c r="N211" s="3066">
        <f>SUM(N212:N215)</f>
        <v>0</v>
      </c>
      <c r="O211" s="3066"/>
      <c r="P211" s="3015"/>
      <c r="Q211" s="3210">
        <f>SUM(Q212:Q215)</f>
        <v>0</v>
      </c>
    </row>
    <row r="212" spans="1:17" ht="15.75" hidden="1" x14ac:dyDescent="0.2">
      <c r="A212" s="3067" t="s">
        <v>3278</v>
      </c>
      <c r="B212" s="3085"/>
      <c r="C212" s="3068" t="s">
        <v>4056</v>
      </c>
      <c r="D212" s="3068" t="s">
        <v>4730</v>
      </c>
      <c r="E212" s="3081"/>
      <c r="F212" s="3086"/>
      <c r="G212" s="3114"/>
      <c r="H212" s="3238"/>
      <c r="I212" s="3086"/>
      <c r="J212" s="3086"/>
      <c r="K212" s="3086"/>
      <c r="L212" s="3071"/>
      <c r="M212" s="3081"/>
      <c r="N212" s="3072">
        <f>L212*M212</f>
        <v>0</v>
      </c>
      <c r="O212" s="3072"/>
      <c r="P212" s="3084"/>
      <c r="Q212" s="3201"/>
    </row>
    <row r="213" spans="1:17" ht="15.75" hidden="1" x14ac:dyDescent="0.2">
      <c r="A213" s="3067" t="s">
        <v>4058</v>
      </c>
      <c r="B213" s="3085"/>
      <c r="C213" s="3068" t="s">
        <v>4617</v>
      </c>
      <c r="D213" s="3068" t="s">
        <v>4730</v>
      </c>
      <c r="E213" s="3081"/>
      <c r="F213" s="3086"/>
      <c r="G213" s="3114"/>
      <c r="H213" s="3086"/>
      <c r="I213" s="3086"/>
      <c r="J213" s="3086"/>
      <c r="K213" s="3086"/>
      <c r="L213" s="3071"/>
      <c r="M213" s="3081"/>
      <c r="N213" s="3072">
        <f>L213*M213</f>
        <v>0</v>
      </c>
      <c r="O213" s="3072"/>
      <c r="P213" s="3084"/>
      <c r="Q213" s="3201"/>
    </row>
    <row r="214" spans="1:17" ht="15.75" hidden="1" x14ac:dyDescent="0.2">
      <c r="A214" s="3067" t="s">
        <v>4059</v>
      </c>
      <c r="B214" s="3085"/>
      <c r="C214" s="3068" t="s">
        <v>4057</v>
      </c>
      <c r="D214" s="3068" t="s">
        <v>4730</v>
      </c>
      <c r="E214" s="3081"/>
      <c r="F214" s="3086"/>
      <c r="G214" s="3073"/>
      <c r="H214" s="3086"/>
      <c r="I214" s="3086"/>
      <c r="J214" s="3086"/>
      <c r="K214" s="3086"/>
      <c r="L214" s="3071">
        <f>K214/100000</f>
        <v>0</v>
      </c>
      <c r="M214" s="3081"/>
      <c r="N214" s="3072">
        <f>L214*M214</f>
        <v>0</v>
      </c>
      <c r="O214" s="3072"/>
      <c r="P214" s="3084"/>
      <c r="Q214" s="3201"/>
    </row>
    <row r="215" spans="1:17" ht="31.5" hidden="1" x14ac:dyDescent="0.2">
      <c r="A215" s="3067" t="s">
        <v>4060</v>
      </c>
      <c r="B215" s="3085"/>
      <c r="C215" s="3068" t="s">
        <v>1243</v>
      </c>
      <c r="D215" s="3068" t="s">
        <v>4730</v>
      </c>
      <c r="E215" s="3081"/>
      <c r="F215" s="3086"/>
      <c r="G215" s="3073"/>
      <c r="H215" s="3238"/>
      <c r="I215" s="3086"/>
      <c r="J215" s="3086"/>
      <c r="K215" s="3086"/>
      <c r="L215" s="3071"/>
      <c r="M215" s="3081"/>
      <c r="N215" s="3072">
        <f>L215*M215</f>
        <v>0</v>
      </c>
      <c r="O215" s="3072"/>
      <c r="P215" s="3084"/>
      <c r="Q215" s="3201"/>
    </row>
    <row r="216" spans="1:17" ht="15.75" hidden="1" x14ac:dyDescent="0.2">
      <c r="A216" s="3065" t="s">
        <v>3279</v>
      </c>
      <c r="B216" s="3065"/>
      <c r="C216" s="3065" t="s">
        <v>31</v>
      </c>
      <c r="D216" s="3065"/>
      <c r="E216" s="3015"/>
      <c r="F216" s="3111"/>
      <c r="G216" s="3111"/>
      <c r="H216" s="3111"/>
      <c r="I216" s="3111"/>
      <c r="J216" s="3015"/>
      <c r="K216" s="3015"/>
      <c r="L216" s="3065"/>
      <c r="M216" s="3015"/>
      <c r="N216" s="3066">
        <f>SUM(N217:N221)</f>
        <v>0</v>
      </c>
      <c r="O216" s="3066"/>
      <c r="P216" s="3015"/>
      <c r="Q216" s="3210">
        <f>SUM(Q217:Q221)</f>
        <v>0</v>
      </c>
    </row>
    <row r="217" spans="1:17" ht="15.75" hidden="1" x14ac:dyDescent="0.2">
      <c r="A217" s="3067" t="s">
        <v>3280</v>
      </c>
      <c r="B217" s="3085"/>
      <c r="C217" s="3168" t="s">
        <v>1252</v>
      </c>
      <c r="D217" s="3068" t="s">
        <v>4730</v>
      </c>
      <c r="E217" s="3081"/>
      <c r="F217" s="3086"/>
      <c r="G217" s="3202"/>
      <c r="H217" s="3086"/>
      <c r="I217" s="3086"/>
      <c r="J217" s="3086"/>
      <c r="K217" s="3086"/>
      <c r="L217" s="3071"/>
      <c r="M217" s="3081"/>
      <c r="N217" s="3072">
        <f t="shared" ref="N217:N222" si="17">L217*M217</f>
        <v>0</v>
      </c>
      <c r="O217" s="3072"/>
      <c r="P217" s="3084"/>
      <c r="Q217" s="3201"/>
    </row>
    <row r="218" spans="1:17" ht="15.75" hidden="1" x14ac:dyDescent="0.2">
      <c r="A218" s="3067" t="s">
        <v>3281</v>
      </c>
      <c r="B218" s="3085"/>
      <c r="C218" s="3169" t="s">
        <v>4061</v>
      </c>
      <c r="D218" s="3068" t="s">
        <v>4730</v>
      </c>
      <c r="E218" s="3081"/>
      <c r="F218" s="3086"/>
      <c r="G218" s="3202"/>
      <c r="H218" s="3086"/>
      <c r="I218" s="3086"/>
      <c r="J218" s="3086"/>
      <c r="K218" s="3086"/>
      <c r="L218" s="3071"/>
      <c r="M218" s="3081"/>
      <c r="N218" s="3072">
        <f t="shared" si="17"/>
        <v>0</v>
      </c>
      <c r="O218" s="3072"/>
      <c r="P218" s="3084"/>
      <c r="Q218" s="3201"/>
    </row>
    <row r="219" spans="1:17" ht="15.75" hidden="1" x14ac:dyDescent="0.2">
      <c r="A219" s="3067" t="s">
        <v>4063</v>
      </c>
      <c r="B219" s="3085"/>
      <c r="C219" s="3170" t="s">
        <v>1255</v>
      </c>
      <c r="D219" s="3068" t="s">
        <v>4730</v>
      </c>
      <c r="E219" s="3081"/>
      <c r="F219" s="3086"/>
      <c r="G219" s="3073"/>
      <c r="H219" s="3086"/>
      <c r="I219" s="3086"/>
      <c r="J219" s="3086"/>
      <c r="K219" s="3086"/>
      <c r="L219" s="3071"/>
      <c r="M219" s="3081"/>
      <c r="N219" s="3072">
        <f t="shared" si="17"/>
        <v>0</v>
      </c>
      <c r="O219" s="3072"/>
      <c r="P219" s="3084"/>
      <c r="Q219" s="3201"/>
    </row>
    <row r="220" spans="1:17" ht="15.75" hidden="1" x14ac:dyDescent="0.2">
      <c r="A220" s="3067" t="s">
        <v>4064</v>
      </c>
      <c r="B220" s="3085"/>
      <c r="C220" s="3169" t="s">
        <v>4062</v>
      </c>
      <c r="D220" s="3068" t="s">
        <v>4730</v>
      </c>
      <c r="E220" s="3086"/>
      <c r="F220" s="3086"/>
      <c r="G220" s="3086"/>
      <c r="H220" s="3086"/>
      <c r="I220" s="3086"/>
      <c r="J220" s="3086" t="s">
        <v>5736</v>
      </c>
      <c r="K220" s="3086">
        <v>0</v>
      </c>
      <c r="L220" s="3071">
        <f>K220/100000</f>
        <v>0</v>
      </c>
      <c r="M220" s="3081">
        <v>0</v>
      </c>
      <c r="N220" s="3072">
        <f t="shared" si="17"/>
        <v>0</v>
      </c>
      <c r="O220" s="3072"/>
      <c r="P220" s="3084"/>
      <c r="Q220" s="3201"/>
    </row>
    <row r="221" spans="1:17" ht="15.75" hidden="1" x14ac:dyDescent="0.2">
      <c r="A221" s="3067" t="s">
        <v>4065</v>
      </c>
      <c r="B221" s="3085"/>
      <c r="C221" s="3169" t="s">
        <v>1261</v>
      </c>
      <c r="D221" s="3068" t="s">
        <v>4730</v>
      </c>
      <c r="E221" s="3086"/>
      <c r="F221" s="3086"/>
      <c r="G221" s="3086"/>
      <c r="H221" s="3086"/>
      <c r="I221" s="3086"/>
      <c r="J221" s="3086"/>
      <c r="K221" s="3196"/>
      <c r="L221" s="3071">
        <f>K221/100000</f>
        <v>0</v>
      </c>
      <c r="M221" s="3070"/>
      <c r="N221" s="3072">
        <f t="shared" si="17"/>
        <v>0</v>
      </c>
      <c r="O221" s="3072"/>
      <c r="P221" s="3084"/>
      <c r="Q221" s="3201"/>
    </row>
    <row r="222" spans="1:17" ht="15.75" hidden="1" x14ac:dyDescent="0.2">
      <c r="A222" s="3065" t="s">
        <v>3282</v>
      </c>
      <c r="B222" s="3065"/>
      <c r="C222" s="3065" t="s">
        <v>2977</v>
      </c>
      <c r="D222" s="3065"/>
      <c r="E222" s="3015"/>
      <c r="F222" s="3015"/>
      <c r="G222" s="3074">
        <f>E222*F222</f>
        <v>0</v>
      </c>
      <c r="H222" s="3074">
        <f>F222*G222</f>
        <v>0</v>
      </c>
      <c r="I222" s="3074">
        <f>G222*H222</f>
        <v>0</v>
      </c>
      <c r="J222" s="3015"/>
      <c r="K222" s="3173"/>
      <c r="L222" s="3074"/>
      <c r="M222" s="3172"/>
      <c r="N222" s="3074">
        <f t="shared" si="17"/>
        <v>0</v>
      </c>
      <c r="O222" s="3074"/>
      <c r="P222" s="3015"/>
      <c r="Q222" s="3239"/>
    </row>
    <row r="223" spans="1:17" ht="15.75" hidden="1" x14ac:dyDescent="0.2">
      <c r="A223" s="3063" t="s">
        <v>3283</v>
      </c>
      <c r="B223" s="3063"/>
      <c r="C223" s="3063" t="s">
        <v>3089</v>
      </c>
      <c r="D223" s="3063"/>
      <c r="E223" s="3087"/>
      <c r="F223" s="3087"/>
      <c r="G223" s="3064">
        <f>G225</f>
        <v>0</v>
      </c>
      <c r="H223" s="3064">
        <f>H225</f>
        <v>0</v>
      </c>
      <c r="I223" s="3064">
        <f>I225</f>
        <v>0</v>
      </c>
      <c r="J223" s="3087"/>
      <c r="K223" s="3087"/>
      <c r="L223" s="3063"/>
      <c r="M223" s="3087"/>
      <c r="N223" s="3064">
        <f>N225</f>
        <v>0</v>
      </c>
      <c r="O223" s="3064"/>
      <c r="P223" s="3087"/>
      <c r="Q223" s="3211">
        <f>Q225</f>
        <v>0</v>
      </c>
    </row>
    <row r="224" spans="1:17" ht="31.5" hidden="1" x14ac:dyDescent="0.2">
      <c r="A224" s="3075" t="s">
        <v>3284</v>
      </c>
      <c r="B224" s="3157"/>
      <c r="C224" s="3077" t="s">
        <v>3090</v>
      </c>
      <c r="D224" s="3077"/>
      <c r="E224" s="3160"/>
      <c r="F224" s="3160"/>
      <c r="G224" s="3160"/>
      <c r="H224" s="3160"/>
      <c r="I224" s="3160"/>
      <c r="J224" s="3160"/>
      <c r="K224" s="3165"/>
      <c r="L224" s="3161"/>
      <c r="M224" s="3162"/>
      <c r="N224" s="3161"/>
      <c r="O224" s="3161"/>
      <c r="P224" s="3164" t="s">
        <v>5306</v>
      </c>
      <c r="Q224" s="3236"/>
    </row>
    <row r="225" spans="1:18" ht="15.75" hidden="1" x14ac:dyDescent="0.2">
      <c r="A225" s="3065" t="s">
        <v>3285</v>
      </c>
      <c r="B225" s="3065"/>
      <c r="C225" s="3065" t="s">
        <v>32</v>
      </c>
      <c r="D225" s="3065"/>
      <c r="E225" s="3015"/>
      <c r="F225" s="3015"/>
      <c r="G225" s="3066">
        <f>G226</f>
        <v>0</v>
      </c>
      <c r="H225" s="3066">
        <f>H226</f>
        <v>0</v>
      </c>
      <c r="I225" s="3066">
        <f>I226</f>
        <v>0</v>
      </c>
      <c r="J225" s="3015"/>
      <c r="K225" s="3015"/>
      <c r="L225" s="3065"/>
      <c r="M225" s="3015"/>
      <c r="N225" s="3066">
        <f>N226</f>
        <v>0</v>
      </c>
      <c r="O225" s="3066"/>
      <c r="P225" s="3015"/>
      <c r="Q225" s="3210">
        <f>Q226</f>
        <v>0</v>
      </c>
    </row>
    <row r="226" spans="1:18" ht="15.75" hidden="1" x14ac:dyDescent="0.2">
      <c r="A226" s="3067" t="s">
        <v>3286</v>
      </c>
      <c r="B226" s="3085"/>
      <c r="C226" s="3068" t="s">
        <v>3091</v>
      </c>
      <c r="D226" s="3068" t="s">
        <v>5348</v>
      </c>
      <c r="E226" s="3086"/>
      <c r="F226" s="3086"/>
      <c r="G226" s="3086"/>
      <c r="H226" s="3086"/>
      <c r="I226" s="3086"/>
      <c r="J226" s="3086"/>
      <c r="K226" s="3196"/>
      <c r="L226" s="3071">
        <f>K226/100000</f>
        <v>0</v>
      </c>
      <c r="M226" s="3070"/>
      <c r="N226" s="3072">
        <f>L226*M226</f>
        <v>0</v>
      </c>
      <c r="O226" s="3072"/>
      <c r="P226" s="3084"/>
      <c r="Q226" s="3201"/>
    </row>
    <row r="227" spans="1:18" ht="15.75" hidden="1" x14ac:dyDescent="0.2">
      <c r="A227" s="3063" t="s">
        <v>3287</v>
      </c>
      <c r="B227" s="3063"/>
      <c r="C227" s="3063" t="s">
        <v>33</v>
      </c>
      <c r="D227" s="3063"/>
      <c r="E227" s="3087"/>
      <c r="F227" s="3087"/>
      <c r="G227" s="3064">
        <f>SUM(G228:G229)</f>
        <v>0</v>
      </c>
      <c r="H227" s="3064">
        <f>SUM(H228:H229)</f>
        <v>0</v>
      </c>
      <c r="I227" s="3064">
        <f>SUM(I228:I229)</f>
        <v>0</v>
      </c>
      <c r="J227" s="3087"/>
      <c r="K227" s="3087"/>
      <c r="L227" s="3063"/>
      <c r="M227" s="3087"/>
      <c r="N227" s="3064">
        <f>SUM(N228:N229)</f>
        <v>0</v>
      </c>
      <c r="O227" s="3064"/>
      <c r="P227" s="3087"/>
      <c r="Q227" s="3211">
        <f>SUM(Q228:Q229)</f>
        <v>0</v>
      </c>
    </row>
    <row r="228" spans="1:18" ht="15.75" hidden="1" x14ac:dyDescent="0.2">
      <c r="A228" s="3067" t="s">
        <v>3288</v>
      </c>
      <c r="B228" s="3067"/>
      <c r="C228" s="3067" t="s">
        <v>5346</v>
      </c>
      <c r="D228" s="3067" t="s">
        <v>5349</v>
      </c>
      <c r="E228" s="3084"/>
      <c r="F228" s="3084"/>
      <c r="G228" s="3084"/>
      <c r="H228" s="3084"/>
      <c r="I228" s="3084"/>
      <c r="J228" s="3084"/>
      <c r="K228" s="3196"/>
      <c r="L228" s="3071">
        <f>K228/100000</f>
        <v>0</v>
      </c>
      <c r="M228" s="3070"/>
      <c r="N228" s="3072">
        <f>L228*M228</f>
        <v>0</v>
      </c>
      <c r="O228" s="3072"/>
      <c r="P228" s="3084"/>
      <c r="Q228" s="3201"/>
    </row>
    <row r="229" spans="1:18" ht="15.75" hidden="1" x14ac:dyDescent="0.2">
      <c r="A229" s="3067" t="s">
        <v>3936</v>
      </c>
      <c r="B229" s="3067"/>
      <c r="C229" s="3067" t="s">
        <v>307</v>
      </c>
      <c r="D229" s="3067" t="s">
        <v>5348</v>
      </c>
      <c r="E229" s="3081">
        <v>6</v>
      </c>
      <c r="F229" s="3084"/>
      <c r="G229" s="3073">
        <v>0</v>
      </c>
      <c r="H229" s="3084"/>
      <c r="I229" s="3084"/>
      <c r="J229" s="3084"/>
      <c r="K229" s="3084"/>
      <c r="L229" s="3071">
        <f>K229/100000</f>
        <v>0</v>
      </c>
      <c r="M229" s="3070"/>
      <c r="N229" s="3072">
        <f>L229*M229</f>
        <v>0</v>
      </c>
      <c r="O229" s="3072"/>
      <c r="P229" s="3084"/>
      <c r="Q229" s="3201"/>
    </row>
    <row r="230" spans="1:18" ht="15.75" hidden="1" x14ac:dyDescent="0.2">
      <c r="A230" s="3063" t="s">
        <v>3289</v>
      </c>
      <c r="B230" s="3063"/>
      <c r="C230" s="3063" t="s">
        <v>34</v>
      </c>
      <c r="D230" s="3063"/>
      <c r="E230" s="3087"/>
      <c r="F230" s="3087"/>
      <c r="G230" s="3064"/>
      <c r="H230" s="3064"/>
      <c r="I230" s="3064"/>
      <c r="J230" s="3087"/>
      <c r="K230" s="3087"/>
      <c r="L230" s="3063"/>
      <c r="M230" s="3087"/>
      <c r="N230" s="3064">
        <f>N231+N257</f>
        <v>27</v>
      </c>
      <c r="O230" s="3064"/>
      <c r="P230" s="3087"/>
      <c r="Q230" s="3211">
        <f>Q231+Q257</f>
        <v>0</v>
      </c>
      <c r="R230" s="3313">
        <f>Q230</f>
        <v>0</v>
      </c>
    </row>
    <row r="231" spans="1:18" ht="15.75" hidden="1" x14ac:dyDescent="0.2">
      <c r="A231" s="3065" t="s">
        <v>3290</v>
      </c>
      <c r="B231" s="3065"/>
      <c r="C231" s="3174" t="s">
        <v>2158</v>
      </c>
      <c r="D231" s="3174"/>
      <c r="E231" s="3015"/>
      <c r="F231" s="3015"/>
      <c r="G231" s="3066"/>
      <c r="H231" s="3066"/>
      <c r="I231" s="3066"/>
      <c r="J231" s="3015"/>
      <c r="K231" s="3015"/>
      <c r="L231" s="3065"/>
      <c r="M231" s="3015"/>
      <c r="N231" s="3066">
        <f>N232+N233+N239+N245+N250</f>
        <v>27</v>
      </c>
      <c r="O231" s="3066"/>
      <c r="P231" s="3015"/>
      <c r="Q231" s="3210">
        <f>Q232+Q233+Q239+Q245+Q250</f>
        <v>0</v>
      </c>
    </row>
    <row r="232" spans="1:18" ht="15.75" hidden="1" x14ac:dyDescent="0.2">
      <c r="A232" s="3094" t="s">
        <v>3291</v>
      </c>
      <c r="B232" s="3094"/>
      <c r="C232" s="3094" t="s">
        <v>35</v>
      </c>
      <c r="D232" s="3094"/>
      <c r="E232" s="3014"/>
      <c r="F232" s="3014"/>
      <c r="G232" s="3095">
        <f>E232*F232</f>
        <v>0</v>
      </c>
      <c r="H232" s="3095">
        <f>F232*G232</f>
        <v>0</v>
      </c>
      <c r="I232" s="3095">
        <f>G232*H232</f>
        <v>0</v>
      </c>
      <c r="J232" s="3014"/>
      <c r="K232" s="3240"/>
      <c r="L232" s="3175"/>
      <c r="M232" s="3096"/>
      <c r="N232" s="3095">
        <f>L232*M232</f>
        <v>0</v>
      </c>
      <c r="O232" s="3095"/>
      <c r="P232" s="3014"/>
      <c r="Q232" s="3208"/>
    </row>
    <row r="233" spans="1:18" ht="15.75" hidden="1" x14ac:dyDescent="0.2">
      <c r="A233" s="3094" t="s">
        <v>3940</v>
      </c>
      <c r="B233" s="3094"/>
      <c r="C233" s="3094" t="s">
        <v>37</v>
      </c>
      <c r="D233" s="3094"/>
      <c r="E233" s="3014"/>
      <c r="F233" s="3014"/>
      <c r="G233" s="3095"/>
      <c r="H233" s="3095"/>
      <c r="I233" s="3095"/>
      <c r="J233" s="3014"/>
      <c r="K233" s="3014"/>
      <c r="L233" s="3094"/>
      <c r="M233" s="3014"/>
      <c r="N233" s="3095">
        <f>N234+N235+N238</f>
        <v>0</v>
      </c>
      <c r="O233" s="3095"/>
      <c r="P233" s="3014"/>
      <c r="Q233" s="3208">
        <f>Q234+Q235+Q238</f>
        <v>0</v>
      </c>
    </row>
    <row r="234" spans="1:18" ht="31.5" hidden="1" x14ac:dyDescent="0.2">
      <c r="A234" s="3067" t="s">
        <v>4393</v>
      </c>
      <c r="B234" s="3067" t="s">
        <v>3092</v>
      </c>
      <c r="C234" s="3067" t="s">
        <v>3093</v>
      </c>
      <c r="D234" s="3177" t="s">
        <v>5354</v>
      </c>
      <c r="E234" s="3081"/>
      <c r="F234" s="3084"/>
      <c r="G234" s="3090"/>
      <c r="H234" s="3084"/>
      <c r="I234" s="3084"/>
      <c r="J234" s="3084"/>
      <c r="K234" s="3084"/>
      <c r="L234" s="3071"/>
      <c r="M234" s="3070"/>
      <c r="N234" s="3072">
        <f>L234*M234</f>
        <v>0</v>
      </c>
      <c r="O234" s="3072"/>
      <c r="P234" s="3084"/>
      <c r="Q234" s="3201"/>
    </row>
    <row r="235" spans="1:18" s="828" customFormat="1" ht="15.75" hidden="1" x14ac:dyDescent="0.2">
      <c r="A235" s="3178" t="s">
        <v>4394</v>
      </c>
      <c r="B235" s="3178" t="s">
        <v>3094</v>
      </c>
      <c r="C235" s="3179" t="s">
        <v>2204</v>
      </c>
      <c r="D235" s="3179"/>
      <c r="E235" s="3180"/>
      <c r="F235" s="3181">
        <f>F236+F237</f>
        <v>0</v>
      </c>
      <c r="G235" s="3223">
        <f>G236+G237</f>
        <v>5</v>
      </c>
      <c r="H235" s="3181">
        <f>H236+H237</f>
        <v>0</v>
      </c>
      <c r="I235" s="3181">
        <f>I236+I237</f>
        <v>0</v>
      </c>
      <c r="J235" s="3183"/>
      <c r="K235" s="3183"/>
      <c r="L235" s="3182"/>
      <c r="M235" s="3180"/>
      <c r="N235" s="3182">
        <f>N236+N237</f>
        <v>0</v>
      </c>
      <c r="O235" s="3182"/>
      <c r="P235" s="3183"/>
      <c r="Q235" s="3241">
        <f>Q236+Q237</f>
        <v>0</v>
      </c>
    </row>
    <row r="236" spans="1:18" s="828" customFormat="1" ht="15.75" hidden="1" x14ac:dyDescent="0.2">
      <c r="A236" s="3091" t="s">
        <v>4572</v>
      </c>
      <c r="B236" s="3091"/>
      <c r="C236" s="3091" t="s">
        <v>3095</v>
      </c>
      <c r="D236" s="3091" t="s">
        <v>5352</v>
      </c>
      <c r="E236" s="3122">
        <v>50</v>
      </c>
      <c r="F236" s="3082"/>
      <c r="G236" s="3090">
        <v>5</v>
      </c>
      <c r="H236" s="3214"/>
      <c r="I236" s="3082"/>
      <c r="J236" s="3083"/>
      <c r="K236" s="3082"/>
      <c r="L236" s="3071"/>
      <c r="M236" s="3070"/>
      <c r="N236" s="3093">
        <f>L236*M236</f>
        <v>0</v>
      </c>
      <c r="O236" s="3093"/>
      <c r="P236" s="3083"/>
      <c r="Q236" s="3203">
        <v>0</v>
      </c>
    </row>
    <row r="237" spans="1:18" s="828" customFormat="1" ht="31.5" hidden="1" x14ac:dyDescent="0.2">
      <c r="A237" s="3091" t="s">
        <v>4573</v>
      </c>
      <c r="B237" s="3091"/>
      <c r="C237" s="3184" t="s">
        <v>2425</v>
      </c>
      <c r="D237" s="3091" t="s">
        <v>5355</v>
      </c>
      <c r="E237" s="3083"/>
      <c r="F237" s="3083"/>
      <c r="G237" s="3083"/>
      <c r="H237" s="3083"/>
      <c r="I237" s="3083"/>
      <c r="J237" s="3083"/>
      <c r="K237" s="3196"/>
      <c r="L237" s="3071"/>
      <c r="M237" s="3070"/>
      <c r="N237" s="3093">
        <f>L237*M237</f>
        <v>0</v>
      </c>
      <c r="O237" s="3093"/>
      <c r="P237" s="3083"/>
      <c r="Q237" s="3203"/>
    </row>
    <row r="238" spans="1:18" ht="15.75" hidden="1" x14ac:dyDescent="0.2">
      <c r="A238" s="3091" t="s">
        <v>4395</v>
      </c>
      <c r="B238" s="3091"/>
      <c r="C238" s="3091" t="s">
        <v>2977</v>
      </c>
      <c r="D238" s="3091" t="s">
        <v>5352</v>
      </c>
      <c r="E238" s="3084"/>
      <c r="F238" s="3084"/>
      <c r="G238" s="3084"/>
      <c r="H238" s="3084"/>
      <c r="I238" s="3084"/>
      <c r="J238" s="3084"/>
      <c r="K238" s="3196"/>
      <c r="L238" s="3071">
        <f>K238/100000</f>
        <v>0</v>
      </c>
      <c r="M238" s="3070"/>
      <c r="N238" s="3072">
        <f>L238*M238</f>
        <v>0</v>
      </c>
      <c r="O238" s="3072"/>
      <c r="P238" s="3084"/>
      <c r="Q238" s="3201"/>
    </row>
    <row r="239" spans="1:18" ht="15.75" hidden="1" x14ac:dyDescent="0.2">
      <c r="A239" s="3094" t="s">
        <v>3941</v>
      </c>
      <c r="B239" s="3094"/>
      <c r="C239" s="3094" t="s">
        <v>36</v>
      </c>
      <c r="D239" s="3094"/>
      <c r="E239" s="3014"/>
      <c r="F239" s="3014"/>
      <c r="G239" s="3095"/>
      <c r="H239" s="3095"/>
      <c r="I239" s="3095"/>
      <c r="J239" s="3014"/>
      <c r="K239" s="3014"/>
      <c r="L239" s="3094"/>
      <c r="M239" s="3014"/>
      <c r="N239" s="3095">
        <f>SUM(N240:N244)</f>
        <v>27</v>
      </c>
      <c r="O239" s="3095"/>
      <c r="P239" s="3014"/>
      <c r="Q239" s="3208">
        <f>SUM(Q240:Q244)</f>
        <v>0</v>
      </c>
    </row>
    <row r="240" spans="1:18" ht="31.5" hidden="1" x14ac:dyDescent="0.2">
      <c r="A240" s="3091" t="s">
        <v>4396</v>
      </c>
      <c r="B240" s="3091" t="s">
        <v>3092</v>
      </c>
      <c r="C240" s="3067" t="s">
        <v>3093</v>
      </c>
      <c r="D240" s="3177" t="s">
        <v>5354</v>
      </c>
      <c r="E240" s="3084"/>
      <c r="F240" s="3084"/>
      <c r="G240" s="3084"/>
      <c r="H240" s="3084"/>
      <c r="I240" s="3084"/>
      <c r="J240" s="3084"/>
      <c r="K240" s="3196"/>
      <c r="L240" s="3071">
        <f>K240/100000</f>
        <v>0</v>
      </c>
      <c r="M240" s="3070"/>
      <c r="N240" s="3072">
        <f>L240*M240</f>
        <v>0</v>
      </c>
      <c r="O240" s="3072"/>
      <c r="P240" s="3084"/>
      <c r="Q240" s="3201"/>
    </row>
    <row r="241" spans="1:17" ht="15.75" hidden="1" x14ac:dyDescent="0.2">
      <c r="A241" s="3091" t="s">
        <v>4397</v>
      </c>
      <c r="B241" s="3091" t="s">
        <v>3105</v>
      </c>
      <c r="C241" s="3067" t="s">
        <v>3839</v>
      </c>
      <c r="D241" s="3091" t="s">
        <v>5352</v>
      </c>
      <c r="E241" s="3160"/>
      <c r="F241" s="3160"/>
      <c r="G241" s="3160"/>
      <c r="H241" s="3160"/>
      <c r="I241" s="3160"/>
      <c r="J241" s="3160"/>
      <c r="K241" s="3165"/>
      <c r="L241" s="3161"/>
      <c r="M241" s="3162"/>
      <c r="N241" s="3161"/>
      <c r="O241" s="3161"/>
      <c r="P241" s="3164" t="s">
        <v>5306</v>
      </c>
      <c r="Q241" s="3236"/>
    </row>
    <row r="242" spans="1:17" ht="15.75" hidden="1" x14ac:dyDescent="0.2">
      <c r="A242" s="3091" t="s">
        <v>4398</v>
      </c>
      <c r="B242" s="3091" t="s">
        <v>3113</v>
      </c>
      <c r="C242" s="3067" t="s">
        <v>3840</v>
      </c>
      <c r="D242" s="3091" t="s">
        <v>5352</v>
      </c>
      <c r="E242" s="3160"/>
      <c r="F242" s="3160"/>
      <c r="G242" s="3160"/>
      <c r="H242" s="3160"/>
      <c r="I242" s="3160"/>
      <c r="J242" s="3160"/>
      <c r="K242" s="3165"/>
      <c r="L242" s="3161"/>
      <c r="M242" s="3162"/>
      <c r="N242" s="3161"/>
      <c r="O242" s="3161"/>
      <c r="P242" s="3164" t="s">
        <v>5306</v>
      </c>
      <c r="Q242" s="3236"/>
    </row>
    <row r="243" spans="1:17" ht="15.75" hidden="1" x14ac:dyDescent="0.2">
      <c r="A243" s="3091" t="s">
        <v>4399</v>
      </c>
      <c r="B243" s="3091" t="s">
        <v>3119</v>
      </c>
      <c r="C243" s="3067" t="s">
        <v>4405</v>
      </c>
      <c r="D243" s="3091" t="s">
        <v>5352</v>
      </c>
      <c r="E243" s="3081"/>
      <c r="F243" s="3084"/>
      <c r="G243" s="3073"/>
      <c r="H243" s="3084"/>
      <c r="I243" s="3084"/>
      <c r="J243" s="3084"/>
      <c r="K243" s="3084"/>
      <c r="L243" s="3071"/>
      <c r="M243" s="3070"/>
      <c r="N243" s="3072">
        <f>L243*M243</f>
        <v>0</v>
      </c>
      <c r="O243" s="3072"/>
      <c r="P243" s="3084"/>
      <c r="Q243" s="3201"/>
    </row>
    <row r="244" spans="1:17" ht="99.75" x14ac:dyDescent="0.2">
      <c r="A244" s="3091" t="s">
        <v>4400</v>
      </c>
      <c r="B244" s="3091"/>
      <c r="C244" s="3067" t="s">
        <v>2977</v>
      </c>
      <c r="D244" s="3091" t="s">
        <v>5352</v>
      </c>
      <c r="E244" s="3084"/>
      <c r="F244" s="3084"/>
      <c r="G244" s="3084"/>
      <c r="H244" s="3084"/>
      <c r="I244" s="3084"/>
      <c r="J244" s="3695" t="s">
        <v>5974</v>
      </c>
      <c r="K244" s="3696">
        <f>30000*6</f>
        <v>180000</v>
      </c>
      <c r="L244" s="3702">
        <f>K244/100000</f>
        <v>1.8</v>
      </c>
      <c r="M244" s="3715">
        <v>15</v>
      </c>
      <c r="N244" s="3704">
        <f>L244*M244</f>
        <v>27</v>
      </c>
      <c r="O244" s="3698" t="s">
        <v>6003</v>
      </c>
      <c r="P244" s="3084"/>
      <c r="Q244" s="3201"/>
    </row>
    <row r="245" spans="1:17" ht="15.75" hidden="1" x14ac:dyDescent="0.2">
      <c r="A245" s="3094" t="s">
        <v>3942</v>
      </c>
      <c r="B245" s="3094"/>
      <c r="C245" s="3094" t="s">
        <v>2138</v>
      </c>
      <c r="D245" s="3094"/>
      <c r="E245" s="3014"/>
      <c r="F245" s="3014"/>
      <c r="G245" s="3095"/>
      <c r="H245" s="3095"/>
      <c r="I245" s="3095"/>
      <c r="J245" s="3014"/>
      <c r="K245" s="3014"/>
      <c r="L245" s="3094"/>
      <c r="M245" s="3014"/>
      <c r="N245" s="3095">
        <f>SUM(N246:N249)</f>
        <v>0</v>
      </c>
      <c r="O245" s="3095"/>
      <c r="P245" s="3185"/>
      <c r="Q245" s="3208">
        <f>SUM(Q246:Q249)</f>
        <v>0</v>
      </c>
    </row>
    <row r="246" spans="1:17" ht="15.75" hidden="1" x14ac:dyDescent="0.2">
      <c r="A246" s="3091" t="s">
        <v>4401</v>
      </c>
      <c r="B246" s="3186"/>
      <c r="C246" s="3187" t="s">
        <v>3846</v>
      </c>
      <c r="D246" s="3091" t="s">
        <v>5352</v>
      </c>
      <c r="E246" s="3086"/>
      <c r="F246" s="3086"/>
      <c r="G246" s="3086"/>
      <c r="H246" s="3086"/>
      <c r="I246" s="3086"/>
      <c r="J246" s="3086"/>
      <c r="K246" s="3196"/>
      <c r="L246" s="3071">
        <f>K246/100000</f>
        <v>0</v>
      </c>
      <c r="M246" s="3070"/>
      <c r="N246" s="3072">
        <f>L246*M246</f>
        <v>0</v>
      </c>
      <c r="O246" s="3072"/>
      <c r="P246" s="3084"/>
      <c r="Q246" s="3201"/>
    </row>
    <row r="247" spans="1:17" ht="31.5" hidden="1" x14ac:dyDescent="0.2">
      <c r="A247" s="3091" t="s">
        <v>4402</v>
      </c>
      <c r="B247" s="3091" t="s">
        <v>3106</v>
      </c>
      <c r="C247" s="3091" t="s">
        <v>3841</v>
      </c>
      <c r="D247" s="3091" t="s">
        <v>5352</v>
      </c>
      <c r="E247" s="3160"/>
      <c r="F247" s="3160"/>
      <c r="G247" s="3160"/>
      <c r="H247" s="3160"/>
      <c r="I247" s="3160"/>
      <c r="J247" s="3160"/>
      <c r="K247" s="3165"/>
      <c r="L247" s="3161"/>
      <c r="M247" s="3162"/>
      <c r="N247" s="3161"/>
      <c r="O247" s="3161"/>
      <c r="P247" s="3164" t="s">
        <v>5306</v>
      </c>
      <c r="Q247" s="3236"/>
    </row>
    <row r="248" spans="1:17" ht="31.5" hidden="1" x14ac:dyDescent="0.2">
      <c r="A248" s="3091" t="s">
        <v>4403</v>
      </c>
      <c r="B248" s="3091" t="s">
        <v>3114</v>
      </c>
      <c r="C248" s="3091" t="s">
        <v>3842</v>
      </c>
      <c r="D248" s="3091" t="s">
        <v>5352</v>
      </c>
      <c r="E248" s="3160"/>
      <c r="F248" s="3160"/>
      <c r="G248" s="3160"/>
      <c r="H248" s="3160"/>
      <c r="I248" s="3160"/>
      <c r="J248" s="3160"/>
      <c r="K248" s="3165"/>
      <c r="L248" s="3161"/>
      <c r="M248" s="3162"/>
      <c r="N248" s="3161"/>
      <c r="O248" s="3161"/>
      <c r="P248" s="3164" t="s">
        <v>5306</v>
      </c>
      <c r="Q248" s="3236"/>
    </row>
    <row r="249" spans="1:17" ht="31.5" hidden="1" x14ac:dyDescent="0.2">
      <c r="A249" s="3091" t="s">
        <v>4404</v>
      </c>
      <c r="B249" s="3091" t="s">
        <v>3120</v>
      </c>
      <c r="C249" s="3091" t="s">
        <v>4406</v>
      </c>
      <c r="D249" s="3091" t="s">
        <v>5352</v>
      </c>
      <c r="E249" s="3081"/>
      <c r="F249" s="3084"/>
      <c r="G249" s="3073"/>
      <c r="H249" s="3084"/>
      <c r="I249" s="3084"/>
      <c r="J249" s="3084"/>
      <c r="K249" s="3084"/>
      <c r="L249" s="3071"/>
      <c r="M249" s="3070"/>
      <c r="N249" s="3072">
        <f>L249*M249</f>
        <v>0</v>
      </c>
      <c r="O249" s="3072"/>
      <c r="P249" s="3084"/>
      <c r="Q249" s="3201"/>
    </row>
    <row r="250" spans="1:17" ht="15.75" hidden="1" x14ac:dyDescent="0.2">
      <c r="A250" s="3094" t="s">
        <v>3951</v>
      </c>
      <c r="B250" s="3094"/>
      <c r="C250" s="3094" t="s">
        <v>2311</v>
      </c>
      <c r="D250" s="3094"/>
      <c r="E250" s="3014"/>
      <c r="F250" s="3014"/>
      <c r="G250" s="3095"/>
      <c r="H250" s="3095"/>
      <c r="I250" s="3095"/>
      <c r="J250" s="3014"/>
      <c r="K250" s="3014"/>
      <c r="L250" s="3094"/>
      <c r="M250" s="3014"/>
      <c r="N250" s="3095">
        <f>N251</f>
        <v>0</v>
      </c>
      <c r="O250" s="3095"/>
      <c r="P250" s="3014"/>
      <c r="Q250" s="3208">
        <f>Q251</f>
        <v>0</v>
      </c>
    </row>
    <row r="251" spans="1:17" s="828" customFormat="1" ht="15.75" hidden="1" x14ac:dyDescent="0.2">
      <c r="A251" s="3188" t="s">
        <v>3952</v>
      </c>
      <c r="B251" s="3188" t="s">
        <v>3096</v>
      </c>
      <c r="C251" s="3188" t="s">
        <v>3097</v>
      </c>
      <c r="D251" s="3188"/>
      <c r="E251" s="3189"/>
      <c r="F251" s="3189"/>
      <c r="G251" s="3090"/>
      <c r="H251" s="3189"/>
      <c r="I251" s="3189"/>
      <c r="J251" s="3189"/>
      <c r="K251" s="3196"/>
      <c r="L251" s="3071"/>
      <c r="M251" s="3189"/>
      <c r="N251" s="3117">
        <f>SUM(N252:N254)</f>
        <v>0</v>
      </c>
      <c r="O251" s="3117"/>
      <c r="P251" s="3189"/>
      <c r="Q251" s="3217"/>
    </row>
    <row r="252" spans="1:17" s="828" customFormat="1" ht="15.75" hidden="1" x14ac:dyDescent="0.2">
      <c r="A252" s="3098" t="s">
        <v>3953</v>
      </c>
      <c r="B252" s="3091" t="s">
        <v>3098</v>
      </c>
      <c r="C252" s="3091" t="s">
        <v>3099</v>
      </c>
      <c r="D252" s="3091" t="s">
        <v>5352</v>
      </c>
      <c r="E252" s="3122"/>
      <c r="F252" s="3083"/>
      <c r="G252" s="3080"/>
      <c r="H252" s="3200"/>
      <c r="I252" s="3083"/>
      <c r="J252" s="3083"/>
      <c r="K252" s="3083"/>
      <c r="L252" s="3071"/>
      <c r="M252" s="3070"/>
      <c r="N252" s="3093">
        <f>L252*M252</f>
        <v>0</v>
      </c>
      <c r="O252" s="3093"/>
      <c r="P252" s="3083"/>
      <c r="Q252" s="3203"/>
    </row>
    <row r="253" spans="1:17" ht="15.75" hidden="1" x14ac:dyDescent="0.2">
      <c r="A253" s="3098" t="s">
        <v>3954</v>
      </c>
      <c r="B253" s="3067" t="s">
        <v>3100</v>
      </c>
      <c r="C253" s="3067" t="s">
        <v>3101</v>
      </c>
      <c r="D253" s="3091" t="s">
        <v>5352</v>
      </c>
      <c r="E253" s="3084"/>
      <c r="F253" s="3084"/>
      <c r="G253" s="3084"/>
      <c r="H253" s="3084"/>
      <c r="I253" s="3084"/>
      <c r="J253" s="3084"/>
      <c r="K253" s="3196"/>
      <c r="L253" s="3071">
        <f>K253/100000</f>
        <v>0</v>
      </c>
      <c r="M253" s="3070"/>
      <c r="N253" s="3072">
        <f>L253*M253</f>
        <v>0</v>
      </c>
      <c r="O253" s="3072"/>
      <c r="P253" s="3084"/>
      <c r="Q253" s="3201"/>
    </row>
    <row r="254" spans="1:17" ht="15.75" hidden="1" x14ac:dyDescent="0.2">
      <c r="A254" s="3098" t="s">
        <v>3955</v>
      </c>
      <c r="B254" s="3067"/>
      <c r="C254" s="3067" t="s">
        <v>2977</v>
      </c>
      <c r="D254" s="3091" t="s">
        <v>5352</v>
      </c>
      <c r="E254" s="3084"/>
      <c r="F254" s="3084"/>
      <c r="G254" s="3084"/>
      <c r="H254" s="3084"/>
      <c r="I254" s="3084"/>
      <c r="J254" s="3084"/>
      <c r="K254" s="3196"/>
      <c r="L254" s="3071">
        <f>K254/100000</f>
        <v>0</v>
      </c>
      <c r="M254" s="3070"/>
      <c r="N254" s="3072">
        <f>L254*M254</f>
        <v>0</v>
      </c>
      <c r="O254" s="3072"/>
      <c r="P254" s="3084"/>
      <c r="Q254" s="3201"/>
    </row>
    <row r="255" spans="1:17" ht="15.75" hidden="1" x14ac:dyDescent="0.2">
      <c r="A255" s="3065" t="s">
        <v>3292</v>
      </c>
      <c r="B255" s="3065"/>
      <c r="C255" s="3065" t="s">
        <v>2914</v>
      </c>
      <c r="D255" s="3065"/>
      <c r="E255" s="3190"/>
      <c r="F255" s="3190"/>
      <c r="G255" s="3190"/>
      <c r="H255" s="3190"/>
      <c r="I255" s="3190"/>
      <c r="J255" s="3190"/>
      <c r="K255" s="3165"/>
      <c r="L255" s="3161"/>
      <c r="M255" s="3162"/>
      <c r="N255" s="3161"/>
      <c r="O255" s="3161"/>
      <c r="P255" s="3164" t="s">
        <v>5306</v>
      </c>
      <c r="Q255" s="3236"/>
    </row>
    <row r="256" spans="1:17" ht="15.75" hidden="1" x14ac:dyDescent="0.2">
      <c r="A256" s="3065" t="s">
        <v>3293</v>
      </c>
      <c r="B256" s="3065"/>
      <c r="C256" s="3065" t="s">
        <v>2916</v>
      </c>
      <c r="D256" s="3065"/>
      <c r="E256" s="3190"/>
      <c r="F256" s="3190"/>
      <c r="G256" s="3190"/>
      <c r="H256" s="3190"/>
      <c r="I256" s="3190"/>
      <c r="J256" s="3190"/>
      <c r="K256" s="3165"/>
      <c r="L256" s="3161"/>
      <c r="M256" s="3162"/>
      <c r="N256" s="3161"/>
      <c r="O256" s="3161"/>
      <c r="P256" s="3164" t="s">
        <v>5306</v>
      </c>
      <c r="Q256" s="3236"/>
    </row>
    <row r="257" spans="1:17" ht="15.75" hidden="1" x14ac:dyDescent="0.2">
      <c r="A257" s="3065" t="s">
        <v>3294</v>
      </c>
      <c r="B257" s="3065"/>
      <c r="C257" s="3065" t="s">
        <v>41</v>
      </c>
      <c r="D257" s="3065"/>
      <c r="E257" s="3015"/>
      <c r="F257" s="3015"/>
      <c r="G257" s="3066"/>
      <c r="H257" s="3066"/>
      <c r="I257" s="3066"/>
      <c r="J257" s="3015"/>
      <c r="K257" s="3015"/>
      <c r="L257" s="3065"/>
      <c r="M257" s="3015"/>
      <c r="N257" s="3066">
        <f>N258+N262+N265+N268+N269</f>
        <v>0</v>
      </c>
      <c r="O257" s="3066"/>
      <c r="P257" s="3015"/>
      <c r="Q257" s="3210">
        <f>Q258+Q262+Q265+Q268+Q269</f>
        <v>0</v>
      </c>
    </row>
    <row r="258" spans="1:17" ht="15.75" hidden="1" x14ac:dyDescent="0.2">
      <c r="A258" s="3094" t="s">
        <v>3295</v>
      </c>
      <c r="B258" s="3094" t="s">
        <v>3102</v>
      </c>
      <c r="C258" s="3094" t="s">
        <v>3103</v>
      </c>
      <c r="D258" s="3094"/>
      <c r="E258" s="3160"/>
      <c r="F258" s="3160"/>
      <c r="G258" s="3160"/>
      <c r="H258" s="3160"/>
      <c r="I258" s="3160"/>
      <c r="J258" s="3160"/>
      <c r="K258" s="3165"/>
      <c r="L258" s="3161"/>
      <c r="M258" s="3162"/>
      <c r="N258" s="3161"/>
      <c r="O258" s="3161"/>
      <c r="P258" s="3164" t="s">
        <v>5306</v>
      </c>
      <c r="Q258" s="3236"/>
    </row>
    <row r="259" spans="1:17" ht="15.75" hidden="1" x14ac:dyDescent="0.2">
      <c r="A259" s="3067" t="s">
        <v>3943</v>
      </c>
      <c r="B259" s="3067" t="s">
        <v>3104</v>
      </c>
      <c r="C259" s="3067" t="s">
        <v>41</v>
      </c>
      <c r="D259" s="3091" t="s">
        <v>5352</v>
      </c>
      <c r="E259" s="3160"/>
      <c r="F259" s="3160"/>
      <c r="G259" s="3160"/>
      <c r="H259" s="3160"/>
      <c r="I259" s="3160"/>
      <c r="J259" s="3160"/>
      <c r="K259" s="3165"/>
      <c r="L259" s="3161"/>
      <c r="M259" s="3162"/>
      <c r="N259" s="3161"/>
      <c r="O259" s="3161"/>
      <c r="P259" s="3164" t="s">
        <v>5306</v>
      </c>
      <c r="Q259" s="3236"/>
    </row>
    <row r="260" spans="1:17" ht="15.75" hidden="1" x14ac:dyDescent="0.2">
      <c r="A260" s="3091" t="s">
        <v>3944</v>
      </c>
      <c r="B260" s="3067" t="s">
        <v>3107</v>
      </c>
      <c r="C260" s="3067" t="s">
        <v>3108</v>
      </c>
      <c r="D260" s="3091" t="s">
        <v>5352</v>
      </c>
      <c r="E260" s="3160"/>
      <c r="F260" s="3160"/>
      <c r="G260" s="3160"/>
      <c r="H260" s="3160"/>
      <c r="I260" s="3160"/>
      <c r="J260" s="3160"/>
      <c r="K260" s="3165"/>
      <c r="L260" s="3161"/>
      <c r="M260" s="3162"/>
      <c r="N260" s="3161"/>
      <c r="O260" s="3161"/>
      <c r="P260" s="3164" t="s">
        <v>5306</v>
      </c>
      <c r="Q260" s="3236"/>
    </row>
    <row r="261" spans="1:17" ht="15.75" hidden="1" x14ac:dyDescent="0.2">
      <c r="A261" s="3067" t="s">
        <v>3945</v>
      </c>
      <c r="B261" s="3067" t="s">
        <v>3109</v>
      </c>
      <c r="C261" s="3067" t="s">
        <v>2977</v>
      </c>
      <c r="D261" s="3091" t="s">
        <v>5352</v>
      </c>
      <c r="E261" s="3160"/>
      <c r="F261" s="3160"/>
      <c r="G261" s="3160"/>
      <c r="H261" s="3160"/>
      <c r="I261" s="3160"/>
      <c r="J261" s="3160"/>
      <c r="K261" s="3165"/>
      <c r="L261" s="3161"/>
      <c r="M261" s="3162"/>
      <c r="N261" s="3161"/>
      <c r="O261" s="3161"/>
      <c r="P261" s="3164" t="s">
        <v>5306</v>
      </c>
      <c r="Q261" s="3236"/>
    </row>
    <row r="262" spans="1:17" ht="15.75" hidden="1" x14ac:dyDescent="0.2">
      <c r="A262" s="3094" t="s">
        <v>3843</v>
      </c>
      <c r="B262" s="3094" t="s">
        <v>3110</v>
      </c>
      <c r="C262" s="3094" t="s">
        <v>3111</v>
      </c>
      <c r="D262" s="3094"/>
      <c r="E262" s="3160"/>
      <c r="F262" s="3160"/>
      <c r="G262" s="3160"/>
      <c r="H262" s="3160"/>
      <c r="I262" s="3160"/>
      <c r="J262" s="3160"/>
      <c r="K262" s="3165"/>
      <c r="L262" s="3161"/>
      <c r="M262" s="3162"/>
      <c r="N262" s="3161"/>
      <c r="O262" s="3161"/>
      <c r="P262" s="3164" t="s">
        <v>5306</v>
      </c>
      <c r="Q262" s="3236"/>
    </row>
    <row r="263" spans="1:17" ht="15.75" hidden="1" x14ac:dyDescent="0.2">
      <c r="A263" s="3067" t="s">
        <v>3946</v>
      </c>
      <c r="B263" s="3067" t="s">
        <v>3112</v>
      </c>
      <c r="C263" s="3067" t="s">
        <v>41</v>
      </c>
      <c r="D263" s="3091" t="s">
        <v>5352</v>
      </c>
      <c r="E263" s="3160"/>
      <c r="F263" s="3160"/>
      <c r="G263" s="3160"/>
      <c r="H263" s="3160"/>
      <c r="I263" s="3160"/>
      <c r="J263" s="3160"/>
      <c r="K263" s="3165"/>
      <c r="L263" s="3161"/>
      <c r="M263" s="3162"/>
      <c r="N263" s="3161"/>
      <c r="O263" s="3161"/>
      <c r="P263" s="3164" t="s">
        <v>5306</v>
      </c>
      <c r="Q263" s="3236"/>
    </row>
    <row r="264" spans="1:17" ht="15.75" hidden="1" x14ac:dyDescent="0.2">
      <c r="A264" s="3091" t="s">
        <v>3947</v>
      </c>
      <c r="B264" s="3067" t="s">
        <v>3115</v>
      </c>
      <c r="C264" s="3067" t="s">
        <v>2977</v>
      </c>
      <c r="D264" s="3091" t="s">
        <v>5352</v>
      </c>
      <c r="E264" s="3160"/>
      <c r="F264" s="3160"/>
      <c r="G264" s="3160"/>
      <c r="H264" s="3160"/>
      <c r="I264" s="3160"/>
      <c r="J264" s="3160"/>
      <c r="K264" s="3165"/>
      <c r="L264" s="3161"/>
      <c r="M264" s="3162"/>
      <c r="N264" s="3161"/>
      <c r="O264" s="3161"/>
      <c r="P264" s="3164" t="s">
        <v>5306</v>
      </c>
      <c r="Q264" s="3236"/>
    </row>
    <row r="265" spans="1:17" ht="15.75" hidden="1" x14ac:dyDescent="0.2">
      <c r="A265" s="3094" t="s">
        <v>3844</v>
      </c>
      <c r="B265" s="3094" t="s">
        <v>3116</v>
      </c>
      <c r="C265" s="3094" t="s">
        <v>3117</v>
      </c>
      <c r="D265" s="3094"/>
      <c r="E265" s="3014"/>
      <c r="F265" s="3014"/>
      <c r="G265" s="3095"/>
      <c r="H265" s="3095"/>
      <c r="I265" s="3095"/>
      <c r="J265" s="3014"/>
      <c r="K265" s="3014"/>
      <c r="L265" s="3094"/>
      <c r="M265" s="3014"/>
      <c r="N265" s="3095">
        <f>SUM(N266:N267)</f>
        <v>0</v>
      </c>
      <c r="O265" s="3095"/>
      <c r="P265" s="3014"/>
      <c r="Q265" s="3208">
        <f>SUM(Q266:Q267)</f>
        <v>0</v>
      </c>
    </row>
    <row r="266" spans="1:17" ht="15.75" hidden="1" x14ac:dyDescent="0.2">
      <c r="A266" s="3067" t="s">
        <v>3948</v>
      </c>
      <c r="B266" s="3067" t="s">
        <v>3118</v>
      </c>
      <c r="C266" s="3067" t="s">
        <v>41</v>
      </c>
      <c r="D266" s="3091" t="s">
        <v>5352</v>
      </c>
      <c r="E266" s="3081"/>
      <c r="F266" s="3082"/>
      <c r="G266" s="3080"/>
      <c r="H266" s="3226"/>
      <c r="I266" s="3082"/>
      <c r="J266" s="3083"/>
      <c r="K266" s="3082"/>
      <c r="L266" s="3071"/>
      <c r="M266" s="3081"/>
      <c r="N266" s="3072">
        <f>L266*M266</f>
        <v>0</v>
      </c>
      <c r="O266" s="3072"/>
      <c r="P266" s="3084"/>
      <c r="Q266" s="3201"/>
    </row>
    <row r="267" spans="1:17" ht="15.75" hidden="1" x14ac:dyDescent="0.2">
      <c r="A267" s="3091" t="s">
        <v>3949</v>
      </c>
      <c r="B267" s="3067" t="s">
        <v>3121</v>
      </c>
      <c r="C267" s="3067" t="s">
        <v>2977</v>
      </c>
      <c r="D267" s="3091" t="s">
        <v>5352</v>
      </c>
      <c r="E267" s="3081"/>
      <c r="F267" s="3082"/>
      <c r="G267" s="3080"/>
      <c r="H267" s="3226"/>
      <c r="I267" s="3082"/>
      <c r="J267" s="3083"/>
      <c r="K267" s="3082"/>
      <c r="L267" s="3071"/>
      <c r="M267" s="3081"/>
      <c r="N267" s="3072">
        <f>L267*M267</f>
        <v>0</v>
      </c>
      <c r="O267" s="3072"/>
      <c r="P267" s="3084"/>
      <c r="Q267" s="3201"/>
    </row>
    <row r="268" spans="1:17" ht="15.75" hidden="1" x14ac:dyDescent="0.2">
      <c r="A268" s="3094" t="s">
        <v>3845</v>
      </c>
      <c r="B268" s="3094"/>
      <c r="C268" s="3094" t="s">
        <v>38</v>
      </c>
      <c r="D268" s="3091" t="s">
        <v>5352</v>
      </c>
      <c r="E268" s="3014"/>
      <c r="F268" s="3014"/>
      <c r="G268" s="3176"/>
      <c r="H268" s="3176"/>
      <c r="I268" s="3014"/>
      <c r="J268" s="3083"/>
      <c r="K268" s="3014"/>
      <c r="L268" s="3066"/>
      <c r="M268" s="3014"/>
      <c r="N268" s="3095">
        <f>M268*L268</f>
        <v>0</v>
      </c>
      <c r="O268" s="3095"/>
      <c r="P268" s="3014"/>
      <c r="Q268" s="3208"/>
    </row>
    <row r="269" spans="1:17" ht="15.75" hidden="1" x14ac:dyDescent="0.2">
      <c r="A269" s="3094" t="s">
        <v>3950</v>
      </c>
      <c r="B269" s="3094"/>
      <c r="C269" s="3094" t="s">
        <v>39</v>
      </c>
      <c r="D269" s="3091" t="s">
        <v>5352</v>
      </c>
      <c r="E269" s="3014"/>
      <c r="F269" s="3014"/>
      <c r="G269" s="3176"/>
      <c r="H269" s="3176"/>
      <c r="I269" s="3014"/>
      <c r="J269" s="3083"/>
      <c r="K269" s="3014"/>
      <c r="L269" s="3066"/>
      <c r="M269" s="3014"/>
      <c r="N269" s="3095">
        <f>M269*L269</f>
        <v>0</v>
      </c>
      <c r="O269" s="3095"/>
      <c r="P269" s="3014"/>
      <c r="Q269" s="3208"/>
    </row>
    <row r="270" spans="1:17" ht="15.75" hidden="1" x14ac:dyDescent="0.2">
      <c r="A270" s="3063" t="s">
        <v>3296</v>
      </c>
      <c r="B270" s="3063"/>
      <c r="C270" s="3063" t="s">
        <v>3122</v>
      </c>
      <c r="D270" s="3063"/>
      <c r="E270" s="3087"/>
      <c r="F270" s="3156"/>
      <c r="G270" s="3156"/>
      <c r="H270" s="3156"/>
      <c r="I270" s="3156"/>
      <c r="J270" s="3087"/>
      <c r="K270" s="3087"/>
      <c r="L270" s="3063"/>
      <c r="M270" s="3087"/>
      <c r="N270" s="3064">
        <f>SUM(N271:N272)</f>
        <v>171.50400000000002</v>
      </c>
      <c r="O270" s="3064"/>
      <c r="P270" s="3087"/>
      <c r="Q270" s="3211">
        <f>SUM(Q271:Q272)</f>
        <v>0</v>
      </c>
    </row>
    <row r="271" spans="1:17" ht="31.5" hidden="1" x14ac:dyDescent="0.2">
      <c r="A271" s="3067" t="s">
        <v>3297</v>
      </c>
      <c r="B271" s="3155"/>
      <c r="C271" s="3193" t="s">
        <v>3933</v>
      </c>
      <c r="D271" s="3193" t="s">
        <v>5347</v>
      </c>
      <c r="E271" s="3081"/>
      <c r="F271" s="3194"/>
      <c r="G271" s="3073"/>
      <c r="H271" s="3194"/>
      <c r="I271" s="3194"/>
      <c r="J271" s="3194"/>
      <c r="K271" s="3194"/>
      <c r="L271" s="3071"/>
      <c r="M271" s="3081"/>
      <c r="N271" s="3072">
        <f>L271*M271</f>
        <v>0</v>
      </c>
      <c r="O271" s="3072"/>
      <c r="P271" s="3084"/>
      <c r="Q271" s="3201"/>
    </row>
    <row r="272" spans="1:17" ht="42.75" x14ac:dyDescent="0.2">
      <c r="A272" s="3130" t="s">
        <v>3934</v>
      </c>
      <c r="B272" s="3155"/>
      <c r="C272" s="3067" t="s">
        <v>2977</v>
      </c>
      <c r="D272" s="3067" t="s">
        <v>3303</v>
      </c>
      <c r="E272" s="3081"/>
      <c r="F272" s="3194"/>
      <c r="G272" s="3073"/>
      <c r="H272" s="3194"/>
      <c r="I272" s="3194"/>
      <c r="J272" s="3716" t="s">
        <v>6004</v>
      </c>
      <c r="K272" s="3716">
        <f>158800*3</f>
        <v>476400</v>
      </c>
      <c r="L272" s="3702">
        <f>K272/100000</f>
        <v>4.7640000000000002</v>
      </c>
      <c r="M272" s="3703">
        <v>36</v>
      </c>
      <c r="N272" s="3704">
        <f>L272*M272</f>
        <v>171.50400000000002</v>
      </c>
      <c r="O272" s="3691" t="s">
        <v>6005</v>
      </c>
      <c r="P272" s="3084"/>
      <c r="Q272" s="3201"/>
    </row>
    <row r="273" spans="1:17" ht="15.75" hidden="1" x14ac:dyDescent="0.2">
      <c r="A273" s="3063" t="s">
        <v>3298</v>
      </c>
      <c r="B273" s="3063"/>
      <c r="C273" s="3063" t="s">
        <v>3123</v>
      </c>
      <c r="D273" s="3063"/>
      <c r="E273" s="3087"/>
      <c r="F273" s="3087"/>
      <c r="G273" s="3064">
        <f>G274</f>
        <v>0</v>
      </c>
      <c r="H273" s="3064">
        <f>H274</f>
        <v>0</v>
      </c>
      <c r="I273" s="3064">
        <f>I274</f>
        <v>0</v>
      </c>
      <c r="J273" s="3087"/>
      <c r="K273" s="3087"/>
      <c r="L273" s="3063"/>
      <c r="M273" s="3087"/>
      <c r="N273" s="3064">
        <f>N274</f>
        <v>0</v>
      </c>
      <c r="O273" s="3064"/>
      <c r="P273" s="3087"/>
      <c r="Q273" s="3211">
        <f>Q274</f>
        <v>0</v>
      </c>
    </row>
    <row r="274" spans="1:17" ht="15.75" hidden="1" x14ac:dyDescent="0.2">
      <c r="A274" s="3067" t="s">
        <v>3935</v>
      </c>
      <c r="B274" s="3155"/>
      <c r="C274" s="3155" t="s">
        <v>4408</v>
      </c>
      <c r="D274" s="3155" t="s">
        <v>3303</v>
      </c>
      <c r="E274" s="3119"/>
      <c r="F274" s="3119"/>
      <c r="G274" s="3119"/>
      <c r="H274" s="3119"/>
      <c r="I274" s="3119"/>
      <c r="J274" s="3119"/>
      <c r="K274" s="3196"/>
      <c r="L274" s="3071">
        <f>K274/100000</f>
        <v>0</v>
      </c>
      <c r="M274" s="3070"/>
      <c r="N274" s="3072">
        <f>L274*M274</f>
        <v>0</v>
      </c>
      <c r="O274" s="3072"/>
      <c r="P274" s="3084"/>
      <c r="Q274" s="3201"/>
    </row>
    <row r="275" spans="1:17" hidden="1" x14ac:dyDescent="0.2">
      <c r="N275" s="2875"/>
      <c r="O275" s="2877"/>
    </row>
    <row r="276" spans="1:17" hidden="1" x14ac:dyDescent="0.2">
      <c r="O276" s="2877"/>
    </row>
    <row r="277" spans="1:17" hidden="1" x14ac:dyDescent="0.2">
      <c r="L277" s="870"/>
      <c r="M277" s="2843" t="s">
        <v>5740</v>
      </c>
      <c r="N277" s="2843" t="s">
        <v>5741</v>
      </c>
    </row>
    <row r="278" spans="1:17" hidden="1" x14ac:dyDescent="0.2">
      <c r="L278" s="870">
        <v>1</v>
      </c>
      <c r="M278" s="2844"/>
      <c r="N278" s="2876"/>
    </row>
    <row r="279" spans="1:17" hidden="1" x14ac:dyDescent="0.2">
      <c r="L279" s="870">
        <v>2</v>
      </c>
      <c r="M279" s="2844"/>
      <c r="N279" s="2876"/>
    </row>
    <row r="280" spans="1:17" hidden="1" x14ac:dyDescent="0.2">
      <c r="L280" s="870">
        <v>3</v>
      </c>
      <c r="M280" s="2844"/>
      <c r="N280" s="2876"/>
    </row>
    <row r="281" spans="1:17" hidden="1" x14ac:dyDescent="0.2">
      <c r="L281" s="870">
        <v>4</v>
      </c>
      <c r="M281" s="2844"/>
      <c r="N281" s="2842"/>
    </row>
    <row r="282" spans="1:17" x14ac:dyDescent="0.2">
      <c r="L282" s="870"/>
      <c r="M282" s="2844"/>
      <c r="N282" s="2876"/>
      <c r="Q282" s="2876"/>
    </row>
    <row r="283" spans="1:17" x14ac:dyDescent="0.2">
      <c r="L283" s="870"/>
      <c r="M283" s="2844"/>
      <c r="N283" s="2876"/>
      <c r="Q283" s="2876"/>
    </row>
    <row r="284" spans="1:17" x14ac:dyDescent="0.2">
      <c r="L284" s="870"/>
      <c r="M284" s="2844"/>
      <c r="N284" s="2842"/>
      <c r="Q284" s="2842"/>
    </row>
    <row r="285" spans="1:17" x14ac:dyDescent="0.2">
      <c r="L285" s="870"/>
      <c r="M285" s="2844"/>
      <c r="N285" s="2842"/>
      <c r="Q285" s="2842"/>
    </row>
    <row r="286" spans="1:17" x14ac:dyDescent="0.2">
      <c r="L286" s="870"/>
      <c r="M286" s="2844"/>
      <c r="N286" s="2842"/>
      <c r="Q286" s="2842"/>
    </row>
    <row r="287" spans="1:17" x14ac:dyDescent="0.2">
      <c r="L287" s="870"/>
      <c r="M287" s="2844"/>
      <c r="N287" s="2842"/>
      <c r="Q287" s="2842"/>
    </row>
    <row r="288" spans="1:17" x14ac:dyDescent="0.2">
      <c r="L288" s="870"/>
      <c r="M288" s="2844"/>
      <c r="N288" s="2842"/>
      <c r="Q288" s="2842"/>
    </row>
    <row r="289" spans="12:17" x14ac:dyDescent="0.2">
      <c r="L289" s="870"/>
      <c r="M289" s="2844"/>
      <c r="N289" s="2876"/>
      <c r="Q289" s="2876"/>
    </row>
    <row r="290" spans="12:17" x14ac:dyDescent="0.2">
      <c r="L290" s="870"/>
      <c r="M290" s="2844"/>
      <c r="N290" s="2876"/>
      <c r="Q290" s="2876"/>
    </row>
    <row r="291" spans="12:17" x14ac:dyDescent="0.2">
      <c r="L291" s="870"/>
      <c r="M291" s="2844"/>
      <c r="N291" s="2876"/>
      <c r="Q291" s="2876"/>
    </row>
    <row r="292" spans="12:17" x14ac:dyDescent="0.2">
      <c r="L292" s="870"/>
      <c r="M292" s="2844"/>
      <c r="N292" s="2842"/>
      <c r="Q292" s="2842"/>
    </row>
    <row r="293" spans="12:17" x14ac:dyDescent="0.2">
      <c r="L293" s="870"/>
      <c r="M293" s="2844"/>
      <c r="N293" s="2842"/>
      <c r="Q293" s="2842"/>
    </row>
    <row r="294" spans="12:17" x14ac:dyDescent="0.2">
      <c r="L294" s="870"/>
      <c r="M294" s="2844"/>
      <c r="N294" s="2842"/>
      <c r="Q294" s="2842"/>
    </row>
    <row r="295" spans="12:17" x14ac:dyDescent="0.2">
      <c r="L295" s="870"/>
      <c r="M295" s="2844"/>
      <c r="N295" s="2842"/>
      <c r="Q295" s="2842"/>
    </row>
    <row r="296" spans="12:17" x14ac:dyDescent="0.2">
      <c r="M296" s="2845"/>
      <c r="N296" s="2845"/>
      <c r="Q296" s="2845"/>
    </row>
  </sheetData>
  <sheetProtection formatCells="0" formatColumns="0" formatRows="0" autoFilter="0"/>
  <autoFilter ref="A6:Q281">
    <filterColumn colId="14">
      <customFilters>
        <customFilter operator="notEqual" val=" "/>
      </customFilters>
    </filterColumn>
  </autoFilter>
  <mergeCells count="9">
    <mergeCell ref="A1:Q1"/>
    <mergeCell ref="A5:A6"/>
    <mergeCell ref="B5:B6"/>
    <mergeCell ref="C5:C6"/>
    <mergeCell ref="E5:I5"/>
    <mergeCell ref="J5:O5"/>
    <mergeCell ref="P5:Q5"/>
    <mergeCell ref="D5:D6"/>
    <mergeCell ref="A2:A4"/>
  </mergeCells>
  <phoneticPr fontId="57" type="noConversion"/>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8" tint="0.79998168889431442"/>
  </sheetPr>
  <dimension ref="A1:T481"/>
  <sheetViews>
    <sheetView zoomScale="70" zoomScaleNormal="70" workbookViewId="0">
      <pane xSplit="3" ySplit="5" topLeftCell="L454" activePane="bottomRight" state="frozen"/>
      <selection activeCell="A4" sqref="A4:R5"/>
      <selection pane="topRight" activeCell="A4" sqref="A4:R5"/>
      <selection pane="bottomLeft" activeCell="A4" sqref="A4:R5"/>
      <selection pane="bottomRight" activeCell="S1" sqref="S1:S1048576"/>
    </sheetView>
  </sheetViews>
  <sheetFormatPr defaultColWidth="9.140625" defaultRowHeight="15" x14ac:dyDescent="0.2"/>
  <cols>
    <col min="1" max="1" width="10.85546875" style="881" customWidth="1"/>
    <col min="2" max="2" width="17.7109375" style="881" hidden="1" customWidth="1"/>
    <col min="3" max="3" width="45" style="826" customWidth="1"/>
    <col min="4" max="4" width="9" style="835" hidden="1" customWidth="1"/>
    <col min="5" max="5" width="16.85546875" style="835" hidden="1" customWidth="1"/>
    <col min="6" max="6" width="16.42578125" style="835" hidden="1" customWidth="1"/>
    <col min="7" max="7" width="15.42578125" style="835" hidden="1" customWidth="1"/>
    <col min="8" max="8" width="18.28515625" style="956" hidden="1" customWidth="1"/>
    <col min="9" max="9" width="17.28515625" style="835" hidden="1" customWidth="1"/>
    <col min="10" max="10" width="17.5703125" style="956" hidden="1" customWidth="1"/>
    <col min="11" max="11" width="14.7109375" style="835" hidden="1" customWidth="1"/>
    <col min="12" max="12" width="19.7109375" style="956" customWidth="1"/>
    <col min="13" max="13" width="12.140625" style="956" hidden="1" customWidth="1"/>
    <col min="14" max="14" width="11.85546875" style="835" customWidth="1"/>
    <col min="15" max="15" width="10" style="956" customWidth="1"/>
    <col min="16" max="16" width="43.85546875" style="881" hidden="1" customWidth="1"/>
    <col min="17" max="17" width="70.5703125" style="881" customWidth="1"/>
    <col min="18" max="18" width="14.28515625" style="956" bestFit="1" customWidth="1"/>
    <col min="19" max="19" width="66.5703125" style="826" customWidth="1"/>
    <col min="20" max="20" width="13.42578125" style="826" customWidth="1"/>
    <col min="21" max="16384" width="9.140625" style="826"/>
  </cols>
  <sheetData>
    <row r="1" spans="1:20" x14ac:dyDescent="0.2">
      <c r="A1" s="4052" t="s">
        <v>3305</v>
      </c>
      <c r="B1" s="4053"/>
      <c r="C1" s="4054"/>
      <c r="D1" s="1854"/>
      <c r="F1" s="1855"/>
      <c r="G1" s="1101"/>
      <c r="H1" s="1101"/>
      <c r="I1" s="1856"/>
      <c r="J1" s="1857"/>
      <c r="K1" s="1857"/>
      <c r="L1" s="1858"/>
      <c r="M1" s="1857"/>
      <c r="T1" s="3313"/>
    </row>
    <row r="2" spans="1:20" x14ac:dyDescent="0.2">
      <c r="A2" s="1859" t="str">
        <f>HYPERLINK("#Index!F3", "Index Pg")</f>
        <v>Index Pg</v>
      </c>
      <c r="B2" s="1367"/>
      <c r="C2" s="1860" t="str">
        <f>HYPERLINK("#'Budget Summary I'!A1:AL1", "Budget Summary I")</f>
        <v>Budget Summary I</v>
      </c>
      <c r="D2" s="958"/>
      <c r="E2" s="1861" t="s">
        <v>4608</v>
      </c>
      <c r="F2" s="1103">
        <f>R6+R101+R196+R288+R341+R377+R394+R432+R444+R446+R476</f>
        <v>0</v>
      </c>
      <c r="G2" s="1103"/>
      <c r="H2" s="1862"/>
      <c r="I2" s="1103"/>
      <c r="J2" s="1858"/>
      <c r="K2" s="1092"/>
      <c r="L2" s="1858"/>
      <c r="M2" s="1103"/>
      <c r="T2" s="3313"/>
    </row>
    <row r="3" spans="1:20" x14ac:dyDescent="0.2">
      <c r="A3" s="1863"/>
      <c r="B3" s="1864"/>
      <c r="C3" s="1865" t="str">
        <f>HYPERLINK("#'Budget Summary II'!A3:B5", "Budget Summary II")</f>
        <v>Budget Summary II</v>
      </c>
      <c r="D3" s="1866"/>
      <c r="E3" s="1867" t="s">
        <v>4609</v>
      </c>
      <c r="F3" s="1103">
        <f>O6+O101+O196+O288+O341+O377+O394+O432+O444+O446+O476</f>
        <v>2287.6529</v>
      </c>
      <c r="G3" s="1103"/>
      <c r="H3" s="1862"/>
      <c r="J3" s="1868"/>
      <c r="K3" s="1092"/>
      <c r="L3" s="1858"/>
      <c r="M3" s="1858"/>
      <c r="T3" s="3313"/>
    </row>
    <row r="4" spans="1:20" s="835" customForma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20" s="835" customFormat="1" ht="45" x14ac:dyDescent="0.2">
      <c r="A5" s="3823"/>
      <c r="B5" s="3823"/>
      <c r="C5" s="3823"/>
      <c r="D5" s="3823"/>
      <c r="E5" s="3823"/>
      <c r="F5" s="896" t="s">
        <v>4630</v>
      </c>
      <c r="G5" s="896" t="s">
        <v>4638</v>
      </c>
      <c r="H5" s="896" t="s">
        <v>4631</v>
      </c>
      <c r="I5" s="896" t="s">
        <v>4639</v>
      </c>
      <c r="J5" s="896" t="s">
        <v>2538</v>
      </c>
      <c r="K5" s="897" t="s">
        <v>58</v>
      </c>
      <c r="L5" s="898" t="s">
        <v>59</v>
      </c>
      <c r="M5" s="898" t="s">
        <v>60</v>
      </c>
      <c r="N5" s="897" t="s">
        <v>61</v>
      </c>
      <c r="O5" s="898" t="s">
        <v>62</v>
      </c>
      <c r="P5" s="897" t="s">
        <v>63</v>
      </c>
      <c r="Q5" s="899" t="s">
        <v>2540</v>
      </c>
      <c r="R5" s="900" t="s">
        <v>4671</v>
      </c>
      <c r="T5" s="955"/>
    </row>
    <row r="6" spans="1:20" s="828" customFormat="1" x14ac:dyDescent="0.2">
      <c r="A6" s="1869" t="s">
        <v>4358</v>
      </c>
      <c r="B6" s="1869"/>
      <c r="C6" s="1870" t="s">
        <v>5366</v>
      </c>
      <c r="D6" s="1871"/>
      <c r="E6" s="1871"/>
      <c r="F6" s="1871"/>
      <c r="G6" s="1871"/>
      <c r="H6" s="1872"/>
      <c r="I6" s="1871"/>
      <c r="J6" s="1872"/>
      <c r="K6" s="1871"/>
      <c r="L6" s="1872"/>
      <c r="M6" s="1872"/>
      <c r="N6" s="1873"/>
      <c r="O6" s="1872">
        <f>O7+O20+O26+O35+O54+O56+O90+O92+O96+O31</f>
        <v>2024.9999</v>
      </c>
      <c r="P6" s="1874"/>
      <c r="Q6" s="1874"/>
      <c r="R6" s="1872">
        <f>R7+R20+R26+R35+R54+R56+R90+R92+R96+R31</f>
        <v>0</v>
      </c>
      <c r="T6" s="3314"/>
    </row>
    <row r="7" spans="1:20" s="828" customFormat="1" x14ac:dyDescent="0.2">
      <c r="A7" s="1875">
        <f>'1.SD Facility Based Annex'!A7</f>
        <v>1</v>
      </c>
      <c r="B7" s="1875">
        <f>'1.SD Facility Based Annex'!B7</f>
        <v>0</v>
      </c>
      <c r="C7" s="1876" t="str">
        <f>'1.SD Facility Based Annex'!C7</f>
        <v>Service Delivery - Facility Based</v>
      </c>
      <c r="D7" s="1877"/>
      <c r="E7" s="1877"/>
      <c r="F7" s="1877"/>
      <c r="G7" s="1877"/>
      <c r="H7" s="1877"/>
      <c r="I7" s="1877"/>
      <c r="J7" s="1877"/>
      <c r="K7" s="1877"/>
      <c r="L7" s="969"/>
      <c r="M7" s="1877"/>
      <c r="N7" s="1877"/>
      <c r="O7" s="969">
        <f>SUM(O8:O14)</f>
        <v>0</v>
      </c>
      <c r="P7" s="1875"/>
      <c r="Q7" s="1875"/>
      <c r="R7" s="969">
        <f>SUM(R8:R14)</f>
        <v>0</v>
      </c>
      <c r="T7" s="3314"/>
    </row>
    <row r="8" spans="1:20" s="828" customFormat="1" ht="45.75" customHeight="1" x14ac:dyDescent="0.2">
      <c r="A8" s="1878" t="str">
        <f>'1.SD Facility Based Annex'!A10</f>
        <v>1.1.1.1</v>
      </c>
      <c r="B8" s="1878" t="str">
        <f>'1.SD Facility Based Annex'!B10</f>
        <v>A.1.5.4</v>
      </c>
      <c r="C8" s="1879" t="str">
        <f>'1.SD Facility Based Annex'!C10</f>
        <v>PMSMA activities at State/ District level</v>
      </c>
      <c r="D8" s="1880" t="str">
        <f>'1.SD Facility Based Annex'!D10</f>
        <v>RCH</v>
      </c>
      <c r="E8" s="1880" t="str">
        <f>'1.SD Facility Based Annex'!E10</f>
        <v>MH</v>
      </c>
      <c r="F8" s="1880">
        <f>'1.SD Facility Based Annex'!F10</f>
        <v>0</v>
      </c>
      <c r="G8" s="1880">
        <f>'1.SD Facility Based Annex'!G10</f>
        <v>0</v>
      </c>
      <c r="H8" s="1880">
        <f>'1.SD Facility Based Annex'!H10</f>
        <v>0</v>
      </c>
      <c r="I8" s="1880">
        <f>'1.SD Facility Based Annex'!I10</f>
        <v>0</v>
      </c>
      <c r="J8" s="1880">
        <f>'1.SD Facility Based Annex'!J10</f>
        <v>0</v>
      </c>
      <c r="K8" s="1880">
        <f>'1.SD Facility Based Annex'!K10</f>
        <v>0</v>
      </c>
      <c r="L8" s="939">
        <f>'1.SD Facility Based Annex'!L10</f>
        <v>0</v>
      </c>
      <c r="M8" s="939">
        <f>'1.SD Facility Based Annex'!M10</f>
        <v>0</v>
      </c>
      <c r="N8" s="1880">
        <f>'1.SD Facility Based Annex'!N10</f>
        <v>0</v>
      </c>
      <c r="O8" s="939">
        <f>'1.SD Facility Based Annex'!O10</f>
        <v>0</v>
      </c>
      <c r="P8" s="1878">
        <f>'1.SD Facility Based Annex'!P10</f>
        <v>0</v>
      </c>
      <c r="Q8" s="124"/>
      <c r="R8" s="1906"/>
      <c r="T8" s="3314"/>
    </row>
    <row r="9" spans="1:20" s="828" customFormat="1" ht="30" x14ac:dyDescent="0.2">
      <c r="A9" s="1878" t="str">
        <f>'1.SD Facility Based Annex'!A11</f>
        <v>1.1.1.2</v>
      </c>
      <c r="B9" s="1878" t="str">
        <f>'1.SD Facility Based Annex'!B11</f>
        <v>A.1.6.3</v>
      </c>
      <c r="C9" s="1879" t="str">
        <f>'1.SD Facility Based Annex'!C11</f>
        <v>Diet services for JSSK Beneficiaries (3 days for Normal Delivery and 7 days for Caesarean)</v>
      </c>
      <c r="D9" s="1880" t="str">
        <f>'1.SD Facility Based Annex'!D11</f>
        <v>RCH</v>
      </c>
      <c r="E9" s="1880" t="str">
        <f>'1.SD Facility Based Annex'!E11</f>
        <v>MH</v>
      </c>
      <c r="F9" s="1880">
        <f>'1.SD Facility Based Annex'!F11</f>
        <v>0</v>
      </c>
      <c r="G9" s="1880">
        <f>'1.SD Facility Based Annex'!G11</f>
        <v>0</v>
      </c>
      <c r="H9" s="1880">
        <f>'1.SD Facility Based Annex'!H11</f>
        <v>0</v>
      </c>
      <c r="I9" s="1880">
        <f>'1.SD Facility Based Annex'!I11</f>
        <v>0</v>
      </c>
      <c r="J9" s="1880">
        <f>'1.SD Facility Based Annex'!J11</f>
        <v>0</v>
      </c>
      <c r="K9" s="1880">
        <f>'1.SD Facility Based Annex'!K11</f>
        <v>0</v>
      </c>
      <c r="L9" s="939">
        <f>'1.SD Facility Based Annex'!L11</f>
        <v>0</v>
      </c>
      <c r="M9" s="939">
        <f>'1.SD Facility Based Annex'!M11</f>
        <v>0</v>
      </c>
      <c r="N9" s="1880">
        <f>'1.SD Facility Based Annex'!N11</f>
        <v>0</v>
      </c>
      <c r="O9" s="939">
        <f>'1.SD Facility Based Annex'!O11</f>
        <v>0</v>
      </c>
      <c r="P9" s="1878">
        <f>'1.SD Facility Based Annex'!P11</f>
        <v>0</v>
      </c>
      <c r="Q9" s="124"/>
      <c r="R9" s="1906"/>
      <c r="T9" s="3314"/>
    </row>
    <row r="10" spans="1:20" s="828" customFormat="1" x14ac:dyDescent="0.2">
      <c r="A10" s="1878" t="str">
        <f>'1.SD Facility Based Annex'!A12</f>
        <v>1.1.1.3</v>
      </c>
      <c r="B10" s="1878" t="str">
        <f>'1.SD Facility Based Annex'!B12</f>
        <v>A.1.6.2</v>
      </c>
      <c r="C10" s="1879" t="str">
        <f>'1.SD Facility Based Annex'!C12</f>
        <v>Blood Transfusion for JSSK Beneficiaries</v>
      </c>
      <c r="D10" s="1880" t="str">
        <f>'1.SD Facility Based Annex'!D12</f>
        <v>RCH</v>
      </c>
      <c r="E10" s="1880" t="str">
        <f>'1.SD Facility Based Annex'!E12</f>
        <v>MH</v>
      </c>
      <c r="F10" s="1880">
        <f>'1.SD Facility Based Annex'!F12</f>
        <v>0</v>
      </c>
      <c r="G10" s="1880">
        <f>'1.SD Facility Based Annex'!G12</f>
        <v>0</v>
      </c>
      <c r="H10" s="1880">
        <f>'1.SD Facility Based Annex'!H12</f>
        <v>0</v>
      </c>
      <c r="I10" s="1880">
        <f>'1.SD Facility Based Annex'!I12</f>
        <v>0</v>
      </c>
      <c r="J10" s="1880">
        <f>'1.SD Facility Based Annex'!J12</f>
        <v>0</v>
      </c>
      <c r="K10" s="1880">
        <f>'1.SD Facility Based Annex'!K12</f>
        <v>0</v>
      </c>
      <c r="L10" s="939">
        <f>'1.SD Facility Based Annex'!L12</f>
        <v>0</v>
      </c>
      <c r="M10" s="939">
        <f>'1.SD Facility Based Annex'!M12</f>
        <v>0</v>
      </c>
      <c r="N10" s="1880">
        <f>'1.SD Facility Based Annex'!N12</f>
        <v>0</v>
      </c>
      <c r="O10" s="939">
        <f>'1.SD Facility Based Annex'!O12</f>
        <v>0</v>
      </c>
      <c r="P10" s="1878">
        <f>'1.SD Facility Based Annex'!P12</f>
        <v>0</v>
      </c>
      <c r="Q10" s="124"/>
      <c r="R10" s="3287"/>
    </row>
    <row r="11" spans="1:20" s="828" customFormat="1" ht="75" x14ac:dyDescent="0.2">
      <c r="A11" s="1878" t="str">
        <f>'1.SD Facility Based Annex'!A13</f>
        <v>1.1.1.4</v>
      </c>
      <c r="B11" s="1878" t="str">
        <f>'1.SD Facility Based Annex'!B13</f>
        <v>A.1.6.5.1</v>
      </c>
      <c r="C11" s="1879" t="str">
        <f>'1.SD Facility Based Annex'!C13</f>
        <v>Antenatal Screening of all pregnant women coming to the facilities in their first trimester for Sickle cell trait, β Thalassemia, Haemoglobin variants esp. Haemoglobin E and Anaemia  -Refer Hemoglobinopathies guidelines</v>
      </c>
      <c r="D11" s="1880" t="str">
        <f>'1.SD Facility Based Annex'!D13</f>
        <v>RCH</v>
      </c>
      <c r="E11" s="1880" t="str">
        <f>'1.SD Facility Based Annex'!E13</f>
        <v>Blood services (for MH)</v>
      </c>
      <c r="F11" s="1880">
        <f>'1.SD Facility Based Annex'!F13</f>
        <v>0</v>
      </c>
      <c r="G11" s="1880">
        <f>'1.SD Facility Based Annex'!G13</f>
        <v>0</v>
      </c>
      <c r="H11" s="1880">
        <f>'1.SD Facility Based Annex'!H13</f>
        <v>0</v>
      </c>
      <c r="I11" s="1880">
        <f>'1.SD Facility Based Annex'!I13</f>
        <v>0</v>
      </c>
      <c r="J11" s="1880">
        <f>'1.SD Facility Based Annex'!J13</f>
        <v>0</v>
      </c>
      <c r="K11" s="1880">
        <f>'1.SD Facility Based Annex'!K13</f>
        <v>0</v>
      </c>
      <c r="L11" s="939">
        <f>'1.SD Facility Based Annex'!L13</f>
        <v>0</v>
      </c>
      <c r="M11" s="939">
        <f>'1.SD Facility Based Annex'!M13</f>
        <v>0</v>
      </c>
      <c r="N11" s="1880">
        <f>'1.SD Facility Based Annex'!N13</f>
        <v>0</v>
      </c>
      <c r="O11" s="939">
        <f>'1.SD Facility Based Annex'!O13</f>
        <v>0</v>
      </c>
      <c r="P11" s="1878">
        <f>'1.SD Facility Based Annex'!P13</f>
        <v>0</v>
      </c>
      <c r="Q11" s="124"/>
      <c r="R11" s="1906"/>
      <c r="T11" s="3314"/>
    </row>
    <row r="12" spans="1:20" s="828" customFormat="1" x14ac:dyDescent="0.2">
      <c r="A12" s="1878" t="str">
        <f>'1.SD Facility Based Annex'!A14</f>
        <v>1.1.1.5</v>
      </c>
      <c r="B12" s="1878">
        <f>'1.SD Facility Based Annex'!B14</f>
        <v>0</v>
      </c>
      <c r="C12" s="1879" t="str">
        <f>'1.SD Facility Based Annex'!C14</f>
        <v>LaQshya Related Activities</v>
      </c>
      <c r="D12" s="1880" t="str">
        <f>'1.SD Facility Based Annex'!D14</f>
        <v>RCH</v>
      </c>
      <c r="E12" s="1880" t="str">
        <f>'1.SD Facility Based Annex'!E14</f>
        <v>MH</v>
      </c>
      <c r="F12" s="1880">
        <f>'1.SD Facility Based Annex'!F14</f>
        <v>0</v>
      </c>
      <c r="G12" s="1880">
        <f>'1.SD Facility Based Annex'!G14</f>
        <v>0</v>
      </c>
      <c r="H12" s="1880">
        <f>'1.SD Facility Based Annex'!H14</f>
        <v>0</v>
      </c>
      <c r="I12" s="1880">
        <f>'1.SD Facility Based Annex'!I14</f>
        <v>0</v>
      </c>
      <c r="J12" s="1880">
        <f>'1.SD Facility Based Annex'!J14</f>
        <v>0</v>
      </c>
      <c r="K12" s="1880">
        <f>'1.SD Facility Based Annex'!K14</f>
        <v>0</v>
      </c>
      <c r="L12" s="939">
        <f>'1.SD Facility Based Annex'!L14</f>
        <v>0</v>
      </c>
      <c r="M12" s="939">
        <f>'1.SD Facility Based Annex'!M14</f>
        <v>0</v>
      </c>
      <c r="N12" s="1880">
        <f>'1.SD Facility Based Annex'!N14</f>
        <v>0</v>
      </c>
      <c r="O12" s="939">
        <f>'1.SD Facility Based Annex'!O14</f>
        <v>0</v>
      </c>
      <c r="P12" s="1878">
        <f>'1.SD Facility Based Annex'!P14</f>
        <v>0</v>
      </c>
      <c r="Q12" s="124"/>
      <c r="R12" s="1906"/>
      <c r="T12" s="3314"/>
    </row>
    <row r="13" spans="1:20" s="828" customFormat="1" ht="92.1" customHeight="1" x14ac:dyDescent="0.2">
      <c r="A13" s="1878" t="str">
        <f>'1.SD Facility Based Annex'!A15</f>
        <v>1.1.1.6</v>
      </c>
      <c r="B13" s="1878">
        <f>'1.SD Facility Based Annex'!B15</f>
        <v>0</v>
      </c>
      <c r="C13" s="1879" t="str">
        <f>'1.SD Facility Based Annex'!C15</f>
        <v>Any other (please specify)</v>
      </c>
      <c r="D13" s="1880" t="str">
        <f>'1.SD Facility Based Annex'!D15</f>
        <v>RCH</v>
      </c>
      <c r="E13" s="1880" t="str">
        <f>'1.SD Facility Based Annex'!E15</f>
        <v>MH</v>
      </c>
      <c r="F13" s="1880">
        <f>'1.SD Facility Based Annex'!F15</f>
        <v>0</v>
      </c>
      <c r="G13" s="1880">
        <f>'1.SD Facility Based Annex'!G15</f>
        <v>0</v>
      </c>
      <c r="H13" s="1880">
        <f>'1.SD Facility Based Annex'!H15</f>
        <v>0</v>
      </c>
      <c r="I13" s="1880">
        <f>'1.SD Facility Based Annex'!I15</f>
        <v>0</v>
      </c>
      <c r="J13" s="1880">
        <f>'1.SD Facility Based Annex'!J15</f>
        <v>0</v>
      </c>
      <c r="K13" s="1880">
        <f>'1.SD Facility Based Annex'!K15</f>
        <v>0</v>
      </c>
      <c r="L13" s="939">
        <f>'1.SD Facility Based Annex'!L15</f>
        <v>0</v>
      </c>
      <c r="M13" s="939">
        <f>'1.SD Facility Based Annex'!M15</f>
        <v>0</v>
      </c>
      <c r="N13" s="1880">
        <f>'1.SD Facility Based Annex'!N15</f>
        <v>0</v>
      </c>
      <c r="O13" s="939">
        <f>'1.SD Facility Based Annex'!O15</f>
        <v>0</v>
      </c>
      <c r="P13" s="1878">
        <f>'1.SD Facility Based Annex'!P15</f>
        <v>0</v>
      </c>
      <c r="Q13" s="124"/>
      <c r="R13" s="1906"/>
      <c r="T13" s="3314"/>
    </row>
    <row r="14" spans="1:20" s="858" customFormat="1" ht="30" x14ac:dyDescent="0.2">
      <c r="A14" s="1881" t="str">
        <f>'1.SD Facility Based Annex'!A61</f>
        <v>1.2.1</v>
      </c>
      <c r="B14" s="1881">
        <f>'1.SD Facility Based Annex'!B61</f>
        <v>0</v>
      </c>
      <c r="C14" s="1882" t="str">
        <f>'1.SD Facility Based Annex'!C61</f>
        <v>Beneficiary Compensation under Janani Suraksha Yojana (JSY)</v>
      </c>
      <c r="D14" s="949">
        <f>'1.SD Facility Based Annex'!D61</f>
        <v>0</v>
      </c>
      <c r="E14" s="949">
        <f>'1.SD Facility Based Annex'!E61</f>
        <v>0</v>
      </c>
      <c r="F14" s="949">
        <f>'1.SD Facility Based Annex'!F61</f>
        <v>0</v>
      </c>
      <c r="G14" s="949">
        <f>'1.SD Facility Based Annex'!G61</f>
        <v>0</v>
      </c>
      <c r="H14" s="949">
        <f>'1.SD Facility Based Annex'!H61</f>
        <v>0</v>
      </c>
      <c r="I14" s="949">
        <f>'1.SD Facility Based Annex'!I61</f>
        <v>0</v>
      </c>
      <c r="J14" s="949">
        <f>'1.SD Facility Based Annex'!J61</f>
        <v>0</v>
      </c>
      <c r="K14" s="949">
        <f>'1.SD Facility Based Annex'!K61</f>
        <v>0</v>
      </c>
      <c r="L14" s="893">
        <f>'1.SD Facility Based Annex'!L61</f>
        <v>0</v>
      </c>
      <c r="M14" s="893">
        <f>'1.SD Facility Based Annex'!M61</f>
        <v>0</v>
      </c>
      <c r="N14" s="949">
        <f>'1.SD Facility Based Annex'!N61</f>
        <v>0</v>
      </c>
      <c r="O14" s="893">
        <f>'1.SD Facility Based Annex'!O61</f>
        <v>0</v>
      </c>
      <c r="P14" s="1881">
        <f>'1.SD Facility Based Annex'!P61</f>
        <v>0</v>
      </c>
      <c r="Q14" s="124"/>
      <c r="R14" s="3287"/>
    </row>
    <row r="15" spans="1:20" s="828" customFormat="1" ht="45.75" customHeight="1" x14ac:dyDescent="0.2">
      <c r="A15" s="1878" t="str">
        <f>'1.SD Facility Based Annex'!A62</f>
        <v>1.2.1.1</v>
      </c>
      <c r="B15" s="1878" t="str">
        <f>'1.SD Facility Based Annex'!B62</f>
        <v>A.1.3.1</v>
      </c>
      <c r="C15" s="1879" t="str">
        <f>'1.SD Facility Based Annex'!C62</f>
        <v>Home deliveries</v>
      </c>
      <c r="D15" s="1880" t="str">
        <f>'1.SD Facility Based Annex'!D62</f>
        <v>RCH</v>
      </c>
      <c r="E15" s="1880" t="str">
        <f>'1.SD Facility Based Annex'!E62</f>
        <v>MH</v>
      </c>
      <c r="F15" s="1880">
        <f>'1.SD Facility Based Annex'!F62</f>
        <v>0</v>
      </c>
      <c r="G15" s="1880">
        <f>'1.SD Facility Based Annex'!G62</f>
        <v>0</v>
      </c>
      <c r="H15" s="1880">
        <f>'1.SD Facility Based Annex'!H62</f>
        <v>0</v>
      </c>
      <c r="I15" s="1880">
        <f>'1.SD Facility Based Annex'!I62</f>
        <v>0</v>
      </c>
      <c r="J15" s="1880">
        <f>'1.SD Facility Based Annex'!J62</f>
        <v>0</v>
      </c>
      <c r="K15" s="1880">
        <f>'1.SD Facility Based Annex'!K62</f>
        <v>0</v>
      </c>
      <c r="L15" s="939">
        <f>'1.SD Facility Based Annex'!L62</f>
        <v>0</v>
      </c>
      <c r="M15" s="939">
        <f>'1.SD Facility Based Annex'!M62</f>
        <v>0</v>
      </c>
      <c r="N15" s="1880">
        <f>'1.SD Facility Based Annex'!N62</f>
        <v>0</v>
      </c>
      <c r="O15" s="939">
        <f>'1.SD Facility Based Annex'!O62</f>
        <v>0</v>
      </c>
      <c r="P15" s="1878">
        <f>'1.SD Facility Based Annex'!P62</f>
        <v>0</v>
      </c>
      <c r="Q15" s="124"/>
      <c r="R15" s="3289"/>
    </row>
    <row r="16" spans="1:20" s="858" customFormat="1" x14ac:dyDescent="0.2">
      <c r="A16" s="1881" t="str">
        <f>'1.SD Facility Based Annex'!A63</f>
        <v>1.2.1.2</v>
      </c>
      <c r="B16" s="1881" t="str">
        <f>'1.SD Facility Based Annex'!B63</f>
        <v>A.1.3.2</v>
      </c>
      <c r="C16" s="1882" t="str">
        <f>'1.SD Facility Based Annex'!C63</f>
        <v xml:space="preserve">Institutional deliveries </v>
      </c>
      <c r="D16" s="949">
        <f>'1.SD Facility Based Annex'!D63</f>
        <v>0</v>
      </c>
      <c r="E16" s="949">
        <f>'1.SD Facility Based Annex'!E63</f>
        <v>0</v>
      </c>
      <c r="F16" s="949">
        <f>'1.SD Facility Based Annex'!F63</f>
        <v>0</v>
      </c>
      <c r="G16" s="949">
        <f>'1.SD Facility Based Annex'!G63</f>
        <v>0</v>
      </c>
      <c r="H16" s="949">
        <f>'1.SD Facility Based Annex'!H63</f>
        <v>0</v>
      </c>
      <c r="I16" s="949">
        <f>'1.SD Facility Based Annex'!I63</f>
        <v>0</v>
      </c>
      <c r="J16" s="949">
        <f>'1.SD Facility Based Annex'!J63</f>
        <v>0</v>
      </c>
      <c r="K16" s="949">
        <f>'1.SD Facility Based Annex'!K63</f>
        <v>0</v>
      </c>
      <c r="L16" s="893">
        <f>'1.SD Facility Based Annex'!L63</f>
        <v>0</v>
      </c>
      <c r="M16" s="893">
        <f>'1.SD Facility Based Annex'!M63</f>
        <v>0</v>
      </c>
      <c r="N16" s="949">
        <f>'1.SD Facility Based Annex'!N63</f>
        <v>0</v>
      </c>
      <c r="O16" s="893">
        <f>'1.SD Facility Based Annex'!O63</f>
        <v>0</v>
      </c>
      <c r="P16" s="1881">
        <f>'1.SD Facility Based Annex'!P63</f>
        <v>0</v>
      </c>
      <c r="Q16" s="124"/>
      <c r="R16" s="3287"/>
    </row>
    <row r="17" spans="1:20" s="828" customFormat="1" ht="42" customHeight="1" x14ac:dyDescent="0.2">
      <c r="A17" s="1878" t="str">
        <f>'1.SD Facility Based Annex'!A64</f>
        <v>1.2.1.2.1</v>
      </c>
      <c r="B17" s="1878" t="str">
        <f>'1.SD Facility Based Annex'!B64</f>
        <v>A.1.3.2.a</v>
      </c>
      <c r="C17" s="1879" t="str">
        <f>'1.SD Facility Based Annex'!C64</f>
        <v>Rural</v>
      </c>
      <c r="D17" s="1880" t="str">
        <f>'1.SD Facility Based Annex'!D64</f>
        <v>RCH</v>
      </c>
      <c r="E17" s="1880" t="str">
        <f>'1.SD Facility Based Annex'!E64</f>
        <v>MH</v>
      </c>
      <c r="F17" s="1880">
        <f>'1.SD Facility Based Annex'!F64</f>
        <v>0</v>
      </c>
      <c r="G17" s="1880">
        <f>'1.SD Facility Based Annex'!G64</f>
        <v>0</v>
      </c>
      <c r="H17" s="1880">
        <f>'1.SD Facility Based Annex'!H64</f>
        <v>0</v>
      </c>
      <c r="I17" s="1880">
        <f>'1.SD Facility Based Annex'!I64</f>
        <v>0</v>
      </c>
      <c r="J17" s="1880">
        <f>'1.SD Facility Based Annex'!J64</f>
        <v>0</v>
      </c>
      <c r="K17" s="1880">
        <f>'1.SD Facility Based Annex'!K64</f>
        <v>0</v>
      </c>
      <c r="L17" s="939">
        <f>'1.SD Facility Based Annex'!L64</f>
        <v>0</v>
      </c>
      <c r="M17" s="939">
        <f>'1.SD Facility Based Annex'!M64</f>
        <v>0</v>
      </c>
      <c r="N17" s="1880">
        <f>'1.SD Facility Based Annex'!N64</f>
        <v>0</v>
      </c>
      <c r="O17" s="939">
        <f>'1.SD Facility Based Annex'!O64</f>
        <v>0</v>
      </c>
      <c r="P17" s="1878">
        <f>'1.SD Facility Based Annex'!P64</f>
        <v>0</v>
      </c>
      <c r="Q17" s="3290"/>
      <c r="R17" s="3291"/>
      <c r="T17" s="3315"/>
    </row>
    <row r="18" spans="1:20" s="828" customFormat="1" x14ac:dyDescent="0.2">
      <c r="A18" s="1878" t="str">
        <f>'1.SD Facility Based Annex'!A65</f>
        <v>1.2.1.2.2</v>
      </c>
      <c r="B18" s="1878" t="str">
        <f>'1.SD Facility Based Annex'!B65</f>
        <v>A.1.3.2.b</v>
      </c>
      <c r="C18" s="1879" t="str">
        <f>'1.SD Facility Based Annex'!C65</f>
        <v>Urban</v>
      </c>
      <c r="D18" s="1880" t="str">
        <f>'1.SD Facility Based Annex'!D65</f>
        <v>RCH</v>
      </c>
      <c r="E18" s="1880" t="str">
        <f>'1.SD Facility Based Annex'!E65</f>
        <v>MH</v>
      </c>
      <c r="F18" s="1880">
        <f>'1.SD Facility Based Annex'!F65</f>
        <v>0</v>
      </c>
      <c r="G18" s="1880">
        <f>'1.SD Facility Based Annex'!G65</f>
        <v>0</v>
      </c>
      <c r="H18" s="1880">
        <f>'1.SD Facility Based Annex'!H65</f>
        <v>0</v>
      </c>
      <c r="I18" s="1880">
        <f>'1.SD Facility Based Annex'!I65</f>
        <v>0</v>
      </c>
      <c r="J18" s="1880">
        <f>'1.SD Facility Based Annex'!J65</f>
        <v>0</v>
      </c>
      <c r="K18" s="1880">
        <f>'1.SD Facility Based Annex'!K65</f>
        <v>0</v>
      </c>
      <c r="L18" s="939">
        <f>'1.SD Facility Based Annex'!L65</f>
        <v>0</v>
      </c>
      <c r="M18" s="939">
        <f>'1.SD Facility Based Annex'!M65</f>
        <v>0</v>
      </c>
      <c r="N18" s="1880">
        <f>'1.SD Facility Based Annex'!N65</f>
        <v>0</v>
      </c>
      <c r="O18" s="939">
        <f>'1.SD Facility Based Annex'!O65</f>
        <v>0</v>
      </c>
      <c r="P18" s="1878">
        <f>'1.SD Facility Based Annex'!P65</f>
        <v>0</v>
      </c>
      <c r="Q18" s="3290"/>
      <c r="R18" s="3291"/>
      <c r="T18" s="3315"/>
    </row>
    <row r="19" spans="1:20" s="828" customFormat="1" x14ac:dyDescent="0.2">
      <c r="A19" s="1878" t="str">
        <f>'1.SD Facility Based Annex'!A66</f>
        <v>1.2.1.2.3</v>
      </c>
      <c r="B19" s="1878" t="str">
        <f>'1.SD Facility Based Annex'!B66</f>
        <v>A.1.3.2.c</v>
      </c>
      <c r="C19" s="1879" t="str">
        <f>'1.SD Facility Based Annex'!C66</f>
        <v>C-sections</v>
      </c>
      <c r="D19" s="1880" t="str">
        <f>'1.SD Facility Based Annex'!D66</f>
        <v>RCH</v>
      </c>
      <c r="E19" s="1880" t="str">
        <f>'1.SD Facility Based Annex'!E66</f>
        <v>MH</v>
      </c>
      <c r="F19" s="1880">
        <f>'1.SD Facility Based Annex'!F66</f>
        <v>0</v>
      </c>
      <c r="G19" s="1880">
        <f>'1.SD Facility Based Annex'!G66</f>
        <v>0</v>
      </c>
      <c r="H19" s="1880">
        <f>'1.SD Facility Based Annex'!H66</f>
        <v>0</v>
      </c>
      <c r="I19" s="1880">
        <f>'1.SD Facility Based Annex'!I66</f>
        <v>0</v>
      </c>
      <c r="J19" s="1880">
        <f>'1.SD Facility Based Annex'!J66</f>
        <v>0</v>
      </c>
      <c r="K19" s="1880">
        <f>'1.SD Facility Based Annex'!K66</f>
        <v>0</v>
      </c>
      <c r="L19" s="939">
        <f>'1.SD Facility Based Annex'!L66</f>
        <v>0</v>
      </c>
      <c r="M19" s="939">
        <f>'1.SD Facility Based Annex'!M66</f>
        <v>0</v>
      </c>
      <c r="N19" s="1880">
        <f>'1.SD Facility Based Annex'!N66</f>
        <v>0</v>
      </c>
      <c r="O19" s="939">
        <f>'1.SD Facility Based Annex'!O66</f>
        <v>0</v>
      </c>
      <c r="P19" s="1878">
        <f>'1.SD Facility Based Annex'!P66</f>
        <v>0</v>
      </c>
      <c r="Q19" s="124"/>
      <c r="R19" s="3287"/>
    </row>
    <row r="20" spans="1:20" s="858" customFormat="1" x14ac:dyDescent="0.2">
      <c r="A20" s="1875">
        <f>'2.SD Community Based Annex'!A7</f>
        <v>2</v>
      </c>
      <c r="B20" s="1875">
        <f>'2.SD Community Based Annex'!B7</f>
        <v>0</v>
      </c>
      <c r="C20" s="1876" t="str">
        <f>'2.SD Community Based Annex'!C7</f>
        <v>Service Delivery - Community Based</v>
      </c>
      <c r="D20" s="1877"/>
      <c r="E20" s="1877"/>
      <c r="F20" s="1877"/>
      <c r="G20" s="1877"/>
      <c r="H20" s="1877"/>
      <c r="I20" s="1877"/>
      <c r="J20" s="1877"/>
      <c r="K20" s="1877"/>
      <c r="L20" s="969"/>
      <c r="M20" s="1877"/>
      <c r="N20" s="1877"/>
      <c r="O20" s="969">
        <f>SUM(O21:O25)</f>
        <v>0</v>
      </c>
      <c r="P20" s="1875"/>
      <c r="Q20" s="678"/>
      <c r="R20" s="132">
        <f>SUM(R21:R25)</f>
        <v>0</v>
      </c>
      <c r="T20" s="3316"/>
    </row>
    <row r="21" spans="1:20" s="828" customFormat="1" x14ac:dyDescent="0.2">
      <c r="A21" s="1878" t="str">
        <f>'2.SD Community Based Annex'!A34</f>
        <v>2.3.1.1.1</v>
      </c>
      <c r="B21" s="1878" t="str">
        <f>'2.SD Community Based Annex'!B34</f>
        <v>A.1.2.1</v>
      </c>
      <c r="C21" s="1879" t="str">
        <f>'2.SD Community Based Annex'!C34</f>
        <v>Outreach camps</v>
      </c>
      <c r="D21" s="1880" t="str">
        <f>'2.SD Community Based Annex'!D34</f>
        <v>RCH</v>
      </c>
      <c r="E21" s="1880" t="str">
        <f>'2.SD Community Based Annex'!E34</f>
        <v>MH</v>
      </c>
      <c r="F21" s="1880">
        <f>'2.SD Community Based Annex'!F34</f>
        <v>0</v>
      </c>
      <c r="G21" s="1880">
        <f>'2.SD Community Based Annex'!G34</f>
        <v>0</v>
      </c>
      <c r="H21" s="1880">
        <f>'2.SD Community Based Annex'!H34</f>
        <v>0</v>
      </c>
      <c r="I21" s="1880">
        <f>'2.SD Community Based Annex'!I34</f>
        <v>0</v>
      </c>
      <c r="J21" s="1880">
        <f>'2.SD Community Based Annex'!J34</f>
        <v>0</v>
      </c>
      <c r="K21" s="1880">
        <f>'2.SD Community Based Annex'!K34</f>
        <v>0</v>
      </c>
      <c r="L21" s="939">
        <f>'2.SD Community Based Annex'!L34</f>
        <v>0</v>
      </c>
      <c r="M21" s="1880">
        <f>'2.SD Community Based Annex'!M34</f>
        <v>0</v>
      </c>
      <c r="N21" s="1880">
        <f>'2.SD Community Based Annex'!N34</f>
        <v>0</v>
      </c>
      <c r="O21" s="939">
        <f>'2.SD Community Based Annex'!O34</f>
        <v>0</v>
      </c>
      <c r="P21" s="1878">
        <f>'2.SD Community Based Annex'!P34</f>
        <v>0</v>
      </c>
      <c r="Q21" s="124"/>
      <c r="R21" s="3287">
        <v>0</v>
      </c>
    </row>
    <row r="22" spans="1:20" s="828" customFormat="1" x14ac:dyDescent="0.2">
      <c r="A22" s="1878" t="str">
        <f>'2.SD Community Based Annex'!A35</f>
        <v>2.3.1.1.2</v>
      </c>
      <c r="B22" s="1878" t="str">
        <f>'2.SD Community Based Annex'!B35</f>
        <v>A.1.2.2</v>
      </c>
      <c r="C22" s="1879" t="str">
        <f>'2.SD Community Based Annex'!C35</f>
        <v>Monthly Village Health and Nutrition Days</v>
      </c>
      <c r="D22" s="1880" t="str">
        <f>'2.SD Community Based Annex'!D35</f>
        <v>RCH</v>
      </c>
      <c r="E22" s="1880" t="str">
        <f>'2.SD Community Based Annex'!E35</f>
        <v>MH</v>
      </c>
      <c r="F22" s="1880">
        <f>'2.SD Community Based Annex'!F35</f>
        <v>0</v>
      </c>
      <c r="G22" s="1880">
        <f>'2.SD Community Based Annex'!G35</f>
        <v>0</v>
      </c>
      <c r="H22" s="1880">
        <f>'2.SD Community Based Annex'!H35</f>
        <v>0</v>
      </c>
      <c r="I22" s="1880">
        <f>'2.SD Community Based Annex'!I35</f>
        <v>0</v>
      </c>
      <c r="J22" s="1880">
        <f>'2.SD Community Based Annex'!J35</f>
        <v>0</v>
      </c>
      <c r="K22" s="1880">
        <f>'2.SD Community Based Annex'!K35</f>
        <v>0</v>
      </c>
      <c r="L22" s="939">
        <f>'2.SD Community Based Annex'!L35</f>
        <v>0</v>
      </c>
      <c r="M22" s="1880">
        <f>'2.SD Community Based Annex'!M35</f>
        <v>0</v>
      </c>
      <c r="N22" s="1880">
        <f>'2.SD Community Based Annex'!N35</f>
        <v>0</v>
      </c>
      <c r="O22" s="939">
        <f>'2.SD Community Based Annex'!O35</f>
        <v>0</v>
      </c>
      <c r="P22" s="1878">
        <f>'2.SD Community Based Annex'!P35</f>
        <v>0</v>
      </c>
      <c r="Q22" s="124"/>
      <c r="R22" s="3287">
        <v>0</v>
      </c>
    </row>
    <row r="23" spans="1:20" s="828" customFormat="1" ht="88.5" customHeight="1" x14ac:dyDescent="0.2">
      <c r="A23" s="1878" t="str">
        <f>'2.SD Community Based Annex'!A36</f>
        <v>2.3.1.2</v>
      </c>
      <c r="B23" s="1878" t="str">
        <f>'2.SD Community Based Annex'!B36</f>
        <v>A.1.5.1</v>
      </c>
      <c r="C23" s="1879" t="str">
        <f>'2.SD Community Based Annex'!C36</f>
        <v>Line listing and follow-up of severely anaemic women</v>
      </c>
      <c r="D23" s="1880" t="str">
        <f>'2.SD Community Based Annex'!D36</f>
        <v>RCH</v>
      </c>
      <c r="E23" s="1880" t="str">
        <f>'2.SD Community Based Annex'!E36</f>
        <v>MH</v>
      </c>
      <c r="F23" s="1880">
        <f>'2.SD Community Based Annex'!F36</f>
        <v>0</v>
      </c>
      <c r="G23" s="1880">
        <f>'2.SD Community Based Annex'!G36</f>
        <v>0</v>
      </c>
      <c r="H23" s="1880">
        <f>'2.SD Community Based Annex'!H36</f>
        <v>0</v>
      </c>
      <c r="I23" s="1880">
        <f>'2.SD Community Based Annex'!I36</f>
        <v>0</v>
      </c>
      <c r="J23" s="1880">
        <f>'2.SD Community Based Annex'!J36</f>
        <v>0</v>
      </c>
      <c r="K23" s="1880">
        <f>'2.SD Community Based Annex'!K36</f>
        <v>0</v>
      </c>
      <c r="L23" s="939">
        <f>'2.SD Community Based Annex'!L36</f>
        <v>0</v>
      </c>
      <c r="M23" s="1880">
        <f>'2.SD Community Based Annex'!M36</f>
        <v>0</v>
      </c>
      <c r="N23" s="1880">
        <f>'2.SD Community Based Annex'!N36</f>
        <v>0</v>
      </c>
      <c r="O23" s="939">
        <f>'2.SD Community Based Annex'!O36</f>
        <v>0</v>
      </c>
      <c r="P23" s="1878">
        <f>'2.SD Community Based Annex'!P36</f>
        <v>0</v>
      </c>
      <c r="Q23" s="124"/>
      <c r="R23" s="3287">
        <v>0</v>
      </c>
    </row>
    <row r="24" spans="1:20" s="828" customFormat="1" x14ac:dyDescent="0.2">
      <c r="A24" s="1878" t="str">
        <f>'2.SD Community Based Annex'!A37</f>
        <v>2.3.1.3</v>
      </c>
      <c r="B24" s="1878" t="str">
        <f>'2.SD Community Based Annex'!B37</f>
        <v>A.1.5.2</v>
      </c>
      <c r="C24" s="1879" t="str">
        <f>'2.SD Community Based Annex'!C37</f>
        <v>Line listing of the women with blood disorders</v>
      </c>
      <c r="D24" s="1880" t="str">
        <f>'2.SD Community Based Annex'!D37</f>
        <v>RCH</v>
      </c>
      <c r="E24" s="1880" t="str">
        <f>'2.SD Community Based Annex'!E37</f>
        <v>MH</v>
      </c>
      <c r="F24" s="1880">
        <f>'2.SD Community Based Annex'!F37</f>
        <v>0</v>
      </c>
      <c r="G24" s="1880">
        <f>'2.SD Community Based Annex'!G37</f>
        <v>0</v>
      </c>
      <c r="H24" s="1880">
        <f>'2.SD Community Based Annex'!H37</f>
        <v>0</v>
      </c>
      <c r="I24" s="1880">
        <f>'2.SD Community Based Annex'!I37</f>
        <v>0</v>
      </c>
      <c r="J24" s="1880">
        <f>'2.SD Community Based Annex'!J37</f>
        <v>0</v>
      </c>
      <c r="K24" s="1880">
        <f>'2.SD Community Based Annex'!K37</f>
        <v>0</v>
      </c>
      <c r="L24" s="939">
        <f>'2.SD Community Based Annex'!L37</f>
        <v>0</v>
      </c>
      <c r="M24" s="1880">
        <f>'2.SD Community Based Annex'!M37</f>
        <v>0</v>
      </c>
      <c r="N24" s="1880">
        <f>'2.SD Community Based Annex'!N37</f>
        <v>0</v>
      </c>
      <c r="O24" s="939">
        <f>'2.SD Community Based Annex'!O37</f>
        <v>0</v>
      </c>
      <c r="P24" s="1878">
        <f>'2.SD Community Based Annex'!P37</f>
        <v>0</v>
      </c>
      <c r="Q24" s="124"/>
      <c r="R24" s="3287">
        <v>0</v>
      </c>
    </row>
    <row r="25" spans="1:20" s="828" customFormat="1" ht="30" x14ac:dyDescent="0.2">
      <c r="A25" s="1878" t="str">
        <f>'2.SD Community Based Annex'!A38</f>
        <v>2.3.1.4</v>
      </c>
      <c r="B25" s="1878" t="str">
        <f>'2.SD Community Based Annex'!B38</f>
        <v>A.1.5.3</v>
      </c>
      <c r="C25" s="1879" t="str">
        <f>'2.SD Community Based Annex'!C38</f>
        <v>Follow up mechanism for the severely anaemic women and the women with blood disorders</v>
      </c>
      <c r="D25" s="1880" t="str">
        <f>'2.SD Community Based Annex'!D38</f>
        <v>RCH</v>
      </c>
      <c r="E25" s="1880" t="str">
        <f>'2.SD Community Based Annex'!E38</f>
        <v>MH</v>
      </c>
      <c r="F25" s="1880">
        <f>'2.SD Community Based Annex'!F38</f>
        <v>0</v>
      </c>
      <c r="G25" s="1880">
        <f>'2.SD Community Based Annex'!G38</f>
        <v>0</v>
      </c>
      <c r="H25" s="1880">
        <f>'2.SD Community Based Annex'!H38</f>
        <v>0</v>
      </c>
      <c r="I25" s="1880">
        <f>'2.SD Community Based Annex'!I38</f>
        <v>0</v>
      </c>
      <c r="J25" s="1880">
        <f>'2.SD Community Based Annex'!J38</f>
        <v>0</v>
      </c>
      <c r="K25" s="1880">
        <f>'2.SD Community Based Annex'!K38</f>
        <v>0</v>
      </c>
      <c r="L25" s="939">
        <f>'2.SD Community Based Annex'!L38</f>
        <v>0</v>
      </c>
      <c r="M25" s="1880">
        <f>'2.SD Community Based Annex'!M38</f>
        <v>0</v>
      </c>
      <c r="N25" s="1880">
        <f>'2.SD Community Based Annex'!N38</f>
        <v>0</v>
      </c>
      <c r="O25" s="939">
        <f>'2.SD Community Based Annex'!O38</f>
        <v>0</v>
      </c>
      <c r="P25" s="1878">
        <f>'2.SD Community Based Annex'!P38</f>
        <v>0</v>
      </c>
      <c r="Q25" s="124"/>
      <c r="R25" s="3287">
        <v>0</v>
      </c>
    </row>
    <row r="26" spans="1:20" s="828" customFormat="1" x14ac:dyDescent="0.2">
      <c r="A26" s="1875">
        <f>'3.Community Intervention Annexn'!A7</f>
        <v>3</v>
      </c>
      <c r="B26" s="1875"/>
      <c r="C26" s="1876" t="str">
        <f>'3.Community Intervention Annexn'!C7</f>
        <v>Community Interventions</v>
      </c>
      <c r="D26" s="1877"/>
      <c r="E26" s="1877"/>
      <c r="F26" s="1877"/>
      <c r="G26" s="1877"/>
      <c r="H26" s="1877"/>
      <c r="I26" s="1877"/>
      <c r="J26" s="1877"/>
      <c r="K26" s="1877"/>
      <c r="L26" s="969"/>
      <c r="M26" s="1877"/>
      <c r="N26" s="1877"/>
      <c r="O26" s="969">
        <f>SUM(O27:O30)</f>
        <v>0</v>
      </c>
      <c r="P26" s="1875"/>
      <c r="Q26" s="162"/>
      <c r="R26" s="132">
        <f>SUM(R27:R30)</f>
        <v>0</v>
      </c>
      <c r="T26" s="3314"/>
    </row>
    <row r="27" spans="1:20" s="828" customFormat="1" ht="114" customHeight="1" x14ac:dyDescent="0.2">
      <c r="A27" s="4047" t="str">
        <f>'3.Community Intervention Annexn'!A11</f>
        <v>3.1.1.1.1</v>
      </c>
      <c r="B27" s="1878" t="str">
        <f>'3-A. CI Sub-Annex'!C8</f>
        <v xml:space="preserve">A.1.3.4 </v>
      </c>
      <c r="C27" s="1879" t="str">
        <f>'3-A. CI Sub-Annex'!D8</f>
        <v xml:space="preserve">JSY Incentive to ASHA </v>
      </c>
      <c r="D27" s="1880" t="str">
        <f>'3-A. CI Sub-Annex'!E8</f>
        <v>RCH</v>
      </c>
      <c r="E27" s="1880" t="str">
        <f>'3-A. CI Sub-Annex'!F8</f>
        <v>MH</v>
      </c>
      <c r="F27" s="1880">
        <f>'3-A. CI Sub-Annex'!G8</f>
        <v>0</v>
      </c>
      <c r="G27" s="1880">
        <f>'3-A. CI Sub-Annex'!H8</f>
        <v>0</v>
      </c>
      <c r="H27" s="1880">
        <f>'3-A. CI Sub-Annex'!I8</f>
        <v>0</v>
      </c>
      <c r="I27" s="1880">
        <f>'3-A. CI Sub-Annex'!J8</f>
        <v>0</v>
      </c>
      <c r="J27" s="1880">
        <f>'3-A. CI Sub-Annex'!K8</f>
        <v>0</v>
      </c>
      <c r="K27" s="1880">
        <f>'3-A. CI Sub-Annex'!L8</f>
        <v>0</v>
      </c>
      <c r="L27" s="939">
        <f>'3-A. CI Sub-Annex'!M8</f>
        <v>0</v>
      </c>
      <c r="M27" s="1880">
        <f>'3-A. CI Sub-Annex'!N8</f>
        <v>0</v>
      </c>
      <c r="N27" s="1880">
        <f>'3-A. CI Sub-Annex'!O8</f>
        <v>0</v>
      </c>
      <c r="O27" s="939">
        <f>'3-A. CI Sub-Annex'!P8</f>
        <v>0</v>
      </c>
      <c r="P27" s="1878">
        <f>'3-A. CI Sub-Annex'!Q8</f>
        <v>0</v>
      </c>
      <c r="Q27" s="3292"/>
      <c r="R27" s="3322"/>
      <c r="T27" s="3315"/>
    </row>
    <row r="28" spans="1:20" s="828" customFormat="1" ht="63.75" customHeight="1" x14ac:dyDescent="0.2">
      <c r="A28" s="4047"/>
      <c r="B28" s="1878" t="str">
        <f>'3-A. CI Sub-Annex'!C9</f>
        <v>B1.1.3.5.1</v>
      </c>
      <c r="C28" s="1879" t="str">
        <f>'3-A. CI Sub-Annex'!D9</f>
        <v>National Iron Plus Incentive for mobilizing WRA (non pregnant &amp; non-lactating Women 20-49 years)</v>
      </c>
      <c r="D28" s="1880" t="str">
        <f>'3-A. CI Sub-Annex'!E9</f>
        <v>RCH</v>
      </c>
      <c r="E28" s="1880" t="str">
        <f>'3-A. CI Sub-Annex'!F9</f>
        <v>MH/ CP</v>
      </c>
      <c r="F28" s="1880">
        <f>'3-A. CI Sub-Annex'!G9</f>
        <v>0</v>
      </c>
      <c r="G28" s="1880">
        <f>'3-A. CI Sub-Annex'!H9</f>
        <v>0</v>
      </c>
      <c r="H28" s="1880">
        <f>'3-A. CI Sub-Annex'!I9</f>
        <v>0</v>
      </c>
      <c r="I28" s="1880">
        <f>'3-A. CI Sub-Annex'!J9</f>
        <v>0</v>
      </c>
      <c r="J28" s="1880">
        <f>'3-A. CI Sub-Annex'!K9</f>
        <v>0</v>
      </c>
      <c r="K28" s="1880">
        <f>'3-A. CI Sub-Annex'!L9</f>
        <v>0</v>
      </c>
      <c r="L28" s="939">
        <f>'3-A. CI Sub-Annex'!M9</f>
        <v>0</v>
      </c>
      <c r="M28" s="1880">
        <f>'3-A. CI Sub-Annex'!N9</f>
        <v>0</v>
      </c>
      <c r="N28" s="1880">
        <f>'3-A. CI Sub-Annex'!O9</f>
        <v>0</v>
      </c>
      <c r="O28" s="939">
        <f>'3-A. CI Sub-Annex'!P9</f>
        <v>0</v>
      </c>
      <c r="P28" s="1878">
        <f>'3-A. CI Sub-Annex'!Q9</f>
        <v>0</v>
      </c>
      <c r="Q28" s="3293"/>
      <c r="R28" s="3294"/>
      <c r="T28" s="3314"/>
    </row>
    <row r="29" spans="1:20" s="828" customFormat="1" ht="66" customHeight="1" x14ac:dyDescent="0.2">
      <c r="A29" s="4047"/>
      <c r="B29" s="1878" t="str">
        <f>'3-A. CI Sub-Annex'!C10</f>
        <v>B1.1.3.5.2</v>
      </c>
      <c r="C29" s="1879" t="str">
        <f>'3-A. CI Sub-Annex'!D10</f>
        <v>National Iron Plus Incentive for mobilizing children and/or ensuring compliance and reporting (6-59 months)</v>
      </c>
      <c r="D29" s="1880" t="str">
        <f>'3-A. CI Sub-Annex'!E10</f>
        <v>RCH</v>
      </c>
      <c r="E29" s="1880" t="str">
        <f>'3-A. CI Sub-Annex'!F10</f>
        <v>MH/ CP</v>
      </c>
      <c r="F29" s="1880">
        <f>'3-A. CI Sub-Annex'!G10</f>
        <v>0</v>
      </c>
      <c r="G29" s="1880">
        <f>'3-A. CI Sub-Annex'!H10</f>
        <v>0</v>
      </c>
      <c r="H29" s="1880">
        <f>'3-A. CI Sub-Annex'!I10</f>
        <v>0</v>
      </c>
      <c r="I29" s="1880">
        <f>'3-A. CI Sub-Annex'!J10</f>
        <v>0</v>
      </c>
      <c r="J29" s="1880">
        <f>'3-A. CI Sub-Annex'!K10</f>
        <v>0</v>
      </c>
      <c r="K29" s="1880">
        <f>'3-A. CI Sub-Annex'!L10</f>
        <v>0</v>
      </c>
      <c r="L29" s="939">
        <f>'3-A. CI Sub-Annex'!M10</f>
        <v>0</v>
      </c>
      <c r="M29" s="1880">
        <f>'3-A. CI Sub-Annex'!N10</f>
        <v>0</v>
      </c>
      <c r="N29" s="1880">
        <f>'3-A. CI Sub-Annex'!O10</f>
        <v>0</v>
      </c>
      <c r="O29" s="939">
        <f>'3-A. CI Sub-Annex'!P10</f>
        <v>0</v>
      </c>
      <c r="P29" s="1878">
        <f>'3-A. CI Sub-Annex'!Q10</f>
        <v>0</v>
      </c>
      <c r="Q29" s="124"/>
      <c r="R29" s="3294"/>
      <c r="T29" s="3314"/>
    </row>
    <row r="30" spans="1:20" s="828" customFormat="1" x14ac:dyDescent="0.2">
      <c r="A30" s="4047"/>
      <c r="B30" s="1878" t="str">
        <f>'3-A. CI Sub-Annex'!C11</f>
        <v>B1.1.3.5.3</v>
      </c>
      <c r="C30" s="1879" t="str">
        <f>'3-A. CI Sub-Annex'!D11</f>
        <v>National Iron Plus Others</v>
      </c>
      <c r="D30" s="1880" t="str">
        <f>'3-A. CI Sub-Annex'!E11</f>
        <v>RCH</v>
      </c>
      <c r="E30" s="1880" t="str">
        <f>'3-A. CI Sub-Annex'!F11</f>
        <v>MH/ CP</v>
      </c>
      <c r="F30" s="1880">
        <f>'3-A. CI Sub-Annex'!G11</f>
        <v>0</v>
      </c>
      <c r="G30" s="1880">
        <f>'3-A. CI Sub-Annex'!H11</f>
        <v>0</v>
      </c>
      <c r="H30" s="1880">
        <f>'3-A. CI Sub-Annex'!I11</f>
        <v>0</v>
      </c>
      <c r="I30" s="1880">
        <f>'3-A. CI Sub-Annex'!J11</f>
        <v>0</v>
      </c>
      <c r="J30" s="1880">
        <f>'3-A. CI Sub-Annex'!K11</f>
        <v>0</v>
      </c>
      <c r="K30" s="1880">
        <f>'3-A. CI Sub-Annex'!L11</f>
        <v>0</v>
      </c>
      <c r="L30" s="939">
        <f>'3-A. CI Sub-Annex'!M11</f>
        <v>0</v>
      </c>
      <c r="M30" s="1880">
        <f>'3-A. CI Sub-Annex'!N11</f>
        <v>0</v>
      </c>
      <c r="N30" s="1880">
        <f>'3-A. CI Sub-Annex'!O11</f>
        <v>0</v>
      </c>
      <c r="O30" s="939">
        <f>'3-A. CI Sub-Annex'!P11</f>
        <v>0</v>
      </c>
      <c r="P30" s="1878">
        <f>'3-A. CI Sub-Annex'!Q11</f>
        <v>0</v>
      </c>
      <c r="Q30" s="124"/>
      <c r="R30" s="1880">
        <v>0</v>
      </c>
    </row>
    <row r="31" spans="1:20" s="828" customFormat="1" x14ac:dyDescent="0.2">
      <c r="A31" s="1875">
        <f>'5.Infrastructure Annex'!A7</f>
        <v>5</v>
      </c>
      <c r="B31" s="1875"/>
      <c r="C31" s="1875" t="str">
        <f>'5.Infrastructure Annex'!C7</f>
        <v>Infrastructure</v>
      </c>
      <c r="D31" s="1877"/>
      <c r="E31" s="1877"/>
      <c r="F31" s="1877"/>
      <c r="G31" s="1877"/>
      <c r="H31" s="1877"/>
      <c r="I31" s="1877"/>
      <c r="J31" s="1877"/>
      <c r="K31" s="1877"/>
      <c r="L31" s="969"/>
      <c r="M31" s="1877"/>
      <c r="N31" s="1877"/>
      <c r="O31" s="969">
        <f>SUM(O32:O34)</f>
        <v>0</v>
      </c>
      <c r="P31" s="1875"/>
      <c r="Q31" s="162"/>
      <c r="R31" s="132">
        <f>SUM(R32:R34)</f>
        <v>0</v>
      </c>
      <c r="T31" s="3314"/>
    </row>
    <row r="32" spans="1:20" s="828" customFormat="1" ht="45" x14ac:dyDescent="0.2">
      <c r="A32" s="1878" t="str">
        <f>'5.Infrastructure Annex'!A33</f>
        <v>5.1.1.2.12</v>
      </c>
      <c r="B32" s="1878">
        <f>'5.Infrastructure Annex'!B33</f>
        <v>0</v>
      </c>
      <c r="C32" s="1878" t="str">
        <f>'5.Infrastructure Annex'!C33</f>
        <v>Upgradation/ Renovation of Obstetric ICUs/ HDUs (as per operational guidelines of ICUs and HDUs, 2017)</v>
      </c>
      <c r="D32" s="1880" t="str">
        <f>'5.Infrastructure Annex'!D33</f>
        <v>HSS</v>
      </c>
      <c r="E32" s="1880" t="str">
        <f>'5.Infrastructure Annex'!E33</f>
        <v>MH/ HSS</v>
      </c>
      <c r="F32" s="1880">
        <f>'5.Infrastructure Annex'!F33</f>
        <v>0</v>
      </c>
      <c r="G32" s="1880">
        <f>'5.Infrastructure Annex'!G33</f>
        <v>0</v>
      </c>
      <c r="H32" s="1880">
        <f>'5.Infrastructure Annex'!H33</f>
        <v>0</v>
      </c>
      <c r="I32" s="1880">
        <f>'5.Infrastructure Annex'!I33</f>
        <v>0</v>
      </c>
      <c r="J32" s="1880">
        <f>'5.Infrastructure Annex'!J33</f>
        <v>0</v>
      </c>
      <c r="K32" s="1880">
        <f>'5.Infrastructure Annex'!K33</f>
        <v>0</v>
      </c>
      <c r="L32" s="619">
        <f>'5.Infrastructure Annex'!L33</f>
        <v>0</v>
      </c>
      <c r="M32" s="1880">
        <f>'5.Infrastructure Annex'!M33</f>
        <v>0</v>
      </c>
      <c r="N32" s="1880">
        <f>'5.Infrastructure Annex'!N33</f>
        <v>0</v>
      </c>
      <c r="O32" s="939">
        <f>'5.Infrastructure Annex'!O33</f>
        <v>0</v>
      </c>
      <c r="P32" s="1878">
        <f>'5.Infrastructure Annex'!P33</f>
        <v>0</v>
      </c>
      <c r="Q32" s="124"/>
      <c r="R32" s="1906"/>
      <c r="T32" s="3314"/>
    </row>
    <row r="33" spans="1:20" s="828" customFormat="1" x14ac:dyDescent="0.2">
      <c r="A33" s="1878" t="str">
        <f>'5.Infrastructure Annex'!A42</f>
        <v>5.1.1.3.6</v>
      </c>
      <c r="B33" s="1878" t="str">
        <f>'5.Infrastructure Annex'!B42</f>
        <v>B4.1.5.3</v>
      </c>
      <c r="C33" s="1878" t="str">
        <f>'5.Infrastructure Annex'!C42</f>
        <v>Spill over of Ongoing Upgradation-MCH Wings</v>
      </c>
      <c r="D33" s="1880" t="str">
        <f>'5.Infrastructure Annex'!D42</f>
        <v>HSS</v>
      </c>
      <c r="E33" s="1880" t="str">
        <f>'5.Infrastructure Annex'!E42</f>
        <v>MH/ HSS</v>
      </c>
      <c r="F33" s="1880">
        <f>'5.Infrastructure Annex'!F42</f>
        <v>0</v>
      </c>
      <c r="G33" s="1880">
        <f>'5.Infrastructure Annex'!G42</f>
        <v>0</v>
      </c>
      <c r="H33" s="1880">
        <f>'5.Infrastructure Annex'!H42</f>
        <v>0</v>
      </c>
      <c r="I33" s="1880">
        <f>'5.Infrastructure Annex'!I42</f>
        <v>0</v>
      </c>
      <c r="J33" s="1880">
        <f>'5.Infrastructure Annex'!J42</f>
        <v>0</v>
      </c>
      <c r="K33" s="1880">
        <f>'5.Infrastructure Annex'!K42</f>
        <v>0</v>
      </c>
      <c r="L33" s="619">
        <f>'5.Infrastructure Annex'!L42</f>
        <v>0</v>
      </c>
      <c r="M33" s="1880">
        <f>'5.Infrastructure Annex'!M42</f>
        <v>0</v>
      </c>
      <c r="N33" s="1880">
        <f>'5.Infrastructure Annex'!N42</f>
        <v>0</v>
      </c>
      <c r="O33" s="939">
        <f>'5.Infrastructure Annex'!O42</f>
        <v>0</v>
      </c>
      <c r="P33" s="1878">
        <f>'5.Infrastructure Annex'!P42</f>
        <v>0</v>
      </c>
      <c r="Q33" s="3295"/>
      <c r="R33" s="1906"/>
      <c r="T33" s="3314"/>
    </row>
    <row r="34" spans="1:20" s="828" customFormat="1" x14ac:dyDescent="0.2">
      <c r="A34" s="1878" t="str">
        <f>'5.Infrastructure Annex'!A62</f>
        <v>5.2.1.6</v>
      </c>
      <c r="B34" s="1878" t="str">
        <f>'5.Infrastructure Annex'!B62</f>
        <v>B4.1.5.1</v>
      </c>
      <c r="C34" s="1878" t="str">
        <f>'5.Infrastructure Annex'!C62</f>
        <v>New construction: MCH Wings</v>
      </c>
      <c r="D34" s="1880" t="str">
        <f>'5.Infrastructure Annex'!D62</f>
        <v>HSS</v>
      </c>
      <c r="E34" s="1880" t="str">
        <f>'5.Infrastructure Annex'!E62</f>
        <v>MH/ HSS</v>
      </c>
      <c r="F34" s="1880">
        <f>'5.Infrastructure Annex'!F62</f>
        <v>0</v>
      </c>
      <c r="G34" s="1880">
        <f>'5.Infrastructure Annex'!G62</f>
        <v>0</v>
      </c>
      <c r="H34" s="1880">
        <f>'5.Infrastructure Annex'!H62</f>
        <v>0</v>
      </c>
      <c r="I34" s="1880">
        <f>'5.Infrastructure Annex'!I62</f>
        <v>0</v>
      </c>
      <c r="J34" s="1880">
        <f>'5.Infrastructure Annex'!J62</f>
        <v>0</v>
      </c>
      <c r="K34" s="1880">
        <f>'5.Infrastructure Annex'!K62</f>
        <v>0</v>
      </c>
      <c r="L34" s="619">
        <f>'5.Infrastructure Annex'!L62</f>
        <v>0</v>
      </c>
      <c r="M34" s="1880">
        <f>'5.Infrastructure Annex'!M62</f>
        <v>0</v>
      </c>
      <c r="N34" s="1880">
        <f>'5.Infrastructure Annex'!N62</f>
        <v>0</v>
      </c>
      <c r="O34" s="939">
        <f>'5.Infrastructure Annex'!O62</f>
        <v>0</v>
      </c>
      <c r="P34" s="1878">
        <f>'5.Infrastructure Annex'!P62</f>
        <v>0</v>
      </c>
      <c r="Q34" s="196"/>
      <c r="R34" s="1906"/>
      <c r="T34" s="3314"/>
    </row>
    <row r="35" spans="1:20" s="828" customFormat="1" x14ac:dyDescent="0.2">
      <c r="A35" s="1875">
        <f>'6.Procurement Annex'!A7</f>
        <v>6</v>
      </c>
      <c r="B35" s="1875"/>
      <c r="C35" s="1876" t="str">
        <f>'6.Procurement Annex'!C7</f>
        <v>Procurement</v>
      </c>
      <c r="D35" s="1877"/>
      <c r="E35" s="1877"/>
      <c r="F35" s="1877"/>
      <c r="G35" s="1877"/>
      <c r="H35" s="1877"/>
      <c r="I35" s="1877"/>
      <c r="J35" s="1877"/>
      <c r="K35" s="1877"/>
      <c r="L35" s="969"/>
      <c r="M35" s="1877"/>
      <c r="N35" s="1877"/>
      <c r="O35" s="969">
        <f>SUM(O36:O53)</f>
        <v>2024.9999</v>
      </c>
      <c r="P35" s="1875"/>
      <c r="Q35" s="162"/>
      <c r="R35" s="132">
        <f>SUM(R36:R53)</f>
        <v>0</v>
      </c>
      <c r="T35" s="3314"/>
    </row>
    <row r="36" spans="1:20" s="828" customFormat="1" x14ac:dyDescent="0.2">
      <c r="A36" s="4047" t="str">
        <f>'6.Procurement Annex'!A10</f>
        <v>6.1.1.1</v>
      </c>
      <c r="B36" s="1878" t="str">
        <f>'6-A. Proc. Sub-Annex'!C8</f>
        <v>B16.1.1.2</v>
      </c>
      <c r="C36" s="1879" t="str">
        <f>'6-A. Proc. Sub-Annex'!D8</f>
        <v>MVA /EVA for Safe Abortion services</v>
      </c>
      <c r="D36" s="1880" t="str">
        <f>'6-A. Proc. Sub-Annex'!E8</f>
        <v>RCH</v>
      </c>
      <c r="E36" s="1880" t="str">
        <f>'6-A. Proc. Sub-Annex'!F8</f>
        <v>MH</v>
      </c>
      <c r="F36" s="1880">
        <f>'6-A. Proc. Sub-Annex'!G8</f>
        <v>0</v>
      </c>
      <c r="G36" s="1880">
        <f>'6-A. Proc. Sub-Annex'!H8</f>
        <v>0</v>
      </c>
      <c r="H36" s="1880">
        <f>'6-A. Proc. Sub-Annex'!I8</f>
        <v>0</v>
      </c>
      <c r="I36" s="1880">
        <f>'6-A. Proc. Sub-Annex'!J8</f>
        <v>0</v>
      </c>
      <c r="J36" s="1880">
        <f>'6-A. Proc. Sub-Annex'!K8</f>
        <v>0</v>
      </c>
      <c r="K36" s="1880">
        <f>'6-A. Proc. Sub-Annex'!L8</f>
        <v>0</v>
      </c>
      <c r="L36" s="939">
        <f>'6-A. Proc. Sub-Annex'!M8</f>
        <v>0</v>
      </c>
      <c r="M36" s="1880">
        <f>'6-A. Proc. Sub-Annex'!N8</f>
        <v>0</v>
      </c>
      <c r="N36" s="1880">
        <f>'6-A. Proc. Sub-Annex'!O8</f>
        <v>0</v>
      </c>
      <c r="O36" s="939">
        <f>'6-A. Proc. Sub-Annex'!P8</f>
        <v>0</v>
      </c>
      <c r="P36" s="1878">
        <f>'6-A. Proc. Sub-Annex'!Q8</f>
        <v>0</v>
      </c>
      <c r="Q36" s="124"/>
      <c r="R36" s="1906"/>
      <c r="T36" s="3314"/>
    </row>
    <row r="37" spans="1:20" s="828" customFormat="1" x14ac:dyDescent="0.2">
      <c r="A37" s="4047"/>
      <c r="B37" s="1878">
        <f>'6-A. Proc. Sub-Annex'!C9</f>
        <v>0</v>
      </c>
      <c r="C37" s="1879" t="str">
        <f>'6-A. Proc. Sub-Annex'!D9</f>
        <v>Procurement under LaQshya</v>
      </c>
      <c r="D37" s="1880" t="str">
        <f>'6-A. Proc. Sub-Annex'!E9</f>
        <v>RCH</v>
      </c>
      <c r="E37" s="1880" t="str">
        <f>'6-A. Proc. Sub-Annex'!F9</f>
        <v>MH</v>
      </c>
      <c r="F37" s="1880">
        <f>'6-A. Proc. Sub-Annex'!G9</f>
        <v>0</v>
      </c>
      <c r="G37" s="1880">
        <f>'6-A. Proc. Sub-Annex'!H9</f>
        <v>0</v>
      </c>
      <c r="H37" s="1880">
        <f>'6-A. Proc. Sub-Annex'!I9</f>
        <v>0</v>
      </c>
      <c r="I37" s="1880">
        <f>'6-A. Proc. Sub-Annex'!J9</f>
        <v>0</v>
      </c>
      <c r="J37" s="1880">
        <f>'6-A. Proc. Sub-Annex'!K9</f>
        <v>0</v>
      </c>
      <c r="K37" s="1880">
        <f>'6-A. Proc. Sub-Annex'!L9</f>
        <v>0</v>
      </c>
      <c r="L37" s="939">
        <f>'6-A. Proc. Sub-Annex'!M9</f>
        <v>0</v>
      </c>
      <c r="M37" s="1880">
        <f>'6-A. Proc. Sub-Annex'!N9</f>
        <v>0</v>
      </c>
      <c r="N37" s="1880">
        <f>'6-A. Proc. Sub-Annex'!O9</f>
        <v>0</v>
      </c>
      <c r="O37" s="939">
        <f>'6-A. Proc. Sub-Annex'!P9</f>
        <v>0</v>
      </c>
      <c r="P37" s="1878">
        <f>'6-A. Proc. Sub-Annex'!Q9</f>
        <v>0</v>
      </c>
      <c r="Q37" s="196"/>
      <c r="R37" s="1906"/>
      <c r="T37" s="3314"/>
    </row>
    <row r="38" spans="1:20" s="828" customFormat="1" ht="30" x14ac:dyDescent="0.2">
      <c r="A38" s="4047"/>
      <c r="B38" s="1878">
        <f>'6-A. Proc. Sub-Annex'!C10</f>
        <v>0</v>
      </c>
      <c r="C38" s="1879" t="str">
        <f>'6-A. Proc. Sub-Annex'!D10</f>
        <v>Equipment for  Obstetric ICUs/ HDUs (as per operational guidelines of ICUs and HDUs, 2017)</v>
      </c>
      <c r="D38" s="1880" t="str">
        <f>'6-A. Proc. Sub-Annex'!E10</f>
        <v>RCH</v>
      </c>
      <c r="E38" s="1880" t="str">
        <f>'6-A. Proc. Sub-Annex'!F10</f>
        <v>MH</v>
      </c>
      <c r="F38" s="1880">
        <f>'6-A. Proc. Sub-Annex'!G10</f>
        <v>0</v>
      </c>
      <c r="G38" s="1880">
        <f>'6-A. Proc. Sub-Annex'!H10</f>
        <v>0</v>
      </c>
      <c r="H38" s="1880">
        <f>'6-A. Proc. Sub-Annex'!I10</f>
        <v>0</v>
      </c>
      <c r="I38" s="1880">
        <f>'6-A. Proc. Sub-Annex'!J10</f>
        <v>0</v>
      </c>
      <c r="J38" s="1880">
        <f>'6-A. Proc. Sub-Annex'!K10</f>
        <v>0</v>
      </c>
      <c r="K38" s="1880">
        <f>'6-A. Proc. Sub-Annex'!L10</f>
        <v>0</v>
      </c>
      <c r="L38" s="939">
        <f>'6-A. Proc. Sub-Annex'!M10</f>
        <v>0</v>
      </c>
      <c r="M38" s="1880">
        <f>'6-A. Proc. Sub-Annex'!N10</f>
        <v>0</v>
      </c>
      <c r="N38" s="1880">
        <f>'6-A. Proc. Sub-Annex'!O10</f>
        <v>0</v>
      </c>
      <c r="O38" s="939">
        <f>'6-A. Proc. Sub-Annex'!P10</f>
        <v>0</v>
      </c>
      <c r="P38" s="1878">
        <f>'6-A. Proc. Sub-Annex'!Q10</f>
        <v>0</v>
      </c>
      <c r="Q38" s="124"/>
      <c r="R38" s="1906"/>
      <c r="T38" s="3314"/>
    </row>
    <row r="39" spans="1:20" s="828" customFormat="1" x14ac:dyDescent="0.2">
      <c r="A39" s="4047"/>
      <c r="B39" s="1878" t="str">
        <f>'6-A. Proc. Sub-Annex'!C11</f>
        <v>B16.1.7/ A.9.1.2.2</v>
      </c>
      <c r="C39" s="1879" t="str">
        <f>'6-A. Proc. Sub-Annex'!D11</f>
        <v>Models and Equipment for DAKSHATA training</v>
      </c>
      <c r="D39" s="1880" t="str">
        <f>'6-A. Proc. Sub-Annex'!E11</f>
        <v>RCH</v>
      </c>
      <c r="E39" s="1880" t="str">
        <f>'6-A. Proc. Sub-Annex'!F11</f>
        <v>MH</v>
      </c>
      <c r="F39" s="1880">
        <f>'6-A. Proc. Sub-Annex'!G11</f>
        <v>0</v>
      </c>
      <c r="G39" s="1880">
        <f>'6-A. Proc. Sub-Annex'!H11</f>
        <v>0</v>
      </c>
      <c r="H39" s="1880">
        <f>'6-A. Proc. Sub-Annex'!I11</f>
        <v>0</v>
      </c>
      <c r="I39" s="1880">
        <f>'6-A. Proc. Sub-Annex'!J11</f>
        <v>0</v>
      </c>
      <c r="J39" s="1880">
        <f>'6-A. Proc. Sub-Annex'!K11</f>
        <v>0</v>
      </c>
      <c r="K39" s="1880">
        <f>'6-A. Proc. Sub-Annex'!L11</f>
        <v>0</v>
      </c>
      <c r="L39" s="939">
        <f>'6-A. Proc. Sub-Annex'!M11</f>
        <v>0</v>
      </c>
      <c r="M39" s="1880">
        <f>'6-A. Proc. Sub-Annex'!N11</f>
        <v>0</v>
      </c>
      <c r="N39" s="1880">
        <f>'6-A. Proc. Sub-Annex'!O11</f>
        <v>0</v>
      </c>
      <c r="O39" s="939">
        <f>'6-A. Proc. Sub-Annex'!P11</f>
        <v>0</v>
      </c>
      <c r="P39" s="1878">
        <f>'6-A. Proc. Sub-Annex'!Q11</f>
        <v>0</v>
      </c>
      <c r="Q39" s="124"/>
      <c r="R39" s="1906"/>
      <c r="T39" s="3314"/>
    </row>
    <row r="40" spans="1:20" s="828" customFormat="1" ht="409.5" x14ac:dyDescent="0.2">
      <c r="A40" s="4047"/>
      <c r="B40" s="1878" t="str">
        <f>'6-A. Proc. Sub-Annex'!C12</f>
        <v>B16.1.1.3</v>
      </c>
      <c r="C40" s="1879" t="str">
        <f>'6-A. Proc. Sub-Annex'!D12</f>
        <v>Any other equipment (please specify)</v>
      </c>
      <c r="D40" s="1880" t="str">
        <f>'6-A. Proc. Sub-Annex'!E12</f>
        <v>RCH</v>
      </c>
      <c r="E40" s="1880" t="str">
        <f>'6-A. Proc. Sub-Annex'!F12</f>
        <v>MH</v>
      </c>
      <c r="F40" s="1880">
        <f>'6-A. Proc. Sub-Annex'!G12</f>
        <v>0</v>
      </c>
      <c r="G40" s="1880">
        <f>'6-A. Proc. Sub-Annex'!H12</f>
        <v>0</v>
      </c>
      <c r="H40" s="1880">
        <f>'6-A. Proc. Sub-Annex'!I12</f>
        <v>0</v>
      </c>
      <c r="I40" s="1880">
        <f>'6-A. Proc. Sub-Annex'!J12</f>
        <v>0</v>
      </c>
      <c r="J40" s="1880">
        <f>'6-A. Proc. Sub-Annex'!K12</f>
        <v>0</v>
      </c>
      <c r="K40" s="1880" t="str">
        <f>'6-A. Proc. Sub-Annex'!L12</f>
        <v>Cost per centre</v>
      </c>
      <c r="L40" s="939">
        <f>'6-A. Proc. Sub-Annex'!M12</f>
        <v>9204545</v>
      </c>
      <c r="M40" s="1880">
        <f>'6-A. Proc. Sub-Annex'!N12</f>
        <v>92.045450000000002</v>
      </c>
      <c r="N40" s="1880">
        <f>'6-A. Proc. Sub-Annex'!O12</f>
        <v>22</v>
      </c>
      <c r="O40" s="939">
        <f>'6-A. Proc. Sub-Annex'!P12</f>
        <v>2024.9999</v>
      </c>
      <c r="P40" s="1878" t="str">
        <f>'6-A. Proc. Sub-Annex'!Q12</f>
        <v xml:space="preserve">Ongoing activity
1. Upgradation of Cemonc Centres at RSRM, Thiruvarur, Villupuram and Theni approved in ROP 2018-19. Construction work completed. Equipment cost proposed for Rs. 6.00 Cr. At Rs. 1.5 Cr per each Centre in ROP 2021-22.  
2. Construction of MCH Centres was approved in ROP 2018-19 at Virudhunagar, Kanchipuram, Tiruppathur, Kumbakonam, Ramnad, Jeyamkondan &amp; Ootty. Construction work completed. Equipment cost proposed for Rs. 14.00 Crore at Rs. 2 Cr each per MCH Centre in ROP 2021-22. 
3. Construction of MCH Centres was approved in ROP 2019-20 at 8 DH/sub district hospital viz GMCH Kanniyakumari, DHQH Cheyyar, Kallakurichi, Karaikudi, Pollachi, Perambalur, Kovilpatty and SDH Hosur. Construction work completed. Equipment cost proposed for Rs. 16.00 Crore at Rs. 2 Cr each per MCH Centre in ROP 2021-22. 
4. Upgradation of Cemonc Centres was approved in ROP 2019-20 at IRT Perundurai, GMCH COimbatore and GMCH Dharumapuri. Construction work completed.  Equipment cost proposed for Rs. 4.5 Cr. at Rs. 1.5 Cr. Each per Cemonc Centre in ROP 2021-22.  
Out of Total cost of Rs. 40.50 Cr. 50 % of the the amount Rs. 20.25 Cr. only proposed in the PIP 2021-22 and approved by GOI. Now all the equipment has been placed order and partial supply also completed and the balance equipments are under supply. Hence the balance 50% of Rs. 20.25 Cr. is proposed now. </v>
      </c>
      <c r="Q40" s="3293"/>
      <c r="R40" s="1906"/>
      <c r="T40" s="3314"/>
    </row>
    <row r="41" spans="1:20" s="828" customFormat="1" ht="30" x14ac:dyDescent="0.2">
      <c r="A41" s="1878" t="str">
        <f>'6.Procurement Annex'!A27</f>
        <v>6.1.3.2</v>
      </c>
      <c r="B41" s="1878" t="str">
        <f>'6-A. Proc. Sub-Annex'!C70</f>
        <v>A.1.6.1</v>
      </c>
      <c r="C41" s="1879" t="str">
        <f>'6-A. Proc. Sub-Annex'!D70</f>
        <v>Free Diagnostics for Pregnant women under JSSK</v>
      </c>
      <c r="D41" s="1880" t="str">
        <f>'6-A. Proc. Sub-Annex'!E70</f>
        <v>RCH</v>
      </c>
      <c r="E41" s="1880" t="str">
        <f>'6-A. Proc. Sub-Annex'!F70</f>
        <v>MH</v>
      </c>
      <c r="F41" s="1880">
        <f>'6-A. Proc. Sub-Annex'!G70</f>
        <v>0</v>
      </c>
      <c r="G41" s="1880">
        <f>'6-A. Proc. Sub-Annex'!H70</f>
        <v>0</v>
      </c>
      <c r="H41" s="1880">
        <f>'6-A. Proc. Sub-Annex'!I70</f>
        <v>0</v>
      </c>
      <c r="I41" s="1880">
        <f>'6-A. Proc. Sub-Annex'!J70</f>
        <v>0</v>
      </c>
      <c r="J41" s="1880">
        <f>'6-A. Proc. Sub-Annex'!K70</f>
        <v>0</v>
      </c>
      <c r="K41" s="1880">
        <f>'6-A. Proc. Sub-Annex'!L70</f>
        <v>0</v>
      </c>
      <c r="L41" s="939">
        <f>'6-A. Proc. Sub-Annex'!M70</f>
        <v>0</v>
      </c>
      <c r="M41" s="1880">
        <f>'6-A. Proc. Sub-Annex'!N70</f>
        <v>0</v>
      </c>
      <c r="N41" s="1880">
        <f>'6-A. Proc. Sub-Annex'!O70</f>
        <v>0</v>
      </c>
      <c r="O41" s="939">
        <f>'6-A. Proc. Sub-Annex'!P70</f>
        <v>0</v>
      </c>
      <c r="P41" s="1878">
        <f>'6-A. Proc. Sub-Annex'!Q70</f>
        <v>0</v>
      </c>
      <c r="Q41" s="124"/>
      <c r="R41" s="1906"/>
      <c r="T41" s="3314"/>
    </row>
    <row r="42" spans="1:20" s="828" customFormat="1" x14ac:dyDescent="0.2">
      <c r="A42" s="4047" t="str">
        <f>'6.Procurement Annex'!A56</f>
        <v>6.2.1.1</v>
      </c>
      <c r="B42" s="1878" t="str">
        <f>'6-A. Proc. Sub-Annex'!C147</f>
        <v>B.16.2.1.1</v>
      </c>
      <c r="C42" s="1879" t="str">
        <f>'6-A. Proc. Sub-Annex'!D147</f>
        <v xml:space="preserve">RTI /STI drugs and consumables </v>
      </c>
      <c r="D42" s="1880" t="str">
        <f>'6-A. Proc. Sub-Annex'!E147</f>
        <v>RCH</v>
      </c>
      <c r="E42" s="1880" t="str">
        <f>'6-A. Proc. Sub-Annex'!F147</f>
        <v>MH</v>
      </c>
      <c r="F42" s="1880">
        <f>'6-A. Proc. Sub-Annex'!G147</f>
        <v>0</v>
      </c>
      <c r="G42" s="1880">
        <f>'6-A. Proc. Sub-Annex'!H147</f>
        <v>0</v>
      </c>
      <c r="H42" s="1880">
        <f>'6-A. Proc. Sub-Annex'!I147</f>
        <v>0</v>
      </c>
      <c r="I42" s="1880">
        <f>'6-A. Proc. Sub-Annex'!J147</f>
        <v>0</v>
      </c>
      <c r="J42" s="1880">
        <f>'6-A. Proc. Sub-Annex'!K147</f>
        <v>0</v>
      </c>
      <c r="K42" s="1880">
        <f>'6-A. Proc. Sub-Annex'!L147</f>
        <v>0</v>
      </c>
      <c r="L42" s="939">
        <f>'6-A. Proc. Sub-Annex'!M147</f>
        <v>0</v>
      </c>
      <c r="M42" s="1880">
        <f>'6-A. Proc. Sub-Annex'!N147</f>
        <v>0</v>
      </c>
      <c r="N42" s="1880">
        <f>'6-A. Proc. Sub-Annex'!O147</f>
        <v>0</v>
      </c>
      <c r="O42" s="939">
        <f>'6-A. Proc. Sub-Annex'!P147</f>
        <v>0</v>
      </c>
      <c r="P42" s="1878">
        <f>'6-A. Proc. Sub-Annex'!Q147</f>
        <v>0</v>
      </c>
      <c r="Q42" s="124"/>
      <c r="R42" s="1880"/>
      <c r="T42" s="3314"/>
    </row>
    <row r="43" spans="1:20" s="828" customFormat="1" x14ac:dyDescent="0.2">
      <c r="A43" s="4047"/>
      <c r="B43" s="1878" t="str">
        <f>'6-A. Proc. Sub-Annex'!C148</f>
        <v>B.16.2.1.2</v>
      </c>
      <c r="C43" s="1879" t="str">
        <f>'6-A. Proc. Sub-Annex'!D148</f>
        <v>Drugs for Safe Abortion (MMA)</v>
      </c>
      <c r="D43" s="1880" t="str">
        <f>'6-A. Proc. Sub-Annex'!E148</f>
        <v>RCH</v>
      </c>
      <c r="E43" s="1880" t="str">
        <f>'6-A. Proc. Sub-Annex'!F148</f>
        <v>MH</v>
      </c>
      <c r="F43" s="1880">
        <f>'6-A. Proc. Sub-Annex'!G148</f>
        <v>0</v>
      </c>
      <c r="G43" s="1880">
        <f>'6-A. Proc. Sub-Annex'!H148</f>
        <v>0</v>
      </c>
      <c r="H43" s="1880">
        <f>'6-A. Proc. Sub-Annex'!I148</f>
        <v>0</v>
      </c>
      <c r="I43" s="1880">
        <f>'6-A. Proc. Sub-Annex'!J148</f>
        <v>0</v>
      </c>
      <c r="J43" s="1880">
        <f>'6-A. Proc. Sub-Annex'!K148</f>
        <v>0</v>
      </c>
      <c r="K43" s="1880">
        <f>'6-A. Proc. Sub-Annex'!L148</f>
        <v>0</v>
      </c>
      <c r="L43" s="939">
        <f>'6-A. Proc. Sub-Annex'!M148</f>
        <v>0</v>
      </c>
      <c r="M43" s="1880">
        <f>'6-A. Proc. Sub-Annex'!N148</f>
        <v>0</v>
      </c>
      <c r="N43" s="1880">
        <f>'6-A. Proc. Sub-Annex'!O148</f>
        <v>0</v>
      </c>
      <c r="O43" s="939">
        <f>'6-A. Proc. Sub-Annex'!P148</f>
        <v>0</v>
      </c>
      <c r="P43" s="1878">
        <f>'6-A. Proc. Sub-Annex'!Q148</f>
        <v>0</v>
      </c>
      <c r="Q43" s="124"/>
      <c r="R43" s="1906"/>
      <c r="T43" s="3314"/>
    </row>
    <row r="44" spans="1:20" s="828" customFormat="1" x14ac:dyDescent="0.2">
      <c r="A44" s="4047"/>
      <c r="B44" s="1878" t="str">
        <f>'6-A. Proc. Sub-Annex'!C149</f>
        <v>B.16.2.1.4</v>
      </c>
      <c r="C44" s="1879" t="str">
        <f>'6-A. Proc. Sub-Annex'!D149</f>
        <v>RPR Kits</v>
      </c>
      <c r="D44" s="1880" t="str">
        <f>'6-A. Proc. Sub-Annex'!E149</f>
        <v>RCH</v>
      </c>
      <c r="E44" s="1880" t="str">
        <f>'6-A. Proc. Sub-Annex'!F149</f>
        <v>MH</v>
      </c>
      <c r="F44" s="1880">
        <f>'6-A. Proc. Sub-Annex'!G149</f>
        <v>0</v>
      </c>
      <c r="G44" s="1880">
        <f>'6-A. Proc. Sub-Annex'!H149</f>
        <v>0</v>
      </c>
      <c r="H44" s="1880">
        <f>'6-A. Proc. Sub-Annex'!I149</f>
        <v>0</v>
      </c>
      <c r="I44" s="1880">
        <f>'6-A. Proc. Sub-Annex'!J149</f>
        <v>0</v>
      </c>
      <c r="J44" s="1880">
        <f>'6-A. Proc. Sub-Annex'!K149</f>
        <v>0</v>
      </c>
      <c r="K44" s="1880">
        <f>'6-A. Proc. Sub-Annex'!L149</f>
        <v>0</v>
      </c>
      <c r="L44" s="939">
        <f>'6-A. Proc. Sub-Annex'!M149</f>
        <v>0</v>
      </c>
      <c r="M44" s="1880">
        <f>'6-A. Proc. Sub-Annex'!N149</f>
        <v>0</v>
      </c>
      <c r="N44" s="1880">
        <f>'6-A. Proc. Sub-Annex'!O149</f>
        <v>0</v>
      </c>
      <c r="O44" s="939">
        <f>'6-A. Proc. Sub-Annex'!P149</f>
        <v>0</v>
      </c>
      <c r="P44" s="1878">
        <f>'6-A. Proc. Sub-Annex'!Q149</f>
        <v>0</v>
      </c>
      <c r="Q44" s="610"/>
      <c r="R44" s="1880"/>
    </row>
    <row r="45" spans="1:20" s="828" customFormat="1" x14ac:dyDescent="0.2">
      <c r="A45" s="4047"/>
      <c r="B45" s="1878" t="str">
        <f>'6-A. Proc. Sub-Annex'!C150</f>
        <v>B.16.2.1.5</v>
      </c>
      <c r="C45" s="1879" t="str">
        <f>'6-A. Proc. Sub-Annex'!D150</f>
        <v>Whole blood finger prick test for HIV</v>
      </c>
      <c r="D45" s="1880" t="str">
        <f>'6-A. Proc. Sub-Annex'!E150</f>
        <v>RCH</v>
      </c>
      <c r="E45" s="1880" t="str">
        <f>'6-A. Proc. Sub-Annex'!F150</f>
        <v>MH</v>
      </c>
      <c r="F45" s="1880">
        <f>'6-A. Proc. Sub-Annex'!G150</f>
        <v>0</v>
      </c>
      <c r="G45" s="1880">
        <f>'6-A. Proc. Sub-Annex'!H150</f>
        <v>0</v>
      </c>
      <c r="H45" s="1880">
        <f>'6-A. Proc. Sub-Annex'!I150</f>
        <v>0</v>
      </c>
      <c r="I45" s="1880">
        <f>'6-A. Proc. Sub-Annex'!J150</f>
        <v>0</v>
      </c>
      <c r="J45" s="1880">
        <f>'6-A. Proc. Sub-Annex'!K150</f>
        <v>0</v>
      </c>
      <c r="K45" s="1880">
        <f>'6-A. Proc. Sub-Annex'!L150</f>
        <v>0</v>
      </c>
      <c r="L45" s="939">
        <f>'6-A. Proc. Sub-Annex'!M150</f>
        <v>0</v>
      </c>
      <c r="M45" s="1880">
        <f>'6-A. Proc. Sub-Annex'!N150</f>
        <v>0</v>
      </c>
      <c r="N45" s="1880">
        <f>'6-A. Proc. Sub-Annex'!O150</f>
        <v>0</v>
      </c>
      <c r="O45" s="939">
        <f>'6-A. Proc. Sub-Annex'!P150</f>
        <v>0</v>
      </c>
      <c r="P45" s="1878">
        <f>'6-A. Proc. Sub-Annex'!Q150</f>
        <v>0</v>
      </c>
      <c r="Q45" s="3323"/>
      <c r="R45" s="1906"/>
      <c r="T45" s="3314"/>
    </row>
    <row r="46" spans="1:20" s="828" customFormat="1" ht="30" x14ac:dyDescent="0.2">
      <c r="A46" s="4047"/>
      <c r="B46" s="1878" t="str">
        <f>'6-A. Proc. Sub-Annex'!C151</f>
        <v>B.16.2.6.4.a</v>
      </c>
      <c r="C46" s="1879" t="str">
        <f>'6-A. Proc. Sub-Annex'!D151</f>
        <v xml:space="preserve">IFA tablets for non-pregnant &amp; non-lactating women in Reproductive Age (20-49 years) </v>
      </c>
      <c r="D46" s="1880" t="str">
        <f>'6-A. Proc. Sub-Annex'!E151</f>
        <v>RCH</v>
      </c>
      <c r="E46" s="1880" t="str">
        <f>'6-A. Proc. Sub-Annex'!F151</f>
        <v>MH</v>
      </c>
      <c r="F46" s="1880">
        <f>'6-A. Proc. Sub-Annex'!G151</f>
        <v>0</v>
      </c>
      <c r="G46" s="1880">
        <f>'6-A. Proc. Sub-Annex'!H151</f>
        <v>0</v>
      </c>
      <c r="H46" s="1880">
        <f>'6-A. Proc. Sub-Annex'!I151</f>
        <v>0</v>
      </c>
      <c r="I46" s="1880">
        <f>'6-A. Proc. Sub-Annex'!J151</f>
        <v>0</v>
      </c>
      <c r="J46" s="1880">
        <f>'6-A. Proc. Sub-Annex'!K151</f>
        <v>0</v>
      </c>
      <c r="K46" s="1880">
        <f>'6-A. Proc. Sub-Annex'!L151</f>
        <v>0</v>
      </c>
      <c r="L46" s="939">
        <f>'6-A. Proc. Sub-Annex'!M151</f>
        <v>0</v>
      </c>
      <c r="M46" s="1880">
        <f>'6-A. Proc. Sub-Annex'!N151</f>
        <v>0</v>
      </c>
      <c r="N46" s="1880">
        <f>'6-A. Proc. Sub-Annex'!O151</f>
        <v>0</v>
      </c>
      <c r="O46" s="939">
        <f>'6-A. Proc. Sub-Annex'!P151</f>
        <v>0</v>
      </c>
      <c r="P46" s="1878">
        <f>'6-A. Proc. Sub-Annex'!Q151</f>
        <v>0</v>
      </c>
      <c r="Q46" s="124"/>
      <c r="R46" s="1906"/>
      <c r="T46" s="3314"/>
    </row>
    <row r="47" spans="1:20" s="828" customFormat="1" ht="45" x14ac:dyDescent="0.2">
      <c r="A47" s="4047"/>
      <c r="B47" s="1878" t="str">
        <f>'6-A. Proc. Sub-Annex'!C152</f>
        <v>B.16.2.6.4.b</v>
      </c>
      <c r="C47" s="1879" t="str">
        <f>'6-A. Proc. Sub-Annex'!D152</f>
        <v xml:space="preserve">Albendazole Tablets for non-pregnant &amp; non-lactating women in Reproductive Age (20-49 years) </v>
      </c>
      <c r="D47" s="1880" t="str">
        <f>'6-A. Proc. Sub-Annex'!E152</f>
        <v>RCH</v>
      </c>
      <c r="E47" s="1880" t="str">
        <f>'6-A. Proc. Sub-Annex'!F152</f>
        <v>MH</v>
      </c>
      <c r="F47" s="1880">
        <f>'6-A. Proc. Sub-Annex'!G152</f>
        <v>0</v>
      </c>
      <c r="G47" s="1880">
        <f>'6-A. Proc. Sub-Annex'!H152</f>
        <v>0</v>
      </c>
      <c r="H47" s="1880">
        <f>'6-A. Proc. Sub-Annex'!I152</f>
        <v>0</v>
      </c>
      <c r="I47" s="1880">
        <f>'6-A. Proc. Sub-Annex'!J152</f>
        <v>0</v>
      </c>
      <c r="J47" s="1880">
        <f>'6-A. Proc. Sub-Annex'!K152</f>
        <v>0</v>
      </c>
      <c r="K47" s="1880">
        <f>'6-A. Proc. Sub-Annex'!L152</f>
        <v>0</v>
      </c>
      <c r="L47" s="939">
        <f>'6-A. Proc. Sub-Annex'!M152</f>
        <v>0</v>
      </c>
      <c r="M47" s="1880">
        <f>'6-A. Proc. Sub-Annex'!N152</f>
        <v>0</v>
      </c>
      <c r="N47" s="1880">
        <f>'6-A. Proc. Sub-Annex'!O152</f>
        <v>0</v>
      </c>
      <c r="O47" s="939">
        <f>'6-A. Proc. Sub-Annex'!P152</f>
        <v>0</v>
      </c>
      <c r="P47" s="1878">
        <f>'6-A. Proc. Sub-Annex'!Q152</f>
        <v>0</v>
      </c>
      <c r="Q47" s="124"/>
      <c r="R47" s="1906"/>
      <c r="T47" s="3314"/>
    </row>
    <row r="48" spans="1:20" s="828" customFormat="1" x14ac:dyDescent="0.2">
      <c r="A48" s="4047"/>
      <c r="B48" s="1878" t="str">
        <f>'6-A. Proc. Sub-Annex'!C154</f>
        <v>B.16.2.6.5.a</v>
      </c>
      <c r="C48" s="1879" t="str">
        <f>'6-A. Proc. Sub-Annex'!D154</f>
        <v>IFA tablets for Pregnant &amp; Lactating Mothers</v>
      </c>
      <c r="D48" s="1880" t="str">
        <f>'6-A. Proc. Sub-Annex'!E154</f>
        <v>RCH</v>
      </c>
      <c r="E48" s="1880" t="str">
        <f>'6-A. Proc. Sub-Annex'!F154</f>
        <v>MH</v>
      </c>
      <c r="F48" s="1880">
        <f>'6-A. Proc. Sub-Annex'!G154</f>
        <v>0</v>
      </c>
      <c r="G48" s="1880">
        <f>'6-A. Proc. Sub-Annex'!H154</f>
        <v>0</v>
      </c>
      <c r="H48" s="1880">
        <f>'6-A. Proc. Sub-Annex'!I154</f>
        <v>0</v>
      </c>
      <c r="I48" s="1880">
        <f>'6-A. Proc. Sub-Annex'!J154</f>
        <v>0</v>
      </c>
      <c r="J48" s="1880">
        <f>'6-A. Proc. Sub-Annex'!K154</f>
        <v>0</v>
      </c>
      <c r="K48" s="1880">
        <f>'6-A. Proc. Sub-Annex'!L154</f>
        <v>0</v>
      </c>
      <c r="L48" s="939">
        <f>'6-A. Proc. Sub-Annex'!M154</f>
        <v>0</v>
      </c>
      <c r="M48" s="1880">
        <f>'6-A. Proc. Sub-Annex'!N154</f>
        <v>0</v>
      </c>
      <c r="N48" s="1880">
        <f>'6-A. Proc. Sub-Annex'!O154</f>
        <v>0</v>
      </c>
      <c r="O48" s="939">
        <f>'6-A. Proc. Sub-Annex'!P154</f>
        <v>0</v>
      </c>
      <c r="P48" s="1878">
        <f>'6-A. Proc. Sub-Annex'!Q154</f>
        <v>0</v>
      </c>
      <c r="Q48" s="2044"/>
      <c r="R48" s="1880"/>
    </row>
    <row r="49" spans="1:20" s="828" customFormat="1" ht="34.5" customHeight="1" x14ac:dyDescent="0.2">
      <c r="A49" s="4047"/>
      <c r="B49" s="1878" t="str">
        <f>'6-A. Proc. Sub-Annex'!C155</f>
        <v>B.16.2.6.5.b</v>
      </c>
      <c r="C49" s="1879" t="str">
        <f>'6-A. Proc. Sub-Annex'!D155</f>
        <v>Folic Acid Tablets (400 mcg) for Pregnant &amp; Lactating Mothers</v>
      </c>
      <c r="D49" s="1880" t="str">
        <f>'6-A. Proc. Sub-Annex'!E155</f>
        <v>RCH</v>
      </c>
      <c r="E49" s="1880" t="str">
        <f>'6-A. Proc. Sub-Annex'!F155</f>
        <v>MH</v>
      </c>
      <c r="F49" s="1880">
        <f>'6-A. Proc. Sub-Annex'!G155</f>
        <v>0</v>
      </c>
      <c r="G49" s="1880">
        <f>'6-A. Proc. Sub-Annex'!H155</f>
        <v>0</v>
      </c>
      <c r="H49" s="1880">
        <f>'6-A. Proc. Sub-Annex'!I155</f>
        <v>0</v>
      </c>
      <c r="I49" s="1880">
        <f>'6-A. Proc. Sub-Annex'!J155</f>
        <v>0</v>
      </c>
      <c r="J49" s="1880">
        <f>'6-A. Proc. Sub-Annex'!K155</f>
        <v>0</v>
      </c>
      <c r="K49" s="1880">
        <f>'6-A. Proc. Sub-Annex'!L155</f>
        <v>0</v>
      </c>
      <c r="L49" s="939">
        <f>'6-A. Proc. Sub-Annex'!M155</f>
        <v>0</v>
      </c>
      <c r="M49" s="1880">
        <f>'6-A. Proc. Sub-Annex'!N155</f>
        <v>0</v>
      </c>
      <c r="N49" s="1880">
        <f>'6-A. Proc. Sub-Annex'!O155</f>
        <v>0</v>
      </c>
      <c r="O49" s="939">
        <f>'6-A. Proc. Sub-Annex'!P155</f>
        <v>0</v>
      </c>
      <c r="P49" s="1878">
        <f>'6-A. Proc. Sub-Annex'!Q155</f>
        <v>0</v>
      </c>
      <c r="Q49" s="2044"/>
      <c r="R49" s="1880"/>
    </row>
    <row r="50" spans="1:20" s="828" customFormat="1" x14ac:dyDescent="0.2">
      <c r="A50" s="4047"/>
      <c r="B50" s="1878">
        <f>'6-A. Proc. Sub-Annex'!C156</f>
        <v>0</v>
      </c>
      <c r="C50" s="1879" t="str">
        <f>'6-A. Proc. Sub-Annex'!D156</f>
        <v>Calcium tablets</v>
      </c>
      <c r="D50" s="1880" t="str">
        <f>'6-A. Proc. Sub-Annex'!E156</f>
        <v>RCH</v>
      </c>
      <c r="E50" s="1880" t="str">
        <f>'6-A. Proc. Sub-Annex'!F156</f>
        <v>MH</v>
      </c>
      <c r="F50" s="1880">
        <f>'6-A. Proc. Sub-Annex'!G156</f>
        <v>0</v>
      </c>
      <c r="G50" s="1880">
        <f>'6-A. Proc. Sub-Annex'!H156</f>
        <v>0</v>
      </c>
      <c r="H50" s="1880">
        <f>'6-A. Proc. Sub-Annex'!I156</f>
        <v>0</v>
      </c>
      <c r="I50" s="1880">
        <f>'6-A. Proc. Sub-Annex'!J156</f>
        <v>0</v>
      </c>
      <c r="J50" s="1880">
        <f>'6-A. Proc. Sub-Annex'!K156</f>
        <v>0</v>
      </c>
      <c r="K50" s="1880">
        <f>'6-A. Proc. Sub-Annex'!L156</f>
        <v>0</v>
      </c>
      <c r="L50" s="939">
        <f>'6-A. Proc. Sub-Annex'!M156</f>
        <v>0</v>
      </c>
      <c r="M50" s="1880">
        <f>'6-A. Proc. Sub-Annex'!N156</f>
        <v>0</v>
      </c>
      <c r="N50" s="1880">
        <f>'6-A. Proc. Sub-Annex'!O156</f>
        <v>0</v>
      </c>
      <c r="O50" s="939">
        <f>'6-A. Proc. Sub-Annex'!P156</f>
        <v>0</v>
      </c>
      <c r="P50" s="1878">
        <f>'6-A. Proc. Sub-Annex'!Q156</f>
        <v>0</v>
      </c>
      <c r="Q50" s="124"/>
      <c r="R50" s="1906"/>
      <c r="T50" s="3314"/>
    </row>
    <row r="51" spans="1:20" s="828" customFormat="1" x14ac:dyDescent="0.2">
      <c r="A51" s="4047"/>
      <c r="B51" s="1878">
        <f>'6-A. Proc. Sub-Annex'!C157</f>
        <v>0</v>
      </c>
      <c r="C51" s="1879" t="str">
        <f>'6-A. Proc. Sub-Annex'!D157</f>
        <v>Albendazole tablets</v>
      </c>
      <c r="D51" s="1880" t="str">
        <f>'6-A. Proc. Sub-Annex'!E157</f>
        <v>RCH</v>
      </c>
      <c r="E51" s="1880" t="str">
        <f>'6-A. Proc. Sub-Annex'!F157</f>
        <v>MH</v>
      </c>
      <c r="F51" s="1880">
        <f>'6-A. Proc. Sub-Annex'!G157</f>
        <v>0</v>
      </c>
      <c r="G51" s="1880">
        <f>'6-A. Proc. Sub-Annex'!H157</f>
        <v>0</v>
      </c>
      <c r="H51" s="1880">
        <f>'6-A. Proc. Sub-Annex'!I157</f>
        <v>0</v>
      </c>
      <c r="I51" s="1880">
        <f>'6-A. Proc. Sub-Annex'!J157</f>
        <v>0</v>
      </c>
      <c r="J51" s="1880">
        <f>'6-A. Proc. Sub-Annex'!K157</f>
        <v>0</v>
      </c>
      <c r="K51" s="1880">
        <f>'6-A. Proc. Sub-Annex'!L157</f>
        <v>0</v>
      </c>
      <c r="L51" s="939">
        <f>'6-A. Proc. Sub-Annex'!M157</f>
        <v>0</v>
      </c>
      <c r="M51" s="1880">
        <f>'6-A. Proc. Sub-Annex'!N157</f>
        <v>0</v>
      </c>
      <c r="N51" s="1880">
        <f>'6-A. Proc. Sub-Annex'!O157</f>
        <v>0</v>
      </c>
      <c r="O51" s="939">
        <f>'6-A. Proc. Sub-Annex'!P157</f>
        <v>0</v>
      </c>
      <c r="P51" s="1878">
        <f>'6-A. Proc. Sub-Annex'!Q157</f>
        <v>0</v>
      </c>
      <c r="Q51" s="124"/>
      <c r="R51" s="1880"/>
    </row>
    <row r="52" spans="1:20" s="828" customFormat="1" ht="63.75" customHeight="1" x14ac:dyDescent="0.2">
      <c r="A52" s="4047"/>
      <c r="B52" s="1878" t="str">
        <f>'6-A. Proc. Sub-Annex'!C158</f>
        <v>B.16.2.1.3.1</v>
      </c>
      <c r="C52" s="1879" t="str">
        <f>'6-A. Proc. Sub-Annex'!D158</f>
        <v>Other JSSK drugs &amp; consumables</v>
      </c>
      <c r="D52" s="1880" t="str">
        <f>'6-A. Proc. Sub-Annex'!E158</f>
        <v>RCH</v>
      </c>
      <c r="E52" s="1880" t="str">
        <f>'6-A. Proc. Sub-Annex'!F158</f>
        <v>MH</v>
      </c>
      <c r="F52" s="1880">
        <f>'6-A. Proc. Sub-Annex'!G158</f>
        <v>0</v>
      </c>
      <c r="G52" s="1880">
        <f>'6-A. Proc. Sub-Annex'!H158</f>
        <v>0</v>
      </c>
      <c r="H52" s="1880">
        <f>'6-A. Proc. Sub-Annex'!I158</f>
        <v>0</v>
      </c>
      <c r="I52" s="1880">
        <f>'6-A. Proc. Sub-Annex'!J158</f>
        <v>0</v>
      </c>
      <c r="J52" s="1880">
        <f>'6-A. Proc. Sub-Annex'!K158</f>
        <v>0</v>
      </c>
      <c r="K52" s="1880">
        <f>'6-A. Proc. Sub-Annex'!L158</f>
        <v>0</v>
      </c>
      <c r="L52" s="939">
        <f>'6-A. Proc. Sub-Annex'!M158</f>
        <v>0</v>
      </c>
      <c r="M52" s="1880">
        <f>'6-A. Proc. Sub-Annex'!N158</f>
        <v>0</v>
      </c>
      <c r="N52" s="1880">
        <f>'6-A. Proc. Sub-Annex'!O158</f>
        <v>0</v>
      </c>
      <c r="O52" s="939">
        <f>'6-A. Proc. Sub-Annex'!P158</f>
        <v>0</v>
      </c>
      <c r="P52" s="1878">
        <f>'6-A. Proc. Sub-Annex'!Q158</f>
        <v>0</v>
      </c>
      <c r="Q52" s="124"/>
      <c r="R52" s="1906"/>
      <c r="T52" s="3314"/>
    </row>
    <row r="53" spans="1:20" s="828" customFormat="1" x14ac:dyDescent="0.2">
      <c r="A53" s="4047"/>
      <c r="B53" s="1878" t="str">
        <f>'6-A. Proc. Sub-Annex'!C159</f>
        <v>B.16.2.1.3</v>
      </c>
      <c r="C53" s="1879" t="str">
        <f>'6-A. Proc. Sub-Annex'!D159</f>
        <v>Any other Drugs &amp; Supplies (Please specify)</v>
      </c>
      <c r="D53" s="1880" t="str">
        <f>'6-A. Proc. Sub-Annex'!E159</f>
        <v>RCH</v>
      </c>
      <c r="E53" s="1880" t="str">
        <f>'6-A. Proc. Sub-Annex'!F159</f>
        <v>MH</v>
      </c>
      <c r="F53" s="1880">
        <f>'6-A. Proc. Sub-Annex'!G159</f>
        <v>0</v>
      </c>
      <c r="G53" s="1880">
        <f>'6-A. Proc. Sub-Annex'!H159</f>
        <v>0</v>
      </c>
      <c r="H53" s="1880">
        <f>'6-A. Proc. Sub-Annex'!I159</f>
        <v>0</v>
      </c>
      <c r="I53" s="1880">
        <f>'6-A. Proc. Sub-Annex'!J159</f>
        <v>0</v>
      </c>
      <c r="J53" s="1880">
        <f>'6-A. Proc. Sub-Annex'!K159</f>
        <v>0</v>
      </c>
      <c r="K53" s="1880">
        <f>'6-A. Proc. Sub-Annex'!L159</f>
        <v>0</v>
      </c>
      <c r="L53" s="939">
        <f>'6-A. Proc. Sub-Annex'!M159</f>
        <v>0</v>
      </c>
      <c r="M53" s="1880">
        <f>'6-A. Proc. Sub-Annex'!N159</f>
        <v>0</v>
      </c>
      <c r="N53" s="1880">
        <f>'6-A. Proc. Sub-Annex'!O159</f>
        <v>0</v>
      </c>
      <c r="O53" s="939">
        <f>'6-A. Proc. Sub-Annex'!P159</f>
        <v>0</v>
      </c>
      <c r="P53" s="1878">
        <f>'6-A. Proc. Sub-Annex'!Q159</f>
        <v>0</v>
      </c>
      <c r="Q53" s="196"/>
      <c r="R53" s="1906"/>
      <c r="T53" s="3314"/>
    </row>
    <row r="54" spans="1:20" s="828" customFormat="1" x14ac:dyDescent="0.2">
      <c r="A54" s="1875">
        <f>'7.Referral Transport Annex'!A7</f>
        <v>7</v>
      </c>
      <c r="B54" s="1885"/>
      <c r="C54" s="1876" t="str">
        <f>'7.Referral Transport Annex'!C7</f>
        <v>Referral Transport</v>
      </c>
      <c r="D54" s="1877"/>
      <c r="E54" s="1877"/>
      <c r="F54" s="1877"/>
      <c r="G54" s="1877"/>
      <c r="H54" s="969"/>
      <c r="I54" s="1877"/>
      <c r="J54" s="969"/>
      <c r="K54" s="1877"/>
      <c r="L54" s="969"/>
      <c r="M54" s="969"/>
      <c r="N54" s="1886"/>
      <c r="O54" s="1887">
        <f>SUM(O55)</f>
        <v>0</v>
      </c>
      <c r="P54" s="1888"/>
      <c r="Q54" s="1908"/>
      <c r="R54" s="1909">
        <f>SUM(R55)</f>
        <v>0</v>
      </c>
      <c r="T54" s="3314"/>
    </row>
    <row r="55" spans="1:20" s="828" customFormat="1" ht="30" x14ac:dyDescent="0.2">
      <c r="A55" s="1878">
        <f>'7.Referral Transport Annex'!A8</f>
        <v>7.1</v>
      </c>
      <c r="B55" s="1878" t="str">
        <f>'7.Referral Transport Annex'!B8</f>
        <v>A.1.6.4</v>
      </c>
      <c r="C55" s="1879" t="str">
        <f>'7.Referral Transport Annex'!C8</f>
        <v>Free Referral Transport - JSSK for Pregnant Women</v>
      </c>
      <c r="D55" s="1880" t="str">
        <f>'7.Referral Transport Annex'!D8</f>
        <v>RCH</v>
      </c>
      <c r="E55" s="1880" t="str">
        <f>'7.Referral Transport Annex'!E8</f>
        <v>MH</v>
      </c>
      <c r="F55" s="1880">
        <f>'7.Referral Transport Annex'!F8</f>
        <v>0</v>
      </c>
      <c r="G55" s="1880">
        <f>'7.Referral Transport Annex'!G8</f>
        <v>0</v>
      </c>
      <c r="H55" s="1880">
        <f>'7.Referral Transport Annex'!H8</f>
        <v>0</v>
      </c>
      <c r="I55" s="1880">
        <f>'7.Referral Transport Annex'!I8</f>
        <v>0</v>
      </c>
      <c r="J55" s="1880">
        <f>'7.Referral Transport Annex'!J8</f>
        <v>0</v>
      </c>
      <c r="K55" s="1880">
        <f>'7.Referral Transport Annex'!K8</f>
        <v>0</v>
      </c>
      <c r="L55" s="939">
        <f>'7.Referral Transport Annex'!L8</f>
        <v>0</v>
      </c>
      <c r="M55" s="1880">
        <f>'7.Referral Transport Annex'!M8</f>
        <v>0</v>
      </c>
      <c r="N55" s="1880">
        <f>'7.Referral Transport Annex'!N8</f>
        <v>0</v>
      </c>
      <c r="O55" s="939">
        <f>'7.Referral Transport Annex'!O8</f>
        <v>0</v>
      </c>
      <c r="P55" s="1878">
        <f>'7.Referral Transport Annex'!P8</f>
        <v>0</v>
      </c>
      <c r="Q55" s="124"/>
      <c r="R55" s="1906"/>
      <c r="T55" s="3314"/>
    </row>
    <row r="56" spans="1:20" s="828" customFormat="1" x14ac:dyDescent="0.2">
      <c r="A56" s="1875">
        <f>'9.Training Annex'!A7</f>
        <v>9</v>
      </c>
      <c r="B56" s="1885"/>
      <c r="C56" s="1876" t="str">
        <f>'9.Training Annex'!C7</f>
        <v>Training and Capacity Building</v>
      </c>
      <c r="D56" s="1877"/>
      <c r="E56" s="1877"/>
      <c r="F56" s="1877"/>
      <c r="G56" s="1877"/>
      <c r="H56" s="969"/>
      <c r="I56" s="1877"/>
      <c r="J56" s="969"/>
      <c r="K56" s="1877"/>
      <c r="L56" s="969"/>
      <c r="M56" s="969"/>
      <c r="N56" s="1886"/>
      <c r="O56" s="1887">
        <f>SUM(O57:O89)</f>
        <v>0</v>
      </c>
      <c r="P56" s="1888"/>
      <c r="Q56" s="1908"/>
      <c r="R56" s="1909">
        <f>SUM(R57:R89)</f>
        <v>0</v>
      </c>
      <c r="T56" s="3314"/>
    </row>
    <row r="57" spans="1:20" s="828" customFormat="1" x14ac:dyDescent="0.2">
      <c r="A57" s="4048" t="str">
        <f>'9.Training Annex'!A9</f>
        <v>9.1.1</v>
      </c>
      <c r="B57" s="1878" t="str">
        <f>'9-A.Training Sub-Annex'!C7</f>
        <v>A.9.1.2.2</v>
      </c>
      <c r="C57" s="1879" t="str">
        <f>'9-A.Training Sub-Annex'!D7</f>
        <v>Setting up of Skill Lab</v>
      </c>
      <c r="D57" s="1880" t="str">
        <f>'9-A.Training Sub-Annex'!E7</f>
        <v>RCH</v>
      </c>
      <c r="E57" s="1880" t="str">
        <f>'9-A.Training Sub-Annex'!F7</f>
        <v>MH</v>
      </c>
      <c r="F57" s="1880">
        <f>'9-A.Training Sub-Annex'!G7</f>
        <v>0</v>
      </c>
      <c r="G57" s="1880">
        <f>'9-A.Training Sub-Annex'!H7</f>
        <v>0</v>
      </c>
      <c r="H57" s="1880">
        <f>'9-A.Training Sub-Annex'!I7</f>
        <v>0</v>
      </c>
      <c r="I57" s="1880">
        <f>'9-A.Training Sub-Annex'!J7</f>
        <v>0</v>
      </c>
      <c r="J57" s="1880">
        <f>'9-A.Training Sub-Annex'!K7</f>
        <v>0</v>
      </c>
      <c r="K57" s="1880">
        <f>'9-A.Training Sub-Annex'!L7</f>
        <v>0</v>
      </c>
      <c r="L57" s="939">
        <f>'9-A.Training Sub-Annex'!M7</f>
        <v>0</v>
      </c>
      <c r="M57" s="1880">
        <f>'9-A.Training Sub-Annex'!N7</f>
        <v>0</v>
      </c>
      <c r="N57" s="1880">
        <f>'9-A.Training Sub-Annex'!O7</f>
        <v>0</v>
      </c>
      <c r="O57" s="939">
        <f>'9-A.Training Sub-Annex'!P7</f>
        <v>0</v>
      </c>
      <c r="P57" s="1878">
        <f>'9-A.Training Sub-Annex'!Q7</f>
        <v>0</v>
      </c>
      <c r="Q57" s="124"/>
      <c r="R57" s="1906"/>
      <c r="T57" s="3314"/>
    </row>
    <row r="58" spans="1:20" s="828" customFormat="1" x14ac:dyDescent="0.2">
      <c r="A58" s="4048"/>
      <c r="B58" s="1878" t="str">
        <f>'9-A.Training Sub-Annex'!C8</f>
        <v>A.9.3.1.1</v>
      </c>
      <c r="C58" s="1879" t="str">
        <f>'9-A.Training Sub-Annex'!D8</f>
        <v>Setting up of SBA Training Centres</v>
      </c>
      <c r="D58" s="1880" t="str">
        <f>'9-A.Training Sub-Annex'!E8</f>
        <v>RCH</v>
      </c>
      <c r="E58" s="1880" t="str">
        <f>'9-A.Training Sub-Annex'!F8</f>
        <v>MH</v>
      </c>
      <c r="F58" s="1880">
        <f>'9-A.Training Sub-Annex'!G8</f>
        <v>0</v>
      </c>
      <c r="G58" s="1880">
        <f>'9-A.Training Sub-Annex'!H8</f>
        <v>0</v>
      </c>
      <c r="H58" s="1880">
        <f>'9-A.Training Sub-Annex'!I8</f>
        <v>0</v>
      </c>
      <c r="I58" s="1880">
        <f>'9-A.Training Sub-Annex'!J8</f>
        <v>0</v>
      </c>
      <c r="J58" s="1880">
        <f>'9-A.Training Sub-Annex'!K8</f>
        <v>0</v>
      </c>
      <c r="K58" s="1880">
        <f>'9-A.Training Sub-Annex'!L8</f>
        <v>0</v>
      </c>
      <c r="L58" s="939">
        <f>'9-A.Training Sub-Annex'!M8</f>
        <v>0</v>
      </c>
      <c r="M58" s="1880">
        <f>'9-A.Training Sub-Annex'!N8</f>
        <v>0</v>
      </c>
      <c r="N58" s="1880">
        <f>'9-A.Training Sub-Annex'!O8</f>
        <v>0</v>
      </c>
      <c r="O58" s="939">
        <f>'9-A.Training Sub-Annex'!P8</f>
        <v>0</v>
      </c>
      <c r="P58" s="1878">
        <f>'9-A.Training Sub-Annex'!Q8</f>
        <v>0</v>
      </c>
      <c r="Q58" s="124"/>
      <c r="R58" s="1880"/>
    </row>
    <row r="59" spans="1:20" s="828" customFormat="1" x14ac:dyDescent="0.2">
      <c r="A59" s="4048"/>
      <c r="B59" s="1878" t="str">
        <f>'9-A.Training Sub-Annex'!C9</f>
        <v>A.9.3.2.1</v>
      </c>
      <c r="C59" s="1879" t="str">
        <f>'9-A.Training Sub-Annex'!D9</f>
        <v>Setting up of EmOC Training Centres</v>
      </c>
      <c r="D59" s="1880" t="str">
        <f>'9-A.Training Sub-Annex'!E9</f>
        <v>RCH</v>
      </c>
      <c r="E59" s="1880" t="str">
        <f>'9-A.Training Sub-Annex'!F9</f>
        <v>MH</v>
      </c>
      <c r="F59" s="1880">
        <f>'9-A.Training Sub-Annex'!G9</f>
        <v>0</v>
      </c>
      <c r="G59" s="1880">
        <f>'9-A.Training Sub-Annex'!H9</f>
        <v>0</v>
      </c>
      <c r="H59" s="1880">
        <f>'9-A.Training Sub-Annex'!I9</f>
        <v>0</v>
      </c>
      <c r="I59" s="1880">
        <f>'9-A.Training Sub-Annex'!J9</f>
        <v>0</v>
      </c>
      <c r="J59" s="1880">
        <f>'9-A.Training Sub-Annex'!K9</f>
        <v>0</v>
      </c>
      <c r="K59" s="1880">
        <f>'9-A.Training Sub-Annex'!L9</f>
        <v>0</v>
      </c>
      <c r="L59" s="939">
        <f>'9-A.Training Sub-Annex'!M9</f>
        <v>0</v>
      </c>
      <c r="M59" s="1880">
        <f>'9-A.Training Sub-Annex'!N9</f>
        <v>0</v>
      </c>
      <c r="N59" s="1880">
        <f>'9-A.Training Sub-Annex'!O9</f>
        <v>0</v>
      </c>
      <c r="O59" s="939">
        <f>'9-A.Training Sub-Annex'!P9</f>
        <v>0</v>
      </c>
      <c r="P59" s="1878">
        <f>'9-A.Training Sub-Annex'!Q9</f>
        <v>0</v>
      </c>
      <c r="Q59" s="124"/>
      <c r="R59" s="1880"/>
    </row>
    <row r="60" spans="1:20" s="828" customFormat="1" ht="30" x14ac:dyDescent="0.2">
      <c r="A60" s="4048"/>
      <c r="B60" s="1878" t="str">
        <f>'9-A.Training Sub-Annex'!C10</f>
        <v>A.9.3.3.1</v>
      </c>
      <c r="C60" s="1879" t="str">
        <f>'9-A.Training Sub-Annex'!D10</f>
        <v>Setting up of Life saving Anaesthesia skills Training Centres</v>
      </c>
      <c r="D60" s="1880" t="str">
        <f>'9-A.Training Sub-Annex'!E10</f>
        <v>RCH</v>
      </c>
      <c r="E60" s="1880" t="str">
        <f>'9-A.Training Sub-Annex'!F10</f>
        <v>MH</v>
      </c>
      <c r="F60" s="1880">
        <f>'9-A.Training Sub-Annex'!G10</f>
        <v>0</v>
      </c>
      <c r="G60" s="1880">
        <f>'9-A.Training Sub-Annex'!H10</f>
        <v>0</v>
      </c>
      <c r="H60" s="1880">
        <f>'9-A.Training Sub-Annex'!I10</f>
        <v>0</v>
      </c>
      <c r="I60" s="1880">
        <f>'9-A.Training Sub-Annex'!J10</f>
        <v>0</v>
      </c>
      <c r="J60" s="1880">
        <f>'9-A.Training Sub-Annex'!K10</f>
        <v>0</v>
      </c>
      <c r="K60" s="1880">
        <f>'9-A.Training Sub-Annex'!L10</f>
        <v>0</v>
      </c>
      <c r="L60" s="939">
        <f>'9-A.Training Sub-Annex'!M10</f>
        <v>0</v>
      </c>
      <c r="M60" s="1880">
        <f>'9-A.Training Sub-Annex'!N10</f>
        <v>0</v>
      </c>
      <c r="N60" s="1880">
        <f>'9-A.Training Sub-Annex'!O10</f>
        <v>0</v>
      </c>
      <c r="O60" s="939">
        <f>'9-A.Training Sub-Annex'!P10</f>
        <v>0</v>
      </c>
      <c r="P60" s="1878">
        <f>'9-A.Training Sub-Annex'!Q10</f>
        <v>0</v>
      </c>
      <c r="Q60" s="124"/>
      <c r="R60" s="1880">
        <v>0</v>
      </c>
    </row>
    <row r="61" spans="1:20" s="828" customFormat="1" x14ac:dyDescent="0.2">
      <c r="A61" s="1881" t="str">
        <f>'9.Training Annex'!A13</f>
        <v>9.1.4.1</v>
      </c>
      <c r="B61" s="1878" t="str">
        <f>'9-A.Training Sub-Annex'!C17</f>
        <v>A.9.1.2.1</v>
      </c>
      <c r="C61" s="1879" t="str">
        <f>'9-A.Training Sub-Annex'!D17</f>
        <v xml:space="preserve">HR for Skill Lab </v>
      </c>
      <c r="D61" s="1880" t="str">
        <f>'9-A.Training Sub-Annex'!E17</f>
        <v>HSS</v>
      </c>
      <c r="E61" s="1880" t="str">
        <f>'9-A.Training Sub-Annex'!F17</f>
        <v>MH/ HRH</v>
      </c>
      <c r="F61" s="1880">
        <f>'9-A.Training Sub-Annex'!G17</f>
        <v>0</v>
      </c>
      <c r="G61" s="1880">
        <f>'9-A.Training Sub-Annex'!H17</f>
        <v>0</v>
      </c>
      <c r="H61" s="1880">
        <f>'9-A.Training Sub-Annex'!I17</f>
        <v>0</v>
      </c>
      <c r="I61" s="1880">
        <f>'9-A.Training Sub-Annex'!J17</f>
        <v>0</v>
      </c>
      <c r="J61" s="1880">
        <f>'9-A.Training Sub-Annex'!K17</f>
        <v>0</v>
      </c>
      <c r="K61" s="1880">
        <f>'9-A.Training Sub-Annex'!L17</f>
        <v>0</v>
      </c>
      <c r="L61" s="939">
        <f>'9-A.Training Sub-Annex'!M17</f>
        <v>0</v>
      </c>
      <c r="M61" s="1880">
        <f>'9-A.Training Sub-Annex'!N17</f>
        <v>0</v>
      </c>
      <c r="N61" s="1880">
        <f>'9-A.Training Sub-Annex'!O17</f>
        <v>0</v>
      </c>
      <c r="O61" s="939">
        <f>'9-A.Training Sub-Annex'!P17</f>
        <v>0</v>
      </c>
      <c r="P61" s="1878">
        <f>'9-A.Training Sub-Annex'!Q17</f>
        <v>0</v>
      </c>
      <c r="Q61" s="124"/>
      <c r="R61" s="1906"/>
      <c r="T61" s="3314"/>
    </row>
    <row r="62" spans="1:20" s="828" customFormat="1" x14ac:dyDescent="0.2">
      <c r="A62" s="1881" t="str">
        <f>'9.Training Annex'!A15</f>
        <v>9.1.4.3</v>
      </c>
      <c r="B62" s="1878">
        <f>'9-A.Training Sub-Annex'!C19</f>
        <v>0</v>
      </c>
      <c r="C62" s="1879" t="str">
        <f>'9-A.Training Sub-Annex'!D19</f>
        <v>State level Midwifery Educators</v>
      </c>
      <c r="D62" s="1880" t="str">
        <f>'9-A.Training Sub-Annex'!E19</f>
        <v>HSS</v>
      </c>
      <c r="E62" s="1880" t="str">
        <f>'9-A.Training Sub-Annex'!F19</f>
        <v>MH/ HRH</v>
      </c>
      <c r="F62" s="1880">
        <f>'9-A.Training Sub-Annex'!G19</f>
        <v>0</v>
      </c>
      <c r="G62" s="1880">
        <f>'9-A.Training Sub-Annex'!H19</f>
        <v>0</v>
      </c>
      <c r="H62" s="1880">
        <f>'9-A.Training Sub-Annex'!I19</f>
        <v>0</v>
      </c>
      <c r="I62" s="1880">
        <f>'9-A.Training Sub-Annex'!J19</f>
        <v>0</v>
      </c>
      <c r="J62" s="1880">
        <f>'9-A.Training Sub-Annex'!K19</f>
        <v>0</v>
      </c>
      <c r="K62" s="1880">
        <f>'9-A.Training Sub-Annex'!L19</f>
        <v>0</v>
      </c>
      <c r="L62" s="939">
        <f>'9-A.Training Sub-Annex'!M19</f>
        <v>0</v>
      </c>
      <c r="M62" s="1880">
        <f>'9-A.Training Sub-Annex'!N19</f>
        <v>0</v>
      </c>
      <c r="N62" s="1880">
        <f>'9-A.Training Sub-Annex'!O19</f>
        <v>0</v>
      </c>
      <c r="O62" s="939">
        <f>'9-A.Training Sub-Annex'!P19</f>
        <v>0</v>
      </c>
      <c r="P62" s="1878">
        <f>'9-A.Training Sub-Annex'!Q19</f>
        <v>0</v>
      </c>
      <c r="Q62" s="124"/>
      <c r="R62" s="1880"/>
    </row>
    <row r="63" spans="1:20" s="828" customFormat="1" x14ac:dyDescent="0.2">
      <c r="A63" s="4048" t="str">
        <f>'9.Training Annex'!A21</f>
        <v>9.2.1.1</v>
      </c>
      <c r="B63" s="1889" t="str">
        <f>'9-A.Training Sub-Annex'!C27</f>
        <v>A.1.4</v>
      </c>
      <c r="C63" s="1890" t="str">
        <f>'9-A.Training Sub-Annex'!D27</f>
        <v xml:space="preserve">Maternal Death Review Trainings </v>
      </c>
      <c r="D63" s="1891" t="str">
        <f>'9-A.Training Sub-Annex'!E27</f>
        <v>RCH</v>
      </c>
      <c r="E63" s="1891" t="str">
        <f>'9-A.Training Sub-Annex'!F27</f>
        <v>MH</v>
      </c>
      <c r="F63" s="1891">
        <f>'9-A.Training Sub-Annex'!G27</f>
        <v>0</v>
      </c>
      <c r="G63" s="1891">
        <f>'9-A.Training Sub-Annex'!H27</f>
        <v>0</v>
      </c>
      <c r="H63" s="1891">
        <f>'9-A.Training Sub-Annex'!I27</f>
        <v>0</v>
      </c>
      <c r="I63" s="1891">
        <f>'9-A.Training Sub-Annex'!J27</f>
        <v>0</v>
      </c>
      <c r="J63" s="1891">
        <f>'9-A.Training Sub-Annex'!K27</f>
        <v>0</v>
      </c>
      <c r="K63" s="1891">
        <f>'9-A.Training Sub-Annex'!L27</f>
        <v>0</v>
      </c>
      <c r="L63" s="939">
        <f>'9-A.Training Sub-Annex'!M27</f>
        <v>0</v>
      </c>
      <c r="M63" s="1891">
        <f>'9-A.Training Sub-Annex'!N27</f>
        <v>0</v>
      </c>
      <c r="N63" s="1891">
        <f>'9-A.Training Sub-Annex'!O27</f>
        <v>0</v>
      </c>
      <c r="O63" s="939">
        <f>'9-A.Training Sub-Annex'!P27</f>
        <v>0</v>
      </c>
      <c r="P63" s="1889">
        <f>'9-A.Training Sub-Annex'!Q27</f>
        <v>0</v>
      </c>
      <c r="Q63" s="3299"/>
      <c r="R63" s="1906"/>
      <c r="T63" s="3314"/>
    </row>
    <row r="64" spans="1:20" s="828" customFormat="1" ht="30" x14ac:dyDescent="0.2">
      <c r="A64" s="4048"/>
      <c r="B64" s="1889" t="str">
        <f>'9-A.Training Sub-Annex'!C28</f>
        <v>A.9.1.2.3</v>
      </c>
      <c r="C64" s="1890" t="str">
        <f>'9-A.Training Sub-Annex'!D28</f>
        <v>Onsite mentoring at Delivery Points/ Nursing Institutions/ Nursing Schools</v>
      </c>
      <c r="D64" s="1891" t="str">
        <f>'9-A.Training Sub-Annex'!E28</f>
        <v>RCH</v>
      </c>
      <c r="E64" s="1891" t="str">
        <f>'9-A.Training Sub-Annex'!F28</f>
        <v>MH</v>
      </c>
      <c r="F64" s="1891">
        <f>'9-A.Training Sub-Annex'!G28</f>
        <v>0</v>
      </c>
      <c r="G64" s="1891">
        <f>'9-A.Training Sub-Annex'!H28</f>
        <v>0</v>
      </c>
      <c r="H64" s="1891">
        <f>'9-A.Training Sub-Annex'!I28</f>
        <v>0</v>
      </c>
      <c r="I64" s="1891">
        <f>'9-A.Training Sub-Annex'!J28</f>
        <v>0</v>
      </c>
      <c r="J64" s="1891">
        <f>'9-A.Training Sub-Annex'!K28</f>
        <v>0</v>
      </c>
      <c r="K64" s="1891">
        <f>'9-A.Training Sub-Annex'!L28</f>
        <v>0</v>
      </c>
      <c r="L64" s="939">
        <f>'9-A.Training Sub-Annex'!M28</f>
        <v>0</v>
      </c>
      <c r="M64" s="1891">
        <f>'9-A.Training Sub-Annex'!N28</f>
        <v>0</v>
      </c>
      <c r="N64" s="1891">
        <f>'9-A.Training Sub-Annex'!O28</f>
        <v>0</v>
      </c>
      <c r="O64" s="3403">
        <f>'9-A.Training Sub-Annex'!P28</f>
        <v>0</v>
      </c>
      <c r="P64" s="1889">
        <f>'9-A.Training Sub-Annex'!Q28</f>
        <v>0</v>
      </c>
      <c r="Q64" s="3417"/>
      <c r="R64" s="3324"/>
      <c r="T64" s="3317"/>
    </row>
    <row r="65" spans="1:20" s="828" customFormat="1" x14ac:dyDescent="0.2">
      <c r="A65" s="4048"/>
      <c r="B65" s="1889">
        <f>'9-A.Training Sub-Annex'!C29</f>
        <v>0</v>
      </c>
      <c r="C65" s="1890" t="str">
        <f>'9-A.Training Sub-Annex'!D29</f>
        <v>TOT for Skill Lab</v>
      </c>
      <c r="D65" s="1891" t="str">
        <f>'9-A.Training Sub-Annex'!E29</f>
        <v>RCH</v>
      </c>
      <c r="E65" s="1891" t="str">
        <f>'9-A.Training Sub-Annex'!F29</f>
        <v>MH</v>
      </c>
      <c r="F65" s="1891">
        <f>'9-A.Training Sub-Annex'!G29</f>
        <v>0</v>
      </c>
      <c r="G65" s="1891">
        <f>'9-A.Training Sub-Annex'!H29</f>
        <v>0</v>
      </c>
      <c r="H65" s="1891">
        <f>'9-A.Training Sub-Annex'!I29</f>
        <v>0</v>
      </c>
      <c r="I65" s="1891">
        <f>'9-A.Training Sub-Annex'!J29</f>
        <v>0</v>
      </c>
      <c r="J65" s="1891">
        <f>'9-A.Training Sub-Annex'!K29</f>
        <v>0</v>
      </c>
      <c r="K65" s="1891">
        <f>'9-A.Training Sub-Annex'!L29</f>
        <v>0</v>
      </c>
      <c r="L65" s="939">
        <f>'9-A.Training Sub-Annex'!M29</f>
        <v>0</v>
      </c>
      <c r="M65" s="1891">
        <f>'9-A.Training Sub-Annex'!N29</f>
        <v>0</v>
      </c>
      <c r="N65" s="1891">
        <f>'9-A.Training Sub-Annex'!O29</f>
        <v>0</v>
      </c>
      <c r="O65" s="939">
        <f>'9-A.Training Sub-Annex'!P29</f>
        <v>0</v>
      </c>
      <c r="P65" s="1889">
        <f>'9-A.Training Sub-Annex'!Q29</f>
        <v>0</v>
      </c>
      <c r="Q65" s="124"/>
      <c r="R65" s="1880"/>
    </row>
    <row r="66" spans="1:20" s="828" customFormat="1" ht="134.25" customHeight="1" x14ac:dyDescent="0.2">
      <c r="A66" s="4048"/>
      <c r="B66" s="1889">
        <f>'9-A.Training Sub-Annex'!C30</f>
        <v>0</v>
      </c>
      <c r="C66" s="1890" t="str">
        <f>'9-A.Training Sub-Annex'!D30</f>
        <v>Trainings at Skill Lab</v>
      </c>
      <c r="D66" s="1891" t="str">
        <f>'9-A.Training Sub-Annex'!E30</f>
        <v>RCH</v>
      </c>
      <c r="E66" s="1891" t="str">
        <f>'9-A.Training Sub-Annex'!F30</f>
        <v>MH</v>
      </c>
      <c r="F66" s="1891">
        <f>'9-A.Training Sub-Annex'!G30</f>
        <v>0</v>
      </c>
      <c r="G66" s="1891">
        <f>'9-A.Training Sub-Annex'!H30</f>
        <v>0</v>
      </c>
      <c r="H66" s="1891">
        <f>'9-A.Training Sub-Annex'!I30</f>
        <v>0</v>
      </c>
      <c r="I66" s="1891">
        <f>'9-A.Training Sub-Annex'!J30</f>
        <v>0</v>
      </c>
      <c r="J66" s="1891">
        <f>'9-A.Training Sub-Annex'!K30</f>
        <v>0</v>
      </c>
      <c r="K66" s="1891">
        <f>'9-A.Training Sub-Annex'!L30</f>
        <v>0</v>
      </c>
      <c r="L66" s="939">
        <f>'9-A.Training Sub-Annex'!M30</f>
        <v>0</v>
      </c>
      <c r="M66" s="1891">
        <f>'9-A.Training Sub-Annex'!N30</f>
        <v>0</v>
      </c>
      <c r="N66" s="1891">
        <f>'9-A.Training Sub-Annex'!O30</f>
        <v>0</v>
      </c>
      <c r="O66" s="939">
        <f>'9-A.Training Sub-Annex'!P30</f>
        <v>0</v>
      </c>
      <c r="P66" s="1889">
        <f>'9-A.Training Sub-Annex'!Q30</f>
        <v>0</v>
      </c>
      <c r="Q66" s="3323"/>
      <c r="R66" s="1906"/>
      <c r="T66" s="3314"/>
    </row>
    <row r="67" spans="1:20" s="828" customFormat="1" x14ac:dyDescent="0.2">
      <c r="A67" s="4048"/>
      <c r="B67" s="1889" t="str">
        <f>'9-A.Training Sub-Annex'!C31</f>
        <v>A.9.3.1.2</v>
      </c>
      <c r="C67" s="1890" t="str">
        <f>'9-A.Training Sub-Annex'!D31</f>
        <v>TOT for SBA</v>
      </c>
      <c r="D67" s="1891" t="str">
        <f>'9-A.Training Sub-Annex'!E31</f>
        <v>RCH</v>
      </c>
      <c r="E67" s="1891" t="str">
        <f>'9-A.Training Sub-Annex'!F31</f>
        <v>MH</v>
      </c>
      <c r="F67" s="1891">
        <f>'9-A.Training Sub-Annex'!G31</f>
        <v>0</v>
      </c>
      <c r="G67" s="1891">
        <f>'9-A.Training Sub-Annex'!H31</f>
        <v>0</v>
      </c>
      <c r="H67" s="1891">
        <f>'9-A.Training Sub-Annex'!I31</f>
        <v>0</v>
      </c>
      <c r="I67" s="1891">
        <f>'9-A.Training Sub-Annex'!J31</f>
        <v>0</v>
      </c>
      <c r="J67" s="1891">
        <f>'9-A.Training Sub-Annex'!K31</f>
        <v>0</v>
      </c>
      <c r="K67" s="1891">
        <f>'9-A.Training Sub-Annex'!L31</f>
        <v>0</v>
      </c>
      <c r="L67" s="939">
        <f>'9-A.Training Sub-Annex'!M31</f>
        <v>0</v>
      </c>
      <c r="M67" s="1891">
        <f>'9-A.Training Sub-Annex'!N31</f>
        <v>0</v>
      </c>
      <c r="N67" s="1891">
        <f>'9-A.Training Sub-Annex'!O31</f>
        <v>0</v>
      </c>
      <c r="O67" s="939">
        <f>'9-A.Training Sub-Annex'!P31</f>
        <v>0</v>
      </c>
      <c r="P67" s="1889">
        <f>'9-A.Training Sub-Annex'!Q31</f>
        <v>0</v>
      </c>
      <c r="Q67" s="124"/>
      <c r="R67" s="1880">
        <v>0</v>
      </c>
    </row>
    <row r="68" spans="1:20" s="828" customFormat="1" x14ac:dyDescent="0.2">
      <c r="A68" s="4048"/>
      <c r="B68" s="1889" t="str">
        <f>'9-A.Training Sub-Annex'!C32</f>
        <v>A.9.3.1.3</v>
      </c>
      <c r="C68" s="1890" t="str">
        <f>'9-A.Training Sub-Annex'!D32</f>
        <v>Training of Staff Nurses/ANMs / LHVs in SBA</v>
      </c>
      <c r="D68" s="1891" t="str">
        <f>'9-A.Training Sub-Annex'!E32</f>
        <v>RCH</v>
      </c>
      <c r="E68" s="1891" t="str">
        <f>'9-A.Training Sub-Annex'!F32</f>
        <v>MH</v>
      </c>
      <c r="F68" s="1891">
        <f>'9-A.Training Sub-Annex'!G32</f>
        <v>0</v>
      </c>
      <c r="G68" s="1891">
        <f>'9-A.Training Sub-Annex'!H32</f>
        <v>0</v>
      </c>
      <c r="H68" s="1891">
        <f>'9-A.Training Sub-Annex'!I32</f>
        <v>0</v>
      </c>
      <c r="I68" s="1891">
        <f>'9-A.Training Sub-Annex'!J32</f>
        <v>0</v>
      </c>
      <c r="J68" s="1891">
        <f>'9-A.Training Sub-Annex'!K32</f>
        <v>0</v>
      </c>
      <c r="K68" s="1891">
        <f>'9-A.Training Sub-Annex'!L32</f>
        <v>0</v>
      </c>
      <c r="L68" s="939">
        <f>'9-A.Training Sub-Annex'!M32</f>
        <v>0</v>
      </c>
      <c r="M68" s="1891">
        <f>'9-A.Training Sub-Annex'!N32</f>
        <v>0</v>
      </c>
      <c r="N68" s="1891">
        <f>'9-A.Training Sub-Annex'!O32</f>
        <v>0</v>
      </c>
      <c r="O68" s="939">
        <f>'9-A.Training Sub-Annex'!P32</f>
        <v>0</v>
      </c>
      <c r="P68" s="1889">
        <f>'9-A.Training Sub-Annex'!Q32</f>
        <v>0</v>
      </c>
      <c r="Q68" s="124"/>
      <c r="R68" s="1880">
        <v>0</v>
      </c>
    </row>
    <row r="69" spans="1:20" s="828" customFormat="1" x14ac:dyDescent="0.2">
      <c r="A69" s="4048"/>
      <c r="B69" s="1889" t="str">
        <f>'9-A.Training Sub-Annex'!C33</f>
        <v>A.9.3.2.2</v>
      </c>
      <c r="C69" s="1890" t="str">
        <f>'9-A.Training Sub-Annex'!D33</f>
        <v>TOT for EmOC</v>
      </c>
      <c r="D69" s="1891" t="str">
        <f>'9-A.Training Sub-Annex'!E33</f>
        <v>RCH</v>
      </c>
      <c r="E69" s="1891" t="str">
        <f>'9-A.Training Sub-Annex'!F33</f>
        <v>MH</v>
      </c>
      <c r="F69" s="1891">
        <f>'9-A.Training Sub-Annex'!G33</f>
        <v>0</v>
      </c>
      <c r="G69" s="1891">
        <f>'9-A.Training Sub-Annex'!H33</f>
        <v>0</v>
      </c>
      <c r="H69" s="1891">
        <f>'9-A.Training Sub-Annex'!I33</f>
        <v>0</v>
      </c>
      <c r="I69" s="1891">
        <f>'9-A.Training Sub-Annex'!J33</f>
        <v>0</v>
      </c>
      <c r="J69" s="1891">
        <f>'9-A.Training Sub-Annex'!K33</f>
        <v>0</v>
      </c>
      <c r="K69" s="1891">
        <f>'9-A.Training Sub-Annex'!L33</f>
        <v>0</v>
      </c>
      <c r="L69" s="939">
        <f>'9-A.Training Sub-Annex'!M33</f>
        <v>0</v>
      </c>
      <c r="M69" s="1891">
        <f>'9-A.Training Sub-Annex'!N33</f>
        <v>0</v>
      </c>
      <c r="N69" s="1891">
        <f>'9-A.Training Sub-Annex'!O33</f>
        <v>0</v>
      </c>
      <c r="O69" s="939">
        <f>'9-A.Training Sub-Annex'!P33</f>
        <v>0</v>
      </c>
      <c r="P69" s="1889">
        <f>'9-A.Training Sub-Annex'!Q33</f>
        <v>0</v>
      </c>
      <c r="Q69" s="124"/>
      <c r="R69" s="1880">
        <v>0</v>
      </c>
    </row>
    <row r="70" spans="1:20" s="828" customFormat="1" x14ac:dyDescent="0.2">
      <c r="A70" s="4048"/>
      <c r="B70" s="1889" t="str">
        <f>'9-A.Training Sub-Annex'!C34</f>
        <v>A.9.3.2.3</v>
      </c>
      <c r="C70" s="1890" t="str">
        <f>'9-A.Training Sub-Annex'!D34</f>
        <v>Training of Medical Officers in EmOC</v>
      </c>
      <c r="D70" s="1891" t="str">
        <f>'9-A.Training Sub-Annex'!E34</f>
        <v>RCH</v>
      </c>
      <c r="E70" s="1891" t="str">
        <f>'9-A.Training Sub-Annex'!F34</f>
        <v>MH</v>
      </c>
      <c r="F70" s="1891">
        <f>'9-A.Training Sub-Annex'!G34</f>
        <v>0</v>
      </c>
      <c r="G70" s="1891">
        <f>'9-A.Training Sub-Annex'!H34</f>
        <v>0</v>
      </c>
      <c r="H70" s="1891">
        <f>'9-A.Training Sub-Annex'!I34</f>
        <v>0</v>
      </c>
      <c r="I70" s="1891">
        <f>'9-A.Training Sub-Annex'!J34</f>
        <v>0</v>
      </c>
      <c r="J70" s="1891">
        <f>'9-A.Training Sub-Annex'!K34</f>
        <v>0</v>
      </c>
      <c r="K70" s="1891">
        <f>'9-A.Training Sub-Annex'!L34</f>
        <v>0</v>
      </c>
      <c r="L70" s="939">
        <f>'9-A.Training Sub-Annex'!M34</f>
        <v>0</v>
      </c>
      <c r="M70" s="1891">
        <f>'9-A.Training Sub-Annex'!N34</f>
        <v>0</v>
      </c>
      <c r="N70" s="1891">
        <f>'9-A.Training Sub-Annex'!O34</f>
        <v>0</v>
      </c>
      <c r="O70" s="939">
        <f>'9-A.Training Sub-Annex'!P34</f>
        <v>0</v>
      </c>
      <c r="P70" s="1889">
        <f>'9-A.Training Sub-Annex'!Q34</f>
        <v>0</v>
      </c>
      <c r="Q70" s="3299"/>
      <c r="R70" s="1906"/>
      <c r="T70" s="3314"/>
    </row>
    <row r="71" spans="1:20" s="828" customFormat="1" x14ac:dyDescent="0.2">
      <c r="A71" s="4048"/>
      <c r="B71" s="1889" t="str">
        <f>'9-A.Training Sub-Annex'!C35</f>
        <v>A.9.3.3.2</v>
      </c>
      <c r="C71" s="1890" t="str">
        <f>'9-A.Training Sub-Annex'!D35</f>
        <v>TOT for Anaesthesia skills training</v>
      </c>
      <c r="D71" s="1891" t="str">
        <f>'9-A.Training Sub-Annex'!E35</f>
        <v>RCH</v>
      </c>
      <c r="E71" s="1891" t="str">
        <f>'9-A.Training Sub-Annex'!F35</f>
        <v>MH</v>
      </c>
      <c r="F71" s="1891">
        <f>'9-A.Training Sub-Annex'!G35</f>
        <v>0</v>
      </c>
      <c r="G71" s="1891">
        <f>'9-A.Training Sub-Annex'!H35</f>
        <v>0</v>
      </c>
      <c r="H71" s="1891">
        <f>'9-A.Training Sub-Annex'!I35</f>
        <v>0</v>
      </c>
      <c r="I71" s="1891">
        <f>'9-A.Training Sub-Annex'!J35</f>
        <v>0</v>
      </c>
      <c r="J71" s="1891">
        <f>'9-A.Training Sub-Annex'!K35</f>
        <v>0</v>
      </c>
      <c r="K71" s="1891">
        <f>'9-A.Training Sub-Annex'!L35</f>
        <v>0</v>
      </c>
      <c r="L71" s="939">
        <f>'9-A.Training Sub-Annex'!M35</f>
        <v>0</v>
      </c>
      <c r="M71" s="1891">
        <f>'9-A.Training Sub-Annex'!N35</f>
        <v>0</v>
      </c>
      <c r="N71" s="1891">
        <f>'9-A.Training Sub-Annex'!O35</f>
        <v>0</v>
      </c>
      <c r="O71" s="939">
        <f>'9-A.Training Sub-Annex'!P35</f>
        <v>0</v>
      </c>
      <c r="P71" s="1889">
        <f>'9-A.Training Sub-Annex'!Q35</f>
        <v>0</v>
      </c>
      <c r="Q71" s="124"/>
      <c r="R71" s="1880"/>
    </row>
    <row r="72" spans="1:20" s="828" customFormat="1" ht="30" x14ac:dyDescent="0.2">
      <c r="A72" s="4048"/>
      <c r="B72" s="1889" t="str">
        <f>'9-A.Training Sub-Annex'!C36</f>
        <v>A.9.3.3.3</v>
      </c>
      <c r="C72" s="1890" t="str">
        <f>'9-A.Training Sub-Annex'!D36</f>
        <v>Training of Medical Officers in life saving Anaesthesia skills</v>
      </c>
      <c r="D72" s="1891" t="str">
        <f>'9-A.Training Sub-Annex'!E36</f>
        <v>RCH</v>
      </c>
      <c r="E72" s="1891" t="str">
        <f>'9-A.Training Sub-Annex'!F36</f>
        <v>MH</v>
      </c>
      <c r="F72" s="1891">
        <f>'9-A.Training Sub-Annex'!G36</f>
        <v>0</v>
      </c>
      <c r="G72" s="1891">
        <f>'9-A.Training Sub-Annex'!H36</f>
        <v>0</v>
      </c>
      <c r="H72" s="1891">
        <f>'9-A.Training Sub-Annex'!I36</f>
        <v>0</v>
      </c>
      <c r="I72" s="1891">
        <f>'9-A.Training Sub-Annex'!J36</f>
        <v>0</v>
      </c>
      <c r="J72" s="1891">
        <f>'9-A.Training Sub-Annex'!K36</f>
        <v>0</v>
      </c>
      <c r="K72" s="1891">
        <f>'9-A.Training Sub-Annex'!L36</f>
        <v>0</v>
      </c>
      <c r="L72" s="939">
        <f>'9-A.Training Sub-Annex'!M36</f>
        <v>0</v>
      </c>
      <c r="M72" s="1891">
        <f>'9-A.Training Sub-Annex'!N36</f>
        <v>0</v>
      </c>
      <c r="N72" s="1891">
        <f>'9-A.Training Sub-Annex'!O36</f>
        <v>0</v>
      </c>
      <c r="O72" s="939">
        <f>'9-A.Training Sub-Annex'!P36</f>
        <v>0</v>
      </c>
      <c r="P72" s="1889">
        <f>'9-A.Training Sub-Annex'!Q36</f>
        <v>0</v>
      </c>
      <c r="Q72" s="196"/>
      <c r="R72" s="1906"/>
      <c r="T72" s="3314"/>
    </row>
    <row r="73" spans="1:20" s="828" customFormat="1" x14ac:dyDescent="0.2">
      <c r="A73" s="4048"/>
      <c r="B73" s="1889" t="str">
        <f>'9-A.Training Sub-Annex'!C37</f>
        <v>A.9.3.4.1</v>
      </c>
      <c r="C73" s="1890" t="str">
        <f>'9-A.Training Sub-Annex'!D37</f>
        <v>TOT on safe abortion services</v>
      </c>
      <c r="D73" s="1891" t="str">
        <f>'9-A.Training Sub-Annex'!E37</f>
        <v>RCH</v>
      </c>
      <c r="E73" s="1891" t="str">
        <f>'9-A.Training Sub-Annex'!F37</f>
        <v>MH</v>
      </c>
      <c r="F73" s="1891">
        <f>'9-A.Training Sub-Annex'!G37</f>
        <v>0</v>
      </c>
      <c r="G73" s="1891">
        <f>'9-A.Training Sub-Annex'!H37</f>
        <v>0</v>
      </c>
      <c r="H73" s="1891">
        <f>'9-A.Training Sub-Annex'!I37</f>
        <v>0</v>
      </c>
      <c r="I73" s="1891">
        <f>'9-A.Training Sub-Annex'!J37</f>
        <v>0</v>
      </c>
      <c r="J73" s="1891">
        <f>'9-A.Training Sub-Annex'!K37</f>
        <v>0</v>
      </c>
      <c r="K73" s="1891">
        <f>'9-A.Training Sub-Annex'!L37</f>
        <v>0</v>
      </c>
      <c r="L73" s="939">
        <f>'9-A.Training Sub-Annex'!M37</f>
        <v>0</v>
      </c>
      <c r="M73" s="1891">
        <f>'9-A.Training Sub-Annex'!N37</f>
        <v>0</v>
      </c>
      <c r="N73" s="1891">
        <f>'9-A.Training Sub-Annex'!O37</f>
        <v>0</v>
      </c>
      <c r="O73" s="939">
        <f>'9-A.Training Sub-Annex'!P37</f>
        <v>0</v>
      </c>
      <c r="P73" s="1889">
        <f>'9-A.Training Sub-Annex'!Q37</f>
        <v>0</v>
      </c>
      <c r="Q73" s="196"/>
      <c r="R73" s="1880">
        <v>0</v>
      </c>
    </row>
    <row r="74" spans="1:20" s="828" customFormat="1" x14ac:dyDescent="0.2">
      <c r="A74" s="4048"/>
      <c r="B74" s="1889" t="str">
        <f>'9-A.Training Sub-Annex'!C38</f>
        <v>A.9.3.4.2, A.1.1</v>
      </c>
      <c r="C74" s="1890" t="str">
        <f>'9-A.Training Sub-Annex'!D38</f>
        <v>Training of Medical Officers in safe abortion</v>
      </c>
      <c r="D74" s="1891" t="str">
        <f>'9-A.Training Sub-Annex'!E38</f>
        <v>RCH</v>
      </c>
      <c r="E74" s="1891" t="str">
        <f>'9-A.Training Sub-Annex'!F38</f>
        <v>MH</v>
      </c>
      <c r="F74" s="1891">
        <f>'9-A.Training Sub-Annex'!G38</f>
        <v>0</v>
      </c>
      <c r="G74" s="1891">
        <f>'9-A.Training Sub-Annex'!H38</f>
        <v>0</v>
      </c>
      <c r="H74" s="1891">
        <f>'9-A.Training Sub-Annex'!I38</f>
        <v>0</v>
      </c>
      <c r="I74" s="1891">
        <f>'9-A.Training Sub-Annex'!J38</f>
        <v>0</v>
      </c>
      <c r="J74" s="1891">
        <f>'9-A.Training Sub-Annex'!K38</f>
        <v>0</v>
      </c>
      <c r="K74" s="1891">
        <f>'9-A.Training Sub-Annex'!L38</f>
        <v>0</v>
      </c>
      <c r="L74" s="939">
        <f>'9-A.Training Sub-Annex'!M38</f>
        <v>0</v>
      </c>
      <c r="M74" s="1891">
        <f>'9-A.Training Sub-Annex'!N38</f>
        <v>0</v>
      </c>
      <c r="N74" s="1891">
        <f>'9-A.Training Sub-Annex'!O38</f>
        <v>0</v>
      </c>
      <c r="O74" s="939">
        <f>'9-A.Training Sub-Annex'!P38</f>
        <v>0</v>
      </c>
      <c r="P74" s="1889">
        <f>'9-A.Training Sub-Annex'!Q38</f>
        <v>0</v>
      </c>
      <c r="Q74" s="124"/>
      <c r="R74" s="1906"/>
      <c r="T74" s="3314"/>
    </row>
    <row r="75" spans="1:20" s="828" customFormat="1" x14ac:dyDescent="0.2">
      <c r="A75" s="4048"/>
      <c r="B75" s="1889" t="str">
        <f>'9-A.Training Sub-Annex'!C39</f>
        <v>A.9.3.5.1</v>
      </c>
      <c r="C75" s="1890" t="str">
        <f>'9-A.Training Sub-Annex'!D39</f>
        <v>TOT for RTI/STI training</v>
      </c>
      <c r="D75" s="1891" t="str">
        <f>'9-A.Training Sub-Annex'!E39</f>
        <v>RCH</v>
      </c>
      <c r="E75" s="1891" t="str">
        <f>'9-A.Training Sub-Annex'!F39</f>
        <v>MH</v>
      </c>
      <c r="F75" s="1891">
        <f>'9-A.Training Sub-Annex'!G39</f>
        <v>0</v>
      </c>
      <c r="G75" s="1891">
        <f>'9-A.Training Sub-Annex'!H39</f>
        <v>0</v>
      </c>
      <c r="H75" s="1891">
        <f>'9-A.Training Sub-Annex'!I39</f>
        <v>0</v>
      </c>
      <c r="I75" s="1891">
        <f>'9-A.Training Sub-Annex'!J39</f>
        <v>0</v>
      </c>
      <c r="J75" s="1891">
        <f>'9-A.Training Sub-Annex'!K39</f>
        <v>0</v>
      </c>
      <c r="K75" s="1891">
        <f>'9-A.Training Sub-Annex'!L39</f>
        <v>0</v>
      </c>
      <c r="L75" s="939">
        <f>'9-A.Training Sub-Annex'!M39</f>
        <v>0</v>
      </c>
      <c r="M75" s="1891">
        <f>'9-A.Training Sub-Annex'!N39</f>
        <v>0</v>
      </c>
      <c r="N75" s="1891">
        <f>'9-A.Training Sub-Annex'!O39</f>
        <v>0</v>
      </c>
      <c r="O75" s="939">
        <f>'9-A.Training Sub-Annex'!P39</f>
        <v>0</v>
      </c>
      <c r="P75" s="1889">
        <f>'9-A.Training Sub-Annex'!Q39</f>
        <v>0</v>
      </c>
      <c r="Q75" s="124"/>
      <c r="R75" s="1880"/>
    </row>
    <row r="76" spans="1:20" s="828" customFormat="1" x14ac:dyDescent="0.2">
      <c r="A76" s="4048"/>
      <c r="B76" s="1889" t="str">
        <f>'9-A.Training Sub-Annex'!C40</f>
        <v>A.9.3.5.2</v>
      </c>
      <c r="C76" s="1890" t="str">
        <f>'9-A.Training Sub-Annex'!D40</f>
        <v>Training of laboratory technicians in RTI/STI</v>
      </c>
      <c r="D76" s="1891" t="str">
        <f>'9-A.Training Sub-Annex'!E40</f>
        <v>RCH</v>
      </c>
      <c r="E76" s="1891" t="str">
        <f>'9-A.Training Sub-Annex'!F40</f>
        <v>MH</v>
      </c>
      <c r="F76" s="1891">
        <f>'9-A.Training Sub-Annex'!G40</f>
        <v>0</v>
      </c>
      <c r="G76" s="1891">
        <f>'9-A.Training Sub-Annex'!H40</f>
        <v>0</v>
      </c>
      <c r="H76" s="1891">
        <f>'9-A.Training Sub-Annex'!I40</f>
        <v>0</v>
      </c>
      <c r="I76" s="1891">
        <f>'9-A.Training Sub-Annex'!J40</f>
        <v>0</v>
      </c>
      <c r="J76" s="1891">
        <f>'9-A.Training Sub-Annex'!K40</f>
        <v>0</v>
      </c>
      <c r="K76" s="1891">
        <f>'9-A.Training Sub-Annex'!L40</f>
        <v>0</v>
      </c>
      <c r="L76" s="939">
        <f>'9-A.Training Sub-Annex'!M40</f>
        <v>0</v>
      </c>
      <c r="M76" s="1891">
        <f>'9-A.Training Sub-Annex'!N40</f>
        <v>0</v>
      </c>
      <c r="N76" s="1891">
        <f>'9-A.Training Sub-Annex'!O40</f>
        <v>0</v>
      </c>
      <c r="O76" s="939">
        <f>'9-A.Training Sub-Annex'!P40</f>
        <v>0</v>
      </c>
      <c r="P76" s="1889">
        <f>'9-A.Training Sub-Annex'!Q40</f>
        <v>0</v>
      </c>
      <c r="Q76" s="3299"/>
      <c r="R76" s="1906"/>
      <c r="T76" s="3314"/>
    </row>
    <row r="77" spans="1:20" s="828" customFormat="1" x14ac:dyDescent="0.2">
      <c r="A77" s="4048"/>
      <c r="B77" s="1889">
        <f>'9-A.Training Sub-Annex'!C41</f>
        <v>0</v>
      </c>
      <c r="C77" s="1890" t="str">
        <f>'9-A.Training Sub-Annex'!D41</f>
        <v>Training of ANM/staff nurses in RTI/STI</v>
      </c>
      <c r="D77" s="1891" t="str">
        <f>'9-A.Training Sub-Annex'!E41</f>
        <v>RCH</v>
      </c>
      <c r="E77" s="1891" t="str">
        <f>'9-A.Training Sub-Annex'!F41</f>
        <v>MH</v>
      </c>
      <c r="F77" s="1891">
        <f>'9-A.Training Sub-Annex'!G41</f>
        <v>0</v>
      </c>
      <c r="G77" s="1891">
        <f>'9-A.Training Sub-Annex'!H41</f>
        <v>0</v>
      </c>
      <c r="H77" s="1891">
        <f>'9-A.Training Sub-Annex'!I41</f>
        <v>0</v>
      </c>
      <c r="I77" s="1891">
        <f>'9-A.Training Sub-Annex'!J41</f>
        <v>0</v>
      </c>
      <c r="J77" s="1891">
        <f>'9-A.Training Sub-Annex'!K41</f>
        <v>0</v>
      </c>
      <c r="K77" s="1891">
        <f>'9-A.Training Sub-Annex'!L41</f>
        <v>0</v>
      </c>
      <c r="L77" s="939">
        <f>'9-A.Training Sub-Annex'!M41</f>
        <v>0</v>
      </c>
      <c r="M77" s="1891">
        <f>'9-A.Training Sub-Annex'!N41</f>
        <v>0</v>
      </c>
      <c r="N77" s="1891">
        <f>'9-A.Training Sub-Annex'!O41</f>
        <v>0</v>
      </c>
      <c r="O77" s="939">
        <f>'9-A.Training Sub-Annex'!P41</f>
        <v>0</v>
      </c>
      <c r="P77" s="1889">
        <f>'9-A.Training Sub-Annex'!Q41</f>
        <v>0</v>
      </c>
      <c r="Q77" s="124"/>
      <c r="R77" s="1880"/>
    </row>
    <row r="78" spans="1:20" s="828" customFormat="1" x14ac:dyDescent="0.2">
      <c r="A78" s="4048"/>
      <c r="B78" s="1889" t="str">
        <f>'9-A.Training Sub-Annex'!C42</f>
        <v>A.9.3.5.3</v>
      </c>
      <c r="C78" s="1890" t="str">
        <f>'9-A.Training Sub-Annex'!D42</f>
        <v>Training of Medical Officers in RTI/STI</v>
      </c>
      <c r="D78" s="1891" t="str">
        <f>'9-A.Training Sub-Annex'!E42</f>
        <v>RCH</v>
      </c>
      <c r="E78" s="1891" t="str">
        <f>'9-A.Training Sub-Annex'!F42</f>
        <v>MH</v>
      </c>
      <c r="F78" s="1891">
        <f>'9-A.Training Sub-Annex'!G42</f>
        <v>0</v>
      </c>
      <c r="G78" s="1891">
        <f>'9-A.Training Sub-Annex'!H42</f>
        <v>0</v>
      </c>
      <c r="H78" s="1891">
        <f>'9-A.Training Sub-Annex'!I42</f>
        <v>0</v>
      </c>
      <c r="I78" s="1891">
        <f>'9-A.Training Sub-Annex'!J42</f>
        <v>0</v>
      </c>
      <c r="J78" s="1891">
        <f>'9-A.Training Sub-Annex'!K42</f>
        <v>0</v>
      </c>
      <c r="K78" s="1891">
        <f>'9-A.Training Sub-Annex'!L42</f>
        <v>0</v>
      </c>
      <c r="L78" s="939">
        <f>'9-A.Training Sub-Annex'!M42</f>
        <v>0</v>
      </c>
      <c r="M78" s="1891">
        <f>'9-A.Training Sub-Annex'!N42</f>
        <v>0</v>
      </c>
      <c r="N78" s="1891">
        <f>'9-A.Training Sub-Annex'!O42</f>
        <v>0</v>
      </c>
      <c r="O78" s="939">
        <f>'9-A.Training Sub-Annex'!P42</f>
        <v>0</v>
      </c>
      <c r="P78" s="1889">
        <f>'9-A.Training Sub-Annex'!Q42</f>
        <v>0</v>
      </c>
      <c r="Q78" s="3299"/>
      <c r="R78" s="1906"/>
      <c r="T78" s="3314"/>
    </row>
    <row r="79" spans="1:20" s="828" customFormat="1" x14ac:dyDescent="0.2">
      <c r="A79" s="4048"/>
      <c r="B79" s="1889" t="str">
        <f>'9-A.Training Sub-Annex'!C43</f>
        <v>A.9.3.6.1</v>
      </c>
      <c r="C79" s="1890" t="str">
        <f>'9-A.Training Sub-Annex'!D43</f>
        <v>TOT for BEmOC training</v>
      </c>
      <c r="D79" s="1891" t="str">
        <f>'9-A.Training Sub-Annex'!E43</f>
        <v>RCH</v>
      </c>
      <c r="E79" s="1891" t="str">
        <f>'9-A.Training Sub-Annex'!F43</f>
        <v>MH</v>
      </c>
      <c r="F79" s="1891">
        <f>'9-A.Training Sub-Annex'!G43</f>
        <v>0</v>
      </c>
      <c r="G79" s="1891">
        <f>'9-A.Training Sub-Annex'!H43</f>
        <v>0</v>
      </c>
      <c r="H79" s="1891">
        <f>'9-A.Training Sub-Annex'!I43</f>
        <v>0</v>
      </c>
      <c r="I79" s="1891">
        <f>'9-A.Training Sub-Annex'!J43</f>
        <v>0</v>
      </c>
      <c r="J79" s="1891">
        <f>'9-A.Training Sub-Annex'!K43</f>
        <v>0</v>
      </c>
      <c r="K79" s="1891">
        <f>'9-A.Training Sub-Annex'!L43</f>
        <v>0</v>
      </c>
      <c r="L79" s="939">
        <f>'9-A.Training Sub-Annex'!M43</f>
        <v>0</v>
      </c>
      <c r="M79" s="1891">
        <f>'9-A.Training Sub-Annex'!N43</f>
        <v>0</v>
      </c>
      <c r="N79" s="1891">
        <f>'9-A.Training Sub-Annex'!O43</f>
        <v>0</v>
      </c>
      <c r="O79" s="939">
        <f>'9-A.Training Sub-Annex'!P43</f>
        <v>0</v>
      </c>
      <c r="P79" s="1889">
        <f>'9-A.Training Sub-Annex'!Q43</f>
        <v>0</v>
      </c>
      <c r="Q79" s="124"/>
      <c r="R79" s="1880"/>
    </row>
    <row r="80" spans="1:20" s="828" customFormat="1" ht="54.75" customHeight="1" x14ac:dyDescent="0.2">
      <c r="A80" s="4048"/>
      <c r="B80" s="1889" t="str">
        <f>'9-A.Training Sub-Annex'!C44</f>
        <v>A.9.3.6.2</v>
      </c>
      <c r="C80" s="1890" t="str">
        <f>'9-A.Training Sub-Annex'!D44</f>
        <v>BEmOC training  for MOs/LMOs</v>
      </c>
      <c r="D80" s="1891" t="str">
        <f>'9-A.Training Sub-Annex'!E44</f>
        <v>RCH</v>
      </c>
      <c r="E80" s="1891" t="str">
        <f>'9-A.Training Sub-Annex'!F44</f>
        <v>MH</v>
      </c>
      <c r="F80" s="1891">
        <f>'9-A.Training Sub-Annex'!G44</f>
        <v>0</v>
      </c>
      <c r="G80" s="1891">
        <f>'9-A.Training Sub-Annex'!H44</f>
        <v>0</v>
      </c>
      <c r="H80" s="1891">
        <f>'9-A.Training Sub-Annex'!I44</f>
        <v>0</v>
      </c>
      <c r="I80" s="1891">
        <f>'9-A.Training Sub-Annex'!J44</f>
        <v>0</v>
      </c>
      <c r="J80" s="1891">
        <f>'9-A.Training Sub-Annex'!K44</f>
        <v>0</v>
      </c>
      <c r="K80" s="1891">
        <f>'9-A.Training Sub-Annex'!L44</f>
        <v>0</v>
      </c>
      <c r="L80" s="939">
        <f>'9-A.Training Sub-Annex'!M44</f>
        <v>0</v>
      </c>
      <c r="M80" s="1891">
        <f>'9-A.Training Sub-Annex'!N44</f>
        <v>0</v>
      </c>
      <c r="N80" s="1891">
        <f>'9-A.Training Sub-Annex'!O44</f>
        <v>0</v>
      </c>
      <c r="O80" s="939">
        <f>'9-A.Training Sub-Annex'!P44</f>
        <v>0</v>
      </c>
      <c r="P80" s="1889">
        <f>'9-A.Training Sub-Annex'!Q44</f>
        <v>0</v>
      </c>
      <c r="Q80" s="3299"/>
      <c r="R80" s="1906"/>
      <c r="T80" s="3314"/>
    </row>
    <row r="81" spans="1:20" s="828" customFormat="1" x14ac:dyDescent="0.2">
      <c r="A81" s="4048"/>
      <c r="B81" s="1889">
        <f>'9-A.Training Sub-Annex'!C45</f>
        <v>0</v>
      </c>
      <c r="C81" s="1890" t="str">
        <f>'9-A.Training Sub-Annex'!D45</f>
        <v>DAKSHTA training</v>
      </c>
      <c r="D81" s="1891" t="str">
        <f>'9-A.Training Sub-Annex'!E45</f>
        <v>RCH</v>
      </c>
      <c r="E81" s="1891" t="str">
        <f>'9-A.Training Sub-Annex'!F45</f>
        <v>MH</v>
      </c>
      <c r="F81" s="1891">
        <f>'9-A.Training Sub-Annex'!G45</f>
        <v>0</v>
      </c>
      <c r="G81" s="1891">
        <f>'9-A.Training Sub-Annex'!H45</f>
        <v>0</v>
      </c>
      <c r="H81" s="1891">
        <f>'9-A.Training Sub-Annex'!I45</f>
        <v>0</v>
      </c>
      <c r="I81" s="1891">
        <f>'9-A.Training Sub-Annex'!J45</f>
        <v>0</v>
      </c>
      <c r="J81" s="1891">
        <f>'9-A.Training Sub-Annex'!K45</f>
        <v>0</v>
      </c>
      <c r="K81" s="1891">
        <f>'9-A.Training Sub-Annex'!L45</f>
        <v>0</v>
      </c>
      <c r="L81" s="939">
        <f>'9-A.Training Sub-Annex'!M45</f>
        <v>0</v>
      </c>
      <c r="M81" s="1891">
        <f>'9-A.Training Sub-Annex'!N45</f>
        <v>0</v>
      </c>
      <c r="N81" s="1891">
        <f>'9-A.Training Sub-Annex'!O45</f>
        <v>0</v>
      </c>
      <c r="O81" s="939">
        <f>'9-A.Training Sub-Annex'!P45</f>
        <v>0</v>
      </c>
      <c r="P81" s="1889">
        <f>'9-A.Training Sub-Annex'!Q45</f>
        <v>0</v>
      </c>
      <c r="Q81" s="124"/>
      <c r="R81" s="1880">
        <v>0</v>
      </c>
    </row>
    <row r="82" spans="1:20" s="828" customFormat="1" x14ac:dyDescent="0.2">
      <c r="A82" s="4048"/>
      <c r="B82" s="1889">
        <f>'9-A.Training Sub-Annex'!C46</f>
        <v>0</v>
      </c>
      <c r="C82" s="1890" t="str">
        <f>'9-A.Training Sub-Annex'!D46</f>
        <v>TOT for Dakshta</v>
      </c>
      <c r="D82" s="1891" t="str">
        <f>'9-A.Training Sub-Annex'!E46</f>
        <v>RCH</v>
      </c>
      <c r="E82" s="1891" t="str">
        <f>'9-A.Training Sub-Annex'!F46</f>
        <v>MH</v>
      </c>
      <c r="F82" s="1891">
        <f>'9-A.Training Sub-Annex'!G46</f>
        <v>0</v>
      </c>
      <c r="G82" s="1891">
        <f>'9-A.Training Sub-Annex'!H46</f>
        <v>0</v>
      </c>
      <c r="H82" s="1891">
        <f>'9-A.Training Sub-Annex'!I46</f>
        <v>0</v>
      </c>
      <c r="I82" s="1891">
        <f>'9-A.Training Sub-Annex'!J46</f>
        <v>0</v>
      </c>
      <c r="J82" s="1891">
        <f>'9-A.Training Sub-Annex'!K46</f>
        <v>0</v>
      </c>
      <c r="K82" s="1891">
        <f>'9-A.Training Sub-Annex'!L46</f>
        <v>0</v>
      </c>
      <c r="L82" s="939">
        <f>'9-A.Training Sub-Annex'!M46</f>
        <v>0</v>
      </c>
      <c r="M82" s="1891">
        <f>'9-A.Training Sub-Annex'!N46</f>
        <v>0</v>
      </c>
      <c r="N82" s="1891">
        <f>'9-A.Training Sub-Annex'!O46</f>
        <v>0</v>
      </c>
      <c r="O82" s="939">
        <f>'9-A.Training Sub-Annex'!P46</f>
        <v>0</v>
      </c>
      <c r="P82" s="1889">
        <f>'9-A.Training Sub-Annex'!Q46</f>
        <v>0</v>
      </c>
      <c r="Q82" s="124"/>
      <c r="R82" s="1880">
        <v>0</v>
      </c>
    </row>
    <row r="83" spans="1:20" s="828" customFormat="1" x14ac:dyDescent="0.2">
      <c r="A83" s="4048"/>
      <c r="B83" s="1889">
        <f>'9-A.Training Sub-Annex'!C47</f>
        <v>0</v>
      </c>
      <c r="C83" s="1890" t="str">
        <f>'9-A.Training Sub-Annex'!D47</f>
        <v>Onsite Mentoring for DAKSHATA</v>
      </c>
      <c r="D83" s="1891" t="str">
        <f>'9-A.Training Sub-Annex'!E47</f>
        <v>RCH</v>
      </c>
      <c r="E83" s="1891" t="str">
        <f>'9-A.Training Sub-Annex'!F47</f>
        <v>MH</v>
      </c>
      <c r="F83" s="1891">
        <f>'9-A.Training Sub-Annex'!G47</f>
        <v>0</v>
      </c>
      <c r="G83" s="1891">
        <f>'9-A.Training Sub-Annex'!H47</f>
        <v>0</v>
      </c>
      <c r="H83" s="1891">
        <f>'9-A.Training Sub-Annex'!I47</f>
        <v>0</v>
      </c>
      <c r="I83" s="1891">
        <f>'9-A.Training Sub-Annex'!J47</f>
        <v>0</v>
      </c>
      <c r="J83" s="1891">
        <f>'9-A.Training Sub-Annex'!K47</f>
        <v>0</v>
      </c>
      <c r="K83" s="1891">
        <f>'9-A.Training Sub-Annex'!L47</f>
        <v>0</v>
      </c>
      <c r="L83" s="939">
        <f>'9-A.Training Sub-Annex'!M47</f>
        <v>0</v>
      </c>
      <c r="M83" s="1891">
        <f>'9-A.Training Sub-Annex'!N47</f>
        <v>0</v>
      </c>
      <c r="N83" s="1891">
        <f>'9-A.Training Sub-Annex'!O47</f>
        <v>0</v>
      </c>
      <c r="O83" s="939">
        <f>'9-A.Training Sub-Annex'!P47</f>
        <v>0</v>
      </c>
      <c r="P83" s="1889">
        <f>'9-A.Training Sub-Annex'!Q47</f>
        <v>0</v>
      </c>
      <c r="Q83" s="124"/>
      <c r="R83" s="1880">
        <v>0</v>
      </c>
    </row>
    <row r="84" spans="1:20" s="828" customFormat="1" x14ac:dyDescent="0.2">
      <c r="A84" s="4048"/>
      <c r="B84" s="1889">
        <f>'9-A.Training Sub-Annex'!C48</f>
        <v>0</v>
      </c>
      <c r="C84" s="1890" t="str">
        <f>'9-A.Training Sub-Annex'!D48</f>
        <v>LaQshya trainings/workshops</v>
      </c>
      <c r="D84" s="1891" t="str">
        <f>'9-A.Training Sub-Annex'!E48</f>
        <v>RCH</v>
      </c>
      <c r="E84" s="1891" t="str">
        <f>'9-A.Training Sub-Annex'!F48</f>
        <v>MH</v>
      </c>
      <c r="F84" s="1891">
        <f>'9-A.Training Sub-Annex'!G48</f>
        <v>0</v>
      </c>
      <c r="G84" s="1891">
        <f>'9-A.Training Sub-Annex'!H48</f>
        <v>0</v>
      </c>
      <c r="H84" s="1891">
        <f>'9-A.Training Sub-Annex'!I48</f>
        <v>0</v>
      </c>
      <c r="I84" s="1891">
        <f>'9-A.Training Sub-Annex'!J48</f>
        <v>0</v>
      </c>
      <c r="J84" s="1891">
        <f>'9-A.Training Sub-Annex'!K48</f>
        <v>0</v>
      </c>
      <c r="K84" s="1891">
        <f>'9-A.Training Sub-Annex'!L48</f>
        <v>0</v>
      </c>
      <c r="L84" s="939">
        <f>'9-A.Training Sub-Annex'!M48</f>
        <v>0</v>
      </c>
      <c r="M84" s="1891">
        <f>'9-A.Training Sub-Annex'!N48</f>
        <v>0</v>
      </c>
      <c r="N84" s="1891">
        <f>'9-A.Training Sub-Annex'!O48</f>
        <v>0</v>
      </c>
      <c r="O84" s="939">
        <f>'9-A.Training Sub-Annex'!P48</f>
        <v>0</v>
      </c>
      <c r="P84" s="3296">
        <f>'9-A.Training Sub-Annex'!Q48</f>
        <v>0</v>
      </c>
      <c r="Q84" s="3323"/>
      <c r="R84" s="1906"/>
      <c r="T84" s="3314"/>
    </row>
    <row r="85" spans="1:20" s="828" customFormat="1" x14ac:dyDescent="0.2">
      <c r="A85" s="4048"/>
      <c r="B85" s="1889">
        <f>'9-A.Training Sub-Annex'!C49</f>
        <v>0</v>
      </c>
      <c r="C85" s="1890" t="str">
        <f>'9-A.Training Sub-Annex'!D49</f>
        <v>Training of MOs/SNs</v>
      </c>
      <c r="D85" s="1891" t="str">
        <f>'9-A.Training Sub-Annex'!E49</f>
        <v>RCH</v>
      </c>
      <c r="E85" s="1891" t="str">
        <f>'9-A.Training Sub-Annex'!F49</f>
        <v>MH</v>
      </c>
      <c r="F85" s="1891">
        <f>'9-A.Training Sub-Annex'!G49</f>
        <v>0</v>
      </c>
      <c r="G85" s="1891">
        <f>'9-A.Training Sub-Annex'!H49</f>
        <v>0</v>
      </c>
      <c r="H85" s="1891">
        <f>'9-A.Training Sub-Annex'!I49</f>
        <v>0</v>
      </c>
      <c r="I85" s="1891">
        <f>'9-A.Training Sub-Annex'!J49</f>
        <v>0</v>
      </c>
      <c r="J85" s="1891">
        <f>'9-A.Training Sub-Annex'!K49</f>
        <v>0</v>
      </c>
      <c r="K85" s="1891">
        <f>'9-A.Training Sub-Annex'!L49</f>
        <v>0</v>
      </c>
      <c r="L85" s="939">
        <f>'9-A.Training Sub-Annex'!M49</f>
        <v>0</v>
      </c>
      <c r="M85" s="1891">
        <f>'9-A.Training Sub-Annex'!N49</f>
        <v>0</v>
      </c>
      <c r="N85" s="1891">
        <f>'9-A.Training Sub-Annex'!O49</f>
        <v>0</v>
      </c>
      <c r="O85" s="939">
        <f>'9-A.Training Sub-Annex'!P49</f>
        <v>0</v>
      </c>
      <c r="P85" s="1889">
        <f>'9-A.Training Sub-Annex'!Q49</f>
        <v>0</v>
      </c>
      <c r="Q85" s="124"/>
      <c r="R85" s="1906"/>
      <c r="T85" s="3314"/>
    </row>
    <row r="86" spans="1:20" s="828" customFormat="1" x14ac:dyDescent="0.2">
      <c r="A86" s="4048"/>
      <c r="B86" s="1889">
        <f>'9-A.Training Sub-Annex'!C50</f>
        <v>0</v>
      </c>
      <c r="C86" s="1890" t="str">
        <f>'9-A.Training Sub-Annex'!D50</f>
        <v>Onsite mentoring at Delivery Points</v>
      </c>
      <c r="D86" s="1891" t="str">
        <f>'9-A.Training Sub-Annex'!E50</f>
        <v>RCH</v>
      </c>
      <c r="E86" s="1891" t="str">
        <f>'9-A.Training Sub-Annex'!F50</f>
        <v>MH</v>
      </c>
      <c r="F86" s="1891">
        <f>'9-A.Training Sub-Annex'!G50</f>
        <v>0</v>
      </c>
      <c r="G86" s="1891">
        <f>'9-A.Training Sub-Annex'!H50</f>
        <v>0</v>
      </c>
      <c r="H86" s="1891">
        <f>'9-A.Training Sub-Annex'!I50</f>
        <v>0</v>
      </c>
      <c r="I86" s="1891">
        <f>'9-A.Training Sub-Annex'!J50</f>
        <v>0</v>
      </c>
      <c r="J86" s="1891">
        <f>'9-A.Training Sub-Annex'!K50</f>
        <v>0</v>
      </c>
      <c r="K86" s="1891">
        <f>'9-A.Training Sub-Annex'!L50</f>
        <v>0</v>
      </c>
      <c r="L86" s="939">
        <f>'9-A.Training Sub-Annex'!M50</f>
        <v>0</v>
      </c>
      <c r="M86" s="1891">
        <f>'9-A.Training Sub-Annex'!N50</f>
        <v>0</v>
      </c>
      <c r="N86" s="1891">
        <f>'9-A.Training Sub-Annex'!O50</f>
        <v>0</v>
      </c>
      <c r="O86" s="939">
        <f>'9-A.Training Sub-Annex'!P50</f>
        <v>0</v>
      </c>
      <c r="P86" s="1889">
        <f>'9-A.Training Sub-Annex'!Q50</f>
        <v>0</v>
      </c>
      <c r="Q86" s="124"/>
      <c r="R86" s="1880"/>
    </row>
    <row r="87" spans="1:20" s="828" customFormat="1" ht="30" x14ac:dyDescent="0.2">
      <c r="A87" s="4048"/>
      <c r="B87" s="1889">
        <f>'9-A.Training Sub-Annex'!C51</f>
        <v>0</v>
      </c>
      <c r="C87" s="1890" t="str">
        <f>'9-A.Training Sub-Annex'!D51</f>
        <v>Travel Cost of State Midwifery Educators: State to National Institute</v>
      </c>
      <c r="D87" s="1891" t="str">
        <f>'9-A.Training Sub-Annex'!E51</f>
        <v>RCH</v>
      </c>
      <c r="E87" s="1891" t="str">
        <f>'9-A.Training Sub-Annex'!F51</f>
        <v>MH</v>
      </c>
      <c r="F87" s="1891">
        <f>'9-A.Training Sub-Annex'!G51</f>
        <v>0</v>
      </c>
      <c r="G87" s="1891">
        <f>'9-A.Training Sub-Annex'!H51</f>
        <v>0</v>
      </c>
      <c r="H87" s="1891">
        <f>'9-A.Training Sub-Annex'!I51</f>
        <v>0</v>
      </c>
      <c r="I87" s="1891">
        <f>'9-A.Training Sub-Annex'!J51</f>
        <v>0</v>
      </c>
      <c r="J87" s="1891">
        <f>'9-A.Training Sub-Annex'!K51</f>
        <v>0</v>
      </c>
      <c r="K87" s="1891">
        <f>'9-A.Training Sub-Annex'!L51</f>
        <v>0</v>
      </c>
      <c r="L87" s="939">
        <f>'9-A.Training Sub-Annex'!M51</f>
        <v>0</v>
      </c>
      <c r="M87" s="1891">
        <f>'9-A.Training Sub-Annex'!N51</f>
        <v>0</v>
      </c>
      <c r="N87" s="1891">
        <f>'9-A.Training Sub-Annex'!O51</f>
        <v>0</v>
      </c>
      <c r="O87" s="939">
        <f>'9-A.Training Sub-Annex'!P51</f>
        <v>0</v>
      </c>
      <c r="P87" s="1889">
        <f>'9-A.Training Sub-Annex'!Q51</f>
        <v>0</v>
      </c>
      <c r="Q87" s="124"/>
      <c r="R87" s="1906"/>
      <c r="T87" s="3314"/>
    </row>
    <row r="88" spans="1:20" s="828" customFormat="1" ht="132" customHeight="1" x14ac:dyDescent="0.2">
      <c r="A88" s="4048"/>
      <c r="B88" s="1889">
        <f>'9-A.Training Sub-Annex'!C52</f>
        <v>0</v>
      </c>
      <c r="C88" s="1890" t="str">
        <f>'9-A.Training Sub-Annex'!D52</f>
        <v xml:space="preserve">Training of Nurse Practitioners in Midwifery </v>
      </c>
      <c r="D88" s="1891" t="str">
        <f>'9-A.Training Sub-Annex'!E52</f>
        <v>RCH</v>
      </c>
      <c r="E88" s="1891" t="str">
        <f>'9-A.Training Sub-Annex'!F52</f>
        <v>MH</v>
      </c>
      <c r="F88" s="1891">
        <f>'9-A.Training Sub-Annex'!G52</f>
        <v>0</v>
      </c>
      <c r="G88" s="1891">
        <f>'9-A.Training Sub-Annex'!H52</f>
        <v>0</v>
      </c>
      <c r="H88" s="1891">
        <f>'9-A.Training Sub-Annex'!I52</f>
        <v>0</v>
      </c>
      <c r="I88" s="1891">
        <f>'9-A.Training Sub-Annex'!J52</f>
        <v>0</v>
      </c>
      <c r="J88" s="1891">
        <f>'9-A.Training Sub-Annex'!K52</f>
        <v>0</v>
      </c>
      <c r="K88" s="1891">
        <f>'9-A.Training Sub-Annex'!L52</f>
        <v>0</v>
      </c>
      <c r="L88" s="939">
        <f>'9-A.Training Sub-Annex'!M52</f>
        <v>0</v>
      </c>
      <c r="M88" s="1891">
        <f>'9-A.Training Sub-Annex'!N52</f>
        <v>0</v>
      </c>
      <c r="N88" s="1891">
        <f>'9-A.Training Sub-Annex'!O52</f>
        <v>0</v>
      </c>
      <c r="O88" s="939">
        <f>'9-A.Training Sub-Annex'!P52</f>
        <v>0</v>
      </c>
      <c r="P88" s="1889">
        <f>'9-A.Training Sub-Annex'!Q52</f>
        <v>0</v>
      </c>
      <c r="Q88" s="124"/>
      <c r="R88" s="1906"/>
      <c r="T88" s="3314"/>
    </row>
    <row r="89" spans="1:20" s="828" customFormat="1" x14ac:dyDescent="0.2">
      <c r="A89" s="4048"/>
      <c r="B89" s="1889" t="str">
        <f>'9-A.Training Sub-Annex'!C53</f>
        <v>A.9.3.7</v>
      </c>
      <c r="C89" s="1890" t="str">
        <f>'9-A.Training Sub-Annex'!D53</f>
        <v>Other maternal health trainings (please specify)</v>
      </c>
      <c r="D89" s="1891" t="str">
        <f>'9-A.Training Sub-Annex'!E53</f>
        <v>RCH</v>
      </c>
      <c r="E89" s="1891" t="str">
        <f>'9-A.Training Sub-Annex'!F53</f>
        <v>MH</v>
      </c>
      <c r="F89" s="1891">
        <f>'9-A.Training Sub-Annex'!G53</f>
        <v>0</v>
      </c>
      <c r="G89" s="1891">
        <f>'9-A.Training Sub-Annex'!H53</f>
        <v>0</v>
      </c>
      <c r="H89" s="1891">
        <f>'9-A.Training Sub-Annex'!I53</f>
        <v>0</v>
      </c>
      <c r="I89" s="1891">
        <f>'9-A.Training Sub-Annex'!J53</f>
        <v>0</v>
      </c>
      <c r="J89" s="1891">
        <f>'9-A.Training Sub-Annex'!K53</f>
        <v>0</v>
      </c>
      <c r="K89" s="1891">
        <f>'9-A.Training Sub-Annex'!L53</f>
        <v>0</v>
      </c>
      <c r="L89" s="939">
        <f>'9-A.Training Sub-Annex'!M53</f>
        <v>0</v>
      </c>
      <c r="M89" s="1891">
        <f>'9-A.Training Sub-Annex'!N53</f>
        <v>0</v>
      </c>
      <c r="N89" s="1891">
        <f>'9-A.Training Sub-Annex'!O53</f>
        <v>0</v>
      </c>
      <c r="O89" s="939">
        <f>'9-A.Training Sub-Annex'!P53</f>
        <v>0</v>
      </c>
      <c r="P89" s="1889">
        <f>'9-A.Training Sub-Annex'!Q53</f>
        <v>0</v>
      </c>
      <c r="Q89" s="3299"/>
      <c r="R89" s="1906"/>
      <c r="T89" s="3314"/>
    </row>
    <row r="90" spans="1:20" s="828" customFormat="1" x14ac:dyDescent="0.2">
      <c r="A90" s="1875">
        <f>'10.Review Research &amp; Surveillen'!A7</f>
        <v>10</v>
      </c>
      <c r="B90" s="1885"/>
      <c r="C90" s="1876" t="str">
        <f>'10.Review Research &amp; Surveillen'!C7</f>
        <v>Reviews, Research, Surveys and Surveillance</v>
      </c>
      <c r="D90" s="1877"/>
      <c r="E90" s="1877"/>
      <c r="F90" s="1877"/>
      <c r="G90" s="1877"/>
      <c r="H90" s="969"/>
      <c r="I90" s="1877"/>
      <c r="J90" s="969"/>
      <c r="K90" s="1877"/>
      <c r="L90" s="969"/>
      <c r="M90" s="969"/>
      <c r="N90" s="1886"/>
      <c r="O90" s="1887">
        <f>SUM(O91)</f>
        <v>0</v>
      </c>
      <c r="P90" s="1888"/>
      <c r="Q90" s="1908"/>
      <c r="R90" s="1909">
        <f>SUM(R91)</f>
        <v>0</v>
      </c>
      <c r="T90" s="3314"/>
    </row>
    <row r="91" spans="1:20" s="828" customFormat="1" ht="30" x14ac:dyDescent="0.2">
      <c r="A91" s="1892" t="str">
        <f>'10.Review Research &amp; Surveillen'!A9</f>
        <v>10.1.1</v>
      </c>
      <c r="B91" s="1892" t="str">
        <f>'10.Review Research &amp; Surveillen'!B9</f>
        <v>A.1.4</v>
      </c>
      <c r="C91" s="1893" t="str">
        <f>'10.Review Research &amp; Surveillen'!C9</f>
        <v>Maternal Death Review (both in institutions and community)</v>
      </c>
      <c r="D91" s="1894" t="str">
        <f>'10.Review Research &amp; Surveillen'!D9</f>
        <v>RCH</v>
      </c>
      <c r="E91" s="1894" t="str">
        <f>'10.Review Research &amp; Surveillen'!E9</f>
        <v>MH</v>
      </c>
      <c r="F91" s="1894">
        <f>'10.Review Research &amp; Surveillen'!F9</f>
        <v>0</v>
      </c>
      <c r="G91" s="1894">
        <f>'10.Review Research &amp; Surveillen'!G9</f>
        <v>0</v>
      </c>
      <c r="H91" s="1894">
        <f>'10.Review Research &amp; Surveillen'!H9</f>
        <v>0</v>
      </c>
      <c r="I91" s="1894">
        <f>'10.Review Research &amp; Surveillen'!I9</f>
        <v>0</v>
      </c>
      <c r="J91" s="1894">
        <f>'10.Review Research &amp; Surveillen'!J9</f>
        <v>0</v>
      </c>
      <c r="K91" s="1894">
        <f>'10.Review Research &amp; Surveillen'!K9</f>
        <v>0</v>
      </c>
      <c r="L91" s="939">
        <f>'10.Review Research &amp; Surveillen'!L9</f>
        <v>0</v>
      </c>
      <c r="M91" s="1894">
        <f>'10.Review Research &amp; Surveillen'!M9</f>
        <v>0</v>
      </c>
      <c r="N91" s="1894">
        <f>'10.Review Research &amp; Surveillen'!N9</f>
        <v>0</v>
      </c>
      <c r="O91" s="939">
        <f>'10.Review Research &amp; Surveillen'!O9</f>
        <v>0</v>
      </c>
      <c r="P91" s="1892">
        <f>'10.Review Research &amp; Surveillen'!P9</f>
        <v>0</v>
      </c>
      <c r="Q91" s="3299"/>
      <c r="R91" s="1906"/>
      <c r="T91" s="3314"/>
    </row>
    <row r="92" spans="1:20" s="828" customFormat="1" x14ac:dyDescent="0.2">
      <c r="A92" s="1875">
        <f>'11.IEC-BCC Annex'!A7</f>
        <v>11</v>
      </c>
      <c r="B92" s="1885"/>
      <c r="C92" s="1876" t="str">
        <f>'11.IEC-BCC Annex'!C7</f>
        <v>IEC/BCC</v>
      </c>
      <c r="D92" s="1877"/>
      <c r="E92" s="1877"/>
      <c r="F92" s="1877"/>
      <c r="G92" s="1877"/>
      <c r="H92" s="969"/>
      <c r="I92" s="1877"/>
      <c r="J92" s="969"/>
      <c r="K92" s="1877"/>
      <c r="L92" s="969"/>
      <c r="M92" s="969"/>
      <c r="N92" s="1886"/>
      <c r="O92" s="1887">
        <f>SUM(O93:O95)</f>
        <v>0</v>
      </c>
      <c r="P92" s="1888"/>
      <c r="Q92" s="1908"/>
      <c r="R92" s="1909">
        <f>SUM(R93:R95)</f>
        <v>0</v>
      </c>
      <c r="T92" s="3314"/>
    </row>
    <row r="93" spans="1:20" s="828" customFormat="1" x14ac:dyDescent="0.2">
      <c r="A93" s="4047" t="str">
        <f>'11.IEC-BCC Annex'!A9</f>
        <v>11.1.1</v>
      </c>
      <c r="B93" t="str">
        <f>'11-A. IEC Sub-Annex'!C7</f>
        <v>B.10.3.1.1</v>
      </c>
      <c r="C93" s="1890" t="str">
        <f>'11-A. IEC Sub-Annex'!D7</f>
        <v>Media Mix of Mid Media/ Mass Media</v>
      </c>
      <c r="D93" s="1894" t="str">
        <f>'11-A. IEC Sub-Annex'!E7</f>
        <v>RCH</v>
      </c>
      <c r="E93" s="1894" t="str">
        <f>'11-A. IEC Sub-Annex'!F7</f>
        <v>MH</v>
      </c>
      <c r="F93" s="1891">
        <f>'11-A. IEC Sub-Annex'!G7</f>
        <v>0</v>
      </c>
      <c r="G93" s="1891">
        <f>'11-A. IEC Sub-Annex'!H7</f>
        <v>0</v>
      </c>
      <c r="H93" s="1891">
        <f>'11-A. IEC Sub-Annex'!I7</f>
        <v>0</v>
      </c>
      <c r="I93" s="1891">
        <f>'11-A. IEC Sub-Annex'!J7</f>
        <v>0</v>
      </c>
      <c r="J93" s="1891">
        <f>'11-A. IEC Sub-Annex'!K7</f>
        <v>0</v>
      </c>
      <c r="K93" s="1891">
        <f>'11-A. IEC Sub-Annex'!L7</f>
        <v>0</v>
      </c>
      <c r="L93" s="1891">
        <f>'11-A. IEC Sub-Annex'!M7</f>
        <v>0</v>
      </c>
      <c r="M93" s="1891">
        <f>'11-A. IEC Sub-Annex'!N7</f>
        <v>0</v>
      </c>
      <c r="N93" s="1891">
        <f>'11-A. IEC Sub-Annex'!O7</f>
        <v>0</v>
      </c>
      <c r="O93" s="1891">
        <f>'11-A. IEC Sub-Annex'!P7</f>
        <v>0</v>
      </c>
      <c r="P93" s="1891">
        <f>'11-A. IEC Sub-Annex'!Q7</f>
        <v>0</v>
      </c>
      <c r="Q93" s="124"/>
      <c r="R93" s="1880">
        <v>0</v>
      </c>
    </row>
    <row r="94" spans="1:20" s="828" customFormat="1" x14ac:dyDescent="0.2">
      <c r="A94" s="4047"/>
      <c r="B94" t="str">
        <f>'11-A. IEC Sub-Annex'!C8</f>
        <v>B.10.3.1.2</v>
      </c>
      <c r="C94" s="1890" t="str">
        <f>'11-A. IEC Sub-Annex'!D8</f>
        <v>Inter Personal Communication</v>
      </c>
      <c r="D94" s="1894" t="str">
        <f>'11-A. IEC Sub-Annex'!E8</f>
        <v>RCH</v>
      </c>
      <c r="E94" s="1894" t="str">
        <f>'11-A. IEC Sub-Annex'!F8</f>
        <v>MH</v>
      </c>
      <c r="F94" s="1891">
        <f>'11-A. IEC Sub-Annex'!G8</f>
        <v>0</v>
      </c>
      <c r="G94" s="1891">
        <f>'11-A. IEC Sub-Annex'!H8</f>
        <v>0</v>
      </c>
      <c r="H94" s="1891">
        <f>'11-A. IEC Sub-Annex'!I8</f>
        <v>0</v>
      </c>
      <c r="I94" s="1891">
        <f>'11-A. IEC Sub-Annex'!J8</f>
        <v>0</v>
      </c>
      <c r="J94" s="1891">
        <f>'11-A. IEC Sub-Annex'!K8</f>
        <v>0</v>
      </c>
      <c r="K94" s="1891">
        <f>'11-A. IEC Sub-Annex'!L8</f>
        <v>0</v>
      </c>
      <c r="L94" s="1891">
        <f>'11-A. IEC Sub-Annex'!M8</f>
        <v>0</v>
      </c>
      <c r="M94" s="1891">
        <f>'11-A. IEC Sub-Annex'!N8</f>
        <v>0</v>
      </c>
      <c r="N94" s="1891">
        <f>'11-A. IEC Sub-Annex'!O8</f>
        <v>0</v>
      </c>
      <c r="O94" s="1891">
        <f>'11-A. IEC Sub-Annex'!P8</f>
        <v>0</v>
      </c>
      <c r="P94" s="1891">
        <f>'11-A. IEC Sub-Annex'!Q8</f>
        <v>0</v>
      </c>
      <c r="Q94" s="124"/>
      <c r="R94" s="1880">
        <v>0</v>
      </c>
    </row>
    <row r="95" spans="1:20" s="828" customFormat="1" x14ac:dyDescent="0.2">
      <c r="A95" s="4047"/>
      <c r="B95">
        <f>'11-A. IEC Sub-Annex'!C9</f>
        <v>0</v>
      </c>
      <c r="C95" s="1890" t="str">
        <f>'11-A. IEC Sub-Annex'!D9</f>
        <v>Any other IEC/BCC activities (please specify)</v>
      </c>
      <c r="D95" s="1894" t="str">
        <f>'11-A. IEC Sub-Annex'!E9</f>
        <v>RCH</v>
      </c>
      <c r="E95" s="1894" t="str">
        <f>'11-A. IEC Sub-Annex'!F9</f>
        <v>MH</v>
      </c>
      <c r="F95" s="1891">
        <f>'11-A. IEC Sub-Annex'!G9</f>
        <v>0</v>
      </c>
      <c r="G95" s="1891">
        <f>'11-A. IEC Sub-Annex'!H9</f>
        <v>0</v>
      </c>
      <c r="H95" s="1891">
        <f>'11-A. IEC Sub-Annex'!I9</f>
        <v>0</v>
      </c>
      <c r="I95" s="1891">
        <f>'11-A. IEC Sub-Annex'!J9</f>
        <v>0</v>
      </c>
      <c r="J95" s="1891">
        <f>'11-A. IEC Sub-Annex'!K9</f>
        <v>0</v>
      </c>
      <c r="K95" s="1891">
        <f>'11-A. IEC Sub-Annex'!L9</f>
        <v>0</v>
      </c>
      <c r="L95" s="1891">
        <f>'11-A. IEC Sub-Annex'!M9</f>
        <v>0</v>
      </c>
      <c r="M95" s="1891">
        <f>'11-A. IEC Sub-Annex'!N9</f>
        <v>0</v>
      </c>
      <c r="N95" s="1891">
        <f>'11-A. IEC Sub-Annex'!O9</f>
        <v>0</v>
      </c>
      <c r="O95" s="1891">
        <f>'11-A. IEC Sub-Annex'!P9</f>
        <v>0</v>
      </c>
      <c r="P95" s="1891">
        <f>'11-A. IEC Sub-Annex'!Q9</f>
        <v>0</v>
      </c>
      <c r="Q95" s="3437"/>
      <c r="R95" s="1906"/>
      <c r="T95" s="3314"/>
    </row>
    <row r="96" spans="1:20" s="828" customFormat="1" x14ac:dyDescent="0.2">
      <c r="A96" s="1875">
        <f>'12.Printing Annex'!A7</f>
        <v>12</v>
      </c>
      <c r="B96" s="1885"/>
      <c r="C96" s="1876" t="str">
        <f>'12.Printing Annex'!C7</f>
        <v>Printing</v>
      </c>
      <c r="D96" s="1877"/>
      <c r="E96" s="1877"/>
      <c r="F96" s="1877"/>
      <c r="G96" s="1877"/>
      <c r="H96" s="969"/>
      <c r="I96" s="1877"/>
      <c r="J96" s="969"/>
      <c r="K96" s="1877"/>
      <c r="L96" s="969"/>
      <c r="M96" s="969"/>
      <c r="N96" s="1886"/>
      <c r="O96" s="1887">
        <f>SUM(O97:O100)</f>
        <v>0</v>
      </c>
      <c r="P96" s="1888"/>
      <c r="Q96" s="1908"/>
      <c r="R96" s="1909">
        <f>SUM(R97:R100)</f>
        <v>0</v>
      </c>
      <c r="T96" s="3314"/>
    </row>
    <row r="97" spans="1:20" s="828" customFormat="1" x14ac:dyDescent="0.2">
      <c r="A97" s="4049" t="str">
        <f>'12.Printing Annex'!A9</f>
        <v>12.1.1</v>
      </c>
      <c r="B97" t="str">
        <f>'12-A. Print Sub-Annex'!C7</f>
        <v>A.1.4</v>
      </c>
      <c r="C97" s="1890" t="str">
        <f>'12-A. Print Sub-Annex'!D7</f>
        <v>Printing of MDR formats</v>
      </c>
      <c r="D97" s="1894" t="str">
        <f>'12-A. Print Sub-Annex'!E7</f>
        <v>RCH</v>
      </c>
      <c r="E97" s="1894" t="str">
        <f>'12-A. Print Sub-Annex'!F7</f>
        <v>MH</v>
      </c>
      <c r="F97" s="1894">
        <f>'12-A. Print Sub-Annex'!G7</f>
        <v>0</v>
      </c>
      <c r="G97" s="1894">
        <f>'12-A. Print Sub-Annex'!H7</f>
        <v>0</v>
      </c>
      <c r="H97" s="1894">
        <f>'12-A. Print Sub-Annex'!I7</f>
        <v>0</v>
      </c>
      <c r="I97" s="1894">
        <f>'12-A. Print Sub-Annex'!J7</f>
        <v>0</v>
      </c>
      <c r="J97" s="1894">
        <f>'12-A. Print Sub-Annex'!K7</f>
        <v>0</v>
      </c>
      <c r="K97" s="1894">
        <f>'12-A. Print Sub-Annex'!L7</f>
        <v>0</v>
      </c>
      <c r="L97" s="1894">
        <f>'12-A. Print Sub-Annex'!M7</f>
        <v>0</v>
      </c>
      <c r="M97" s="1894">
        <f>'12-A. Print Sub-Annex'!N7</f>
        <v>0</v>
      </c>
      <c r="N97" s="1894">
        <f>'12-A. Print Sub-Annex'!O7</f>
        <v>0</v>
      </c>
      <c r="O97" s="1894">
        <f>'12-A. Print Sub-Annex'!P7</f>
        <v>0</v>
      </c>
      <c r="P97" s="1894">
        <f>'12-A. Print Sub-Annex'!Q7</f>
        <v>0</v>
      </c>
      <c r="Q97" s="124"/>
      <c r="R97" s="1880">
        <v>0</v>
      </c>
    </row>
    <row r="98" spans="1:20" s="828" customFormat="1" ht="95.25" customHeight="1" x14ac:dyDescent="0.2">
      <c r="A98" s="4050"/>
      <c r="B98" t="str">
        <f>'12-A. Print Sub-Annex'!C8</f>
        <v>B.10.7.1</v>
      </c>
      <c r="C98" s="1890" t="str">
        <f>'12-A. Print Sub-Annex'!D8</f>
        <v>Printing of MCP cards,  safe motherhood booklets  etc.</v>
      </c>
      <c r="D98" s="1894" t="str">
        <f>'12-A. Print Sub-Annex'!E8</f>
        <v>RCH</v>
      </c>
      <c r="E98" s="1894" t="str">
        <f>'12-A. Print Sub-Annex'!F8</f>
        <v>MH</v>
      </c>
      <c r="F98" s="1894">
        <f>'12-A. Print Sub-Annex'!G8</f>
        <v>0</v>
      </c>
      <c r="G98" s="1894">
        <f>'12-A. Print Sub-Annex'!H8</f>
        <v>0</v>
      </c>
      <c r="H98" s="1894">
        <f>'12-A. Print Sub-Annex'!I8</f>
        <v>0</v>
      </c>
      <c r="I98" s="1894">
        <f>'12-A. Print Sub-Annex'!J8</f>
        <v>0</v>
      </c>
      <c r="J98" s="1894">
        <f>'12-A. Print Sub-Annex'!K8</f>
        <v>0</v>
      </c>
      <c r="K98" s="1894">
        <f>'12-A. Print Sub-Annex'!L8</f>
        <v>0</v>
      </c>
      <c r="L98" s="1894">
        <f>'12-A. Print Sub-Annex'!M8</f>
        <v>0</v>
      </c>
      <c r="M98" s="1894">
        <f>'12-A. Print Sub-Annex'!N8</f>
        <v>0</v>
      </c>
      <c r="N98" s="1894">
        <f>'12-A. Print Sub-Annex'!O8</f>
        <v>0</v>
      </c>
      <c r="O98" s="1894">
        <f>'12-A. Print Sub-Annex'!P8</f>
        <v>0</v>
      </c>
      <c r="P98" s="1894">
        <f>'12-A. Print Sub-Annex'!Q8</f>
        <v>0</v>
      </c>
      <c r="Q98" s="124"/>
      <c r="R98" s="1906"/>
      <c r="T98" s="3314"/>
    </row>
    <row r="99" spans="1:20" s="828" customFormat="1" ht="194.25" customHeight="1" x14ac:dyDescent="0.2">
      <c r="A99" s="4050"/>
      <c r="B99">
        <f>'12-A. Print Sub-Annex'!C9</f>
        <v>0</v>
      </c>
      <c r="C99" s="1890" t="str">
        <f>'12-A. Print Sub-Annex'!D9</f>
        <v xml:space="preserve">Printing of labour room registers and case sheets/ LaQshya related printing </v>
      </c>
      <c r="D99" s="1894" t="str">
        <f>'12-A. Print Sub-Annex'!E9</f>
        <v>RCH</v>
      </c>
      <c r="E99" s="1894" t="str">
        <f>'12-A. Print Sub-Annex'!F9</f>
        <v>MH</v>
      </c>
      <c r="F99" s="1894">
        <f>'12-A. Print Sub-Annex'!G9</f>
        <v>0</v>
      </c>
      <c r="G99" s="1894">
        <f>'12-A. Print Sub-Annex'!H9</f>
        <v>0</v>
      </c>
      <c r="H99" s="1894">
        <f>'12-A. Print Sub-Annex'!I9</f>
        <v>0</v>
      </c>
      <c r="I99" s="1894">
        <f>'12-A. Print Sub-Annex'!J9</f>
        <v>0</v>
      </c>
      <c r="J99" s="1894">
        <f>'12-A. Print Sub-Annex'!K9</f>
        <v>0</v>
      </c>
      <c r="K99" s="1894">
        <f>'12-A. Print Sub-Annex'!L9</f>
        <v>0</v>
      </c>
      <c r="L99" s="1894">
        <f>'12-A. Print Sub-Annex'!M9</f>
        <v>0</v>
      </c>
      <c r="M99" s="1894">
        <f>'12-A. Print Sub-Annex'!N9</f>
        <v>0</v>
      </c>
      <c r="N99" s="1894">
        <f>'12-A. Print Sub-Annex'!O9</f>
        <v>0</v>
      </c>
      <c r="O99" s="1894">
        <f>'12-A. Print Sub-Annex'!P9</f>
        <v>0</v>
      </c>
      <c r="P99" s="1894">
        <f>'12-A. Print Sub-Annex'!Q9</f>
        <v>0</v>
      </c>
      <c r="Q99" s="124"/>
      <c r="R99" s="1906"/>
      <c r="T99" s="3314"/>
    </row>
    <row r="100" spans="1:20" s="828" customFormat="1" x14ac:dyDescent="0.2">
      <c r="A100" s="4051"/>
      <c r="B100">
        <f>'12-A. Print Sub-Annex'!C10</f>
        <v>0</v>
      </c>
      <c r="C100" s="1890" t="str">
        <f>'12-A. Print Sub-Annex'!D11</f>
        <v>Any other (please specify)</v>
      </c>
      <c r="D100" s="1894" t="str">
        <f>'12-A. Print Sub-Annex'!E11</f>
        <v>RCH</v>
      </c>
      <c r="E100" s="1894" t="str">
        <f>'12-A. Print Sub-Annex'!F11</f>
        <v>MH</v>
      </c>
      <c r="F100" s="1894">
        <f>'12-A. Print Sub-Annex'!G11</f>
        <v>0</v>
      </c>
      <c r="G100" s="1894">
        <f>'12-A. Print Sub-Annex'!H11</f>
        <v>0</v>
      </c>
      <c r="H100" s="1894">
        <f>'12-A. Print Sub-Annex'!I11</f>
        <v>0</v>
      </c>
      <c r="I100" s="1894">
        <f>'12-A. Print Sub-Annex'!J11</f>
        <v>0</v>
      </c>
      <c r="J100" s="1894">
        <f>'12-A. Print Sub-Annex'!K11</f>
        <v>0</v>
      </c>
      <c r="K100" s="1894">
        <f>'12-A. Print Sub-Annex'!L11</f>
        <v>0</v>
      </c>
      <c r="L100" s="1894">
        <f>'12-A. Print Sub-Annex'!M11</f>
        <v>0</v>
      </c>
      <c r="M100" s="1894">
        <f>'12-A. Print Sub-Annex'!N11</f>
        <v>0</v>
      </c>
      <c r="N100" s="1894">
        <f>'12-A. Print Sub-Annex'!O11</f>
        <v>0</v>
      </c>
      <c r="O100" s="1894">
        <f>'12-A. Print Sub-Annex'!P11</f>
        <v>0</v>
      </c>
      <c r="P100" s="1894">
        <f>'12-A. Print Sub-Annex'!Q11</f>
        <v>0</v>
      </c>
      <c r="Q100" s="124"/>
      <c r="R100" s="1880"/>
      <c r="T100" s="3314"/>
    </row>
    <row r="101" spans="1:20" s="828" customFormat="1" x14ac:dyDescent="0.2">
      <c r="A101" s="1869" t="s">
        <v>4359</v>
      </c>
      <c r="B101" s="1869"/>
      <c r="C101" s="1870" t="s">
        <v>4070</v>
      </c>
      <c r="D101" s="1871"/>
      <c r="E101" s="1871"/>
      <c r="F101" s="1871"/>
      <c r="G101" s="1871"/>
      <c r="H101" s="1872"/>
      <c r="I101" s="1871"/>
      <c r="J101" s="1872"/>
      <c r="K101" s="1871"/>
      <c r="L101" s="1872"/>
      <c r="M101" s="1872"/>
      <c r="N101" s="1895"/>
      <c r="O101" s="1896">
        <f>O102+O111+O113+O121+O126+O144+O146+O173+O175+O180</f>
        <v>21.152999999999999</v>
      </c>
      <c r="P101" s="1897"/>
      <c r="Q101" s="1910"/>
      <c r="R101" s="1911">
        <f>R102+R111+R113+R121+R126+R144+R146+R173+R175+R180</f>
        <v>0</v>
      </c>
      <c r="T101" s="3314"/>
    </row>
    <row r="102" spans="1:20" s="858" customFormat="1" x14ac:dyDescent="0.2">
      <c r="A102" s="1875">
        <f>'1.SD Facility Based Annex'!A7</f>
        <v>1</v>
      </c>
      <c r="B102" s="1875">
        <f>'1.SD Facility Based Annex'!B7</f>
        <v>0</v>
      </c>
      <c r="C102" s="1876" t="str">
        <f>'1.SD Facility Based Annex'!C7</f>
        <v>Service Delivery - Facility Based</v>
      </c>
      <c r="D102" s="1877"/>
      <c r="E102" s="1877"/>
      <c r="F102" s="1877"/>
      <c r="G102" s="1877"/>
      <c r="H102" s="1877"/>
      <c r="I102" s="1877"/>
      <c r="J102" s="1877"/>
      <c r="K102" s="1877"/>
      <c r="L102" s="969"/>
      <c r="M102" s="1877"/>
      <c r="N102" s="1877"/>
      <c r="O102" s="969">
        <f>SUM(O103:O110)</f>
        <v>0</v>
      </c>
      <c r="P102" s="1875"/>
      <c r="Q102" s="678"/>
      <c r="R102" s="132">
        <f>SUM(R103:R110)</f>
        <v>0</v>
      </c>
      <c r="T102" s="3316"/>
    </row>
    <row r="103" spans="1:20" s="828" customFormat="1" ht="173.25" customHeight="1" x14ac:dyDescent="0.2">
      <c r="A103" s="1878" t="str">
        <f>'1.SD Facility Based Annex'!A85</f>
        <v>1.3.1.1</v>
      </c>
      <c r="B103" s="1878" t="str">
        <f>'1.SD Facility Based Annex'!B85</f>
        <v>A.2.2.1</v>
      </c>
      <c r="C103" s="1879" t="str">
        <f>'1.SD Facility Based Annex'!C85</f>
        <v>Operating expenses for SNCU</v>
      </c>
      <c r="D103" s="1880" t="str">
        <f>'1.SD Facility Based Annex'!D85</f>
        <v>RCH</v>
      </c>
      <c r="E103" s="1880" t="str">
        <f>'1.SD Facility Based Annex'!E85</f>
        <v>CH</v>
      </c>
      <c r="F103" s="1880">
        <f>'1.SD Facility Based Annex'!F85</f>
        <v>0</v>
      </c>
      <c r="G103" s="1880">
        <f>'1.SD Facility Based Annex'!G85</f>
        <v>0</v>
      </c>
      <c r="H103" s="1880">
        <f>'1.SD Facility Based Annex'!H85</f>
        <v>0</v>
      </c>
      <c r="I103" s="1880">
        <f>'1.SD Facility Based Annex'!I85</f>
        <v>0</v>
      </c>
      <c r="J103" s="1880">
        <f>'1.SD Facility Based Annex'!J85</f>
        <v>0</v>
      </c>
      <c r="K103" s="1880">
        <f>'1.SD Facility Based Annex'!K85</f>
        <v>0</v>
      </c>
      <c r="L103" s="939">
        <f>'1.SD Facility Based Annex'!L85</f>
        <v>0</v>
      </c>
      <c r="M103" s="1880">
        <f>'1.SD Facility Based Annex'!M85</f>
        <v>0</v>
      </c>
      <c r="N103" s="1880">
        <f>'1.SD Facility Based Annex'!N85</f>
        <v>0</v>
      </c>
      <c r="O103" s="939">
        <f>'1.SD Facility Based Annex'!O85</f>
        <v>0</v>
      </c>
      <c r="P103" s="1878">
        <f>'1.SD Facility Based Annex'!P85</f>
        <v>0</v>
      </c>
      <c r="Q103" s="124"/>
      <c r="R103" s="1906"/>
      <c r="T103" s="3314"/>
    </row>
    <row r="104" spans="1:20" s="828" customFormat="1" ht="82.5" customHeight="1" x14ac:dyDescent="0.2">
      <c r="A104" s="1878" t="str">
        <f>'1.SD Facility Based Annex'!A86</f>
        <v>1.3.1.2</v>
      </c>
      <c r="B104" s="1878" t="str">
        <f>'1.SD Facility Based Annex'!B86</f>
        <v>A.2.2.2</v>
      </c>
      <c r="C104" s="1879" t="str">
        <f>'1.SD Facility Based Annex'!C86</f>
        <v>Operating expenses for NBSU</v>
      </c>
      <c r="D104" s="1880" t="str">
        <f>'1.SD Facility Based Annex'!D86</f>
        <v>RCH</v>
      </c>
      <c r="E104" s="1880" t="str">
        <f>'1.SD Facility Based Annex'!E86</f>
        <v>CH</v>
      </c>
      <c r="F104" s="1880">
        <f>'1.SD Facility Based Annex'!F86</f>
        <v>0</v>
      </c>
      <c r="G104" s="1880">
        <f>'1.SD Facility Based Annex'!G86</f>
        <v>0</v>
      </c>
      <c r="H104" s="1880">
        <f>'1.SD Facility Based Annex'!H86</f>
        <v>0</v>
      </c>
      <c r="I104" s="1880">
        <f>'1.SD Facility Based Annex'!I86</f>
        <v>0</v>
      </c>
      <c r="J104" s="1880">
        <f>'1.SD Facility Based Annex'!J86</f>
        <v>0</v>
      </c>
      <c r="K104" s="1880">
        <f>'1.SD Facility Based Annex'!K86</f>
        <v>0</v>
      </c>
      <c r="L104" s="939">
        <f>'1.SD Facility Based Annex'!L86</f>
        <v>0</v>
      </c>
      <c r="M104" s="1880">
        <f>'1.SD Facility Based Annex'!M86</f>
        <v>0</v>
      </c>
      <c r="N104" s="1880">
        <f>'1.SD Facility Based Annex'!N86</f>
        <v>0</v>
      </c>
      <c r="O104" s="939">
        <f>'1.SD Facility Based Annex'!O86</f>
        <v>0</v>
      </c>
      <c r="P104" s="1878">
        <f>'1.SD Facility Based Annex'!P86</f>
        <v>0</v>
      </c>
      <c r="Q104" s="124"/>
      <c r="R104" s="1906"/>
      <c r="T104" s="3314"/>
    </row>
    <row r="105" spans="1:20" s="828" customFormat="1" x14ac:dyDescent="0.2">
      <c r="A105" s="1878" t="str">
        <f>'1.SD Facility Based Annex'!A87</f>
        <v>1.3.1.3</v>
      </c>
      <c r="B105" s="1878" t="str">
        <f>'1.SD Facility Based Annex'!B87</f>
        <v>A.2.2.3</v>
      </c>
      <c r="C105" s="1879" t="str">
        <f>'1.SD Facility Based Annex'!C87</f>
        <v>Operating expenses for NBCC</v>
      </c>
      <c r="D105" s="1880" t="str">
        <f>'1.SD Facility Based Annex'!D87</f>
        <v>RCH</v>
      </c>
      <c r="E105" s="1880" t="str">
        <f>'1.SD Facility Based Annex'!E87</f>
        <v>CH</v>
      </c>
      <c r="F105" s="1880">
        <f>'1.SD Facility Based Annex'!F87</f>
        <v>0</v>
      </c>
      <c r="G105" s="1880">
        <f>'1.SD Facility Based Annex'!G87</f>
        <v>0</v>
      </c>
      <c r="H105" s="1880">
        <f>'1.SD Facility Based Annex'!H87</f>
        <v>0</v>
      </c>
      <c r="I105" s="1880">
        <f>'1.SD Facility Based Annex'!I87</f>
        <v>0</v>
      </c>
      <c r="J105" s="1880">
        <f>'1.SD Facility Based Annex'!J87</f>
        <v>0</v>
      </c>
      <c r="K105" s="1880">
        <f>'1.SD Facility Based Annex'!K87</f>
        <v>0</v>
      </c>
      <c r="L105" s="939">
        <f>'1.SD Facility Based Annex'!L87</f>
        <v>0</v>
      </c>
      <c r="M105" s="1880">
        <f>'1.SD Facility Based Annex'!M87</f>
        <v>0</v>
      </c>
      <c r="N105" s="1880">
        <f>'1.SD Facility Based Annex'!N87</f>
        <v>0</v>
      </c>
      <c r="O105" s="939">
        <f>'1.SD Facility Based Annex'!O87</f>
        <v>0</v>
      </c>
      <c r="P105" s="1878">
        <f>'1.SD Facility Based Annex'!P87</f>
        <v>0</v>
      </c>
      <c r="Q105" s="124"/>
      <c r="R105" s="1880">
        <v>0</v>
      </c>
    </row>
    <row r="106" spans="1:20" s="828" customFormat="1" x14ac:dyDescent="0.2">
      <c r="A106" s="1878" t="str">
        <f>'1.SD Facility Based Annex'!A88</f>
        <v>1.3.1.4</v>
      </c>
      <c r="B106" s="1878" t="str">
        <f>'1.SD Facility Based Annex'!B88</f>
        <v>A.2.5</v>
      </c>
      <c r="C106" s="1879" t="str">
        <f>'1.SD Facility Based Annex'!C88</f>
        <v>Operating expenses for NRCs</v>
      </c>
      <c r="D106" s="1880" t="str">
        <f>'1.SD Facility Based Annex'!D88</f>
        <v>RCH</v>
      </c>
      <c r="E106" s="1880" t="str">
        <f>'1.SD Facility Based Annex'!E88</f>
        <v>CH</v>
      </c>
      <c r="F106" s="1880">
        <f>'1.SD Facility Based Annex'!F88</f>
        <v>0</v>
      </c>
      <c r="G106" s="1880">
        <f>'1.SD Facility Based Annex'!G88</f>
        <v>0</v>
      </c>
      <c r="H106" s="1880">
        <f>'1.SD Facility Based Annex'!H88</f>
        <v>0</v>
      </c>
      <c r="I106" s="1880">
        <f>'1.SD Facility Based Annex'!I88</f>
        <v>0</v>
      </c>
      <c r="J106" s="1880">
        <f>'1.SD Facility Based Annex'!J88</f>
        <v>0</v>
      </c>
      <c r="K106" s="1880">
        <f>'1.SD Facility Based Annex'!K88</f>
        <v>0</v>
      </c>
      <c r="L106" s="939">
        <f>'1.SD Facility Based Annex'!L88</f>
        <v>0</v>
      </c>
      <c r="M106" s="1880">
        <f>'1.SD Facility Based Annex'!M88</f>
        <v>0</v>
      </c>
      <c r="N106" s="1880">
        <f>'1.SD Facility Based Annex'!N88</f>
        <v>0</v>
      </c>
      <c r="O106" s="939">
        <f>'1.SD Facility Based Annex'!O88</f>
        <v>0</v>
      </c>
      <c r="P106" s="1878">
        <f>'1.SD Facility Based Annex'!P88</f>
        <v>0</v>
      </c>
      <c r="Q106" s="124"/>
      <c r="R106" s="1906"/>
      <c r="T106" s="3314"/>
    </row>
    <row r="107" spans="1:20" s="828" customFormat="1" ht="30" x14ac:dyDescent="0.2">
      <c r="A107" s="1878" t="str">
        <f>'1.SD Facility Based Annex'!A89</f>
        <v>1.3.1.5</v>
      </c>
      <c r="B107" s="1878">
        <f>'1.SD Facility Based Annex'!B89</f>
        <v>0</v>
      </c>
      <c r="C107" s="1879" t="str">
        <f>'1.SD Facility Based Annex'!C89</f>
        <v>Operating expenses for Family participatory care (KMC)</v>
      </c>
      <c r="D107" s="1880" t="str">
        <f>'1.SD Facility Based Annex'!D89</f>
        <v>RCH</v>
      </c>
      <c r="E107" s="1880" t="str">
        <f>'1.SD Facility Based Annex'!E89</f>
        <v>CH</v>
      </c>
      <c r="F107" s="1880">
        <f>'1.SD Facility Based Annex'!F89</f>
        <v>0</v>
      </c>
      <c r="G107" s="1880">
        <f>'1.SD Facility Based Annex'!G89</f>
        <v>0</v>
      </c>
      <c r="H107" s="1880">
        <f>'1.SD Facility Based Annex'!H89</f>
        <v>0</v>
      </c>
      <c r="I107" s="1880">
        <f>'1.SD Facility Based Annex'!I89</f>
        <v>0</v>
      </c>
      <c r="J107" s="1880">
        <f>'1.SD Facility Based Annex'!J89</f>
        <v>0</v>
      </c>
      <c r="K107" s="1880">
        <f>'1.SD Facility Based Annex'!K89</f>
        <v>0</v>
      </c>
      <c r="L107" s="939">
        <f>'1.SD Facility Based Annex'!L89</f>
        <v>0</v>
      </c>
      <c r="M107" s="1880">
        <f>'1.SD Facility Based Annex'!M89</f>
        <v>0</v>
      </c>
      <c r="N107" s="1880">
        <f>'1.SD Facility Based Annex'!N89</f>
        <v>0</v>
      </c>
      <c r="O107" s="939">
        <f>'1.SD Facility Based Annex'!O89</f>
        <v>0</v>
      </c>
      <c r="P107" s="1878">
        <f>'1.SD Facility Based Annex'!P89</f>
        <v>0</v>
      </c>
      <c r="Q107" s="124"/>
      <c r="R107" s="1880"/>
    </row>
    <row r="108" spans="1:20" s="828" customFormat="1" ht="30" x14ac:dyDescent="0.2">
      <c r="A108" s="1878" t="str">
        <f>'1.SD Facility Based Annex'!A97</f>
        <v>1.3.1.13</v>
      </c>
      <c r="B108" s="1878">
        <f>'1.SD Facility Based Annex'!B97</f>
        <v>0</v>
      </c>
      <c r="C108" s="1879" t="str">
        <f>'1.SD Facility Based Annex'!C97</f>
        <v>Operating expenses for Mother new-born Care Unit</v>
      </c>
      <c r="D108" s="1880" t="str">
        <f>'1.SD Facility Based Annex'!D97</f>
        <v>RCH</v>
      </c>
      <c r="E108" s="1880" t="str">
        <f>'1.SD Facility Based Annex'!E97</f>
        <v>CH</v>
      </c>
      <c r="F108" s="1880">
        <f>'1.SD Facility Based Annex'!F97</f>
        <v>0</v>
      </c>
      <c r="G108" s="1880">
        <f>'1.SD Facility Based Annex'!G97</f>
        <v>0</v>
      </c>
      <c r="H108" s="1880">
        <f>'1.SD Facility Based Annex'!H97</f>
        <v>0</v>
      </c>
      <c r="I108" s="1880">
        <f>'1.SD Facility Based Annex'!I97</f>
        <v>0</v>
      </c>
      <c r="J108" s="1880">
        <f>'1.SD Facility Based Annex'!J97</f>
        <v>0</v>
      </c>
      <c r="K108" s="1880">
        <f>'1.SD Facility Based Annex'!K97</f>
        <v>0</v>
      </c>
      <c r="L108" s="939">
        <f>'1.SD Facility Based Annex'!L97</f>
        <v>0</v>
      </c>
      <c r="M108" s="1880">
        <f>'1.SD Facility Based Annex'!M97</f>
        <v>0</v>
      </c>
      <c r="N108" s="1880">
        <f>'1.SD Facility Based Annex'!N97</f>
        <v>0</v>
      </c>
      <c r="O108" s="939">
        <f>'1.SD Facility Based Annex'!O97</f>
        <v>0</v>
      </c>
      <c r="P108" s="1878">
        <f>'1.SD Facility Based Annex'!P97</f>
        <v>0</v>
      </c>
      <c r="Q108" s="124"/>
      <c r="R108" s="1880"/>
    </row>
    <row r="109" spans="1:20" s="828" customFormat="1" ht="30" x14ac:dyDescent="0.2">
      <c r="A109" s="1878" t="str">
        <f>'1.SD Facility Based Annex'!A98</f>
        <v>1.3.1.14</v>
      </c>
      <c r="B109" s="1878">
        <f>'1.SD Facility Based Annex'!B98</f>
        <v>0</v>
      </c>
      <c r="C109" s="1879" t="str">
        <f>'1.SD Facility Based Annex'!C98</f>
        <v>Operating expenses for State new-born resource centre</v>
      </c>
      <c r="D109" s="1880" t="str">
        <f>'1.SD Facility Based Annex'!D98</f>
        <v>RCH</v>
      </c>
      <c r="E109" s="1880" t="str">
        <f>'1.SD Facility Based Annex'!E98</f>
        <v>CH</v>
      </c>
      <c r="F109" s="1880">
        <f>'1.SD Facility Based Annex'!F98</f>
        <v>0</v>
      </c>
      <c r="G109" s="1880">
        <f>'1.SD Facility Based Annex'!G98</f>
        <v>0</v>
      </c>
      <c r="H109" s="1880">
        <f>'1.SD Facility Based Annex'!H98</f>
        <v>0</v>
      </c>
      <c r="I109" s="1880">
        <f>'1.SD Facility Based Annex'!I98</f>
        <v>0</v>
      </c>
      <c r="J109" s="1880">
        <f>'1.SD Facility Based Annex'!J98</f>
        <v>0</v>
      </c>
      <c r="K109" s="1880">
        <f>'1.SD Facility Based Annex'!K98</f>
        <v>0</v>
      </c>
      <c r="L109" s="939">
        <f>'1.SD Facility Based Annex'!L98</f>
        <v>0</v>
      </c>
      <c r="M109" s="1880">
        <f>'1.SD Facility Based Annex'!M98</f>
        <v>0</v>
      </c>
      <c r="N109" s="1880">
        <f>'1.SD Facility Based Annex'!N98</f>
        <v>0</v>
      </c>
      <c r="O109" s="939">
        <f>'1.SD Facility Based Annex'!O98</f>
        <v>0</v>
      </c>
      <c r="P109" s="1878">
        <f>'1.SD Facility Based Annex'!P98</f>
        <v>0</v>
      </c>
      <c r="Q109" s="124"/>
      <c r="R109" s="1906"/>
      <c r="T109" s="3314"/>
    </row>
    <row r="110" spans="1:20" s="828" customFormat="1" ht="30" x14ac:dyDescent="0.2">
      <c r="A110" s="1878" t="str">
        <f>'1.SD Facility Based Annex'!A99</f>
        <v>1.3.1.15</v>
      </c>
      <c r="B110" s="1878">
        <f>'1.SD Facility Based Annex'!B99</f>
        <v>0</v>
      </c>
      <c r="C110" s="1879" t="str">
        <f>'1.SD Facility Based Annex'!C99</f>
        <v>Operating cost for Paediatric HDU, Emergency, OPD and Ward</v>
      </c>
      <c r="D110" s="1880" t="str">
        <f>'1.SD Facility Based Annex'!D99</f>
        <v>RCH</v>
      </c>
      <c r="E110" s="1880" t="str">
        <f>'1.SD Facility Based Annex'!E99</f>
        <v>CH</v>
      </c>
      <c r="F110" s="1880">
        <f>'1.SD Facility Based Annex'!F99</f>
        <v>0</v>
      </c>
      <c r="G110" s="1880">
        <f>'1.SD Facility Based Annex'!G99</f>
        <v>0</v>
      </c>
      <c r="H110" s="1880">
        <f>'1.SD Facility Based Annex'!H99</f>
        <v>0</v>
      </c>
      <c r="I110" s="1880">
        <f>'1.SD Facility Based Annex'!I99</f>
        <v>0</v>
      </c>
      <c r="J110" s="1880">
        <f>'1.SD Facility Based Annex'!J99</f>
        <v>0</v>
      </c>
      <c r="K110" s="1880">
        <f>'1.SD Facility Based Annex'!K99</f>
        <v>0</v>
      </c>
      <c r="L110" s="939">
        <f>'1.SD Facility Based Annex'!L99</f>
        <v>0</v>
      </c>
      <c r="M110" s="1880">
        <f>'1.SD Facility Based Annex'!M99</f>
        <v>0</v>
      </c>
      <c r="N110" s="1880">
        <f>'1.SD Facility Based Annex'!N99</f>
        <v>0</v>
      </c>
      <c r="O110" s="939">
        <f>'1.SD Facility Based Annex'!O99</f>
        <v>0</v>
      </c>
      <c r="P110" s="1878">
        <f>'1.SD Facility Based Annex'!P99</f>
        <v>0</v>
      </c>
      <c r="Q110" s="124"/>
      <c r="R110" s="1906"/>
      <c r="T110" s="3314"/>
    </row>
    <row r="111" spans="1:20" s="828" customFormat="1" x14ac:dyDescent="0.2">
      <c r="A111" s="1875">
        <f>'2.SD Community Based Annex'!A7</f>
        <v>2</v>
      </c>
      <c r="B111" s="1875">
        <f>'2.SD Community Based Annex'!B7</f>
        <v>0</v>
      </c>
      <c r="C111" s="1876" t="str">
        <f>'2.SD Community Based Annex'!C7</f>
        <v>Service Delivery - Community Based</v>
      </c>
      <c r="D111" s="1877"/>
      <c r="E111" s="1877"/>
      <c r="F111" s="1877"/>
      <c r="G111" s="1877"/>
      <c r="H111" s="1877"/>
      <c r="I111" s="1877"/>
      <c r="J111" s="1877"/>
      <c r="K111" s="1877"/>
      <c r="L111" s="969"/>
      <c r="M111" s="1877"/>
      <c r="N111" s="1877"/>
      <c r="O111" s="969">
        <f>O112</f>
        <v>0</v>
      </c>
      <c r="P111" s="1875"/>
      <c r="Q111" s="678"/>
      <c r="R111" s="132">
        <f>R112</f>
        <v>0</v>
      </c>
      <c r="T111" s="3314"/>
    </row>
    <row r="112" spans="1:20" s="828" customFormat="1" ht="60" x14ac:dyDescent="0.2">
      <c r="A112" s="1878" t="str">
        <f>'2.SD Community Based Annex'!A56</f>
        <v>2.3.3.1</v>
      </c>
      <c r="B112" s="1878" t="str">
        <f>'2.SD Community Based Annex'!B56</f>
        <v>A.2.10.1</v>
      </c>
      <c r="C112" s="1879" t="str">
        <f>'2.SD Community Based Annex'!C56</f>
        <v>One time Screening to Identify the carriers of Sickle cell trait, β Thalassemia, Haemoglobin variants at school especially class 8 students and in newborns</v>
      </c>
      <c r="D112" s="1880" t="str">
        <f>'2.SD Community Based Annex'!D56</f>
        <v>RCH</v>
      </c>
      <c r="E112" s="1880" t="str">
        <f>'2.SD Community Based Annex'!E56</f>
        <v>CH</v>
      </c>
      <c r="F112" s="1880">
        <f>'2.SD Community Based Annex'!F56</f>
        <v>0</v>
      </c>
      <c r="G112" s="1880">
        <f>'2.SD Community Based Annex'!G56</f>
        <v>0</v>
      </c>
      <c r="H112" s="1880">
        <f>'2.SD Community Based Annex'!H56</f>
        <v>0</v>
      </c>
      <c r="I112" s="1880">
        <f>'2.SD Community Based Annex'!I56</f>
        <v>0</v>
      </c>
      <c r="J112" s="1880">
        <f>'2.SD Community Based Annex'!J56</f>
        <v>0</v>
      </c>
      <c r="K112" s="1880">
        <f>'2.SD Community Based Annex'!K56</f>
        <v>0</v>
      </c>
      <c r="L112" s="939">
        <f>'2.SD Community Based Annex'!L56</f>
        <v>0</v>
      </c>
      <c r="M112" s="1880">
        <f>'2.SD Community Based Annex'!M56</f>
        <v>0</v>
      </c>
      <c r="N112" s="1880">
        <f>'2.SD Community Based Annex'!N56</f>
        <v>0</v>
      </c>
      <c r="O112" s="939">
        <f>'2.SD Community Based Annex'!O56</f>
        <v>0</v>
      </c>
      <c r="P112" s="1878">
        <f>'2.SD Community Based Annex'!P56</f>
        <v>0</v>
      </c>
      <c r="Q112" s="3323"/>
      <c r="R112" s="1906"/>
      <c r="T112" s="3314"/>
    </row>
    <row r="113" spans="1:20" s="828" customFormat="1" x14ac:dyDescent="0.2">
      <c r="A113" s="1875">
        <f>'3.Community Intervention Annexn'!A7</f>
        <v>3</v>
      </c>
      <c r="B113" s="1875"/>
      <c r="C113" s="1876" t="str">
        <f>'3.Community Intervention Annexn'!C7</f>
        <v>Community Interventions</v>
      </c>
      <c r="D113" s="1877"/>
      <c r="E113" s="1877"/>
      <c r="F113" s="1877"/>
      <c r="G113" s="1877"/>
      <c r="H113" s="969"/>
      <c r="I113" s="1877"/>
      <c r="J113" s="969"/>
      <c r="K113" s="1877"/>
      <c r="L113" s="969"/>
      <c r="M113" s="969"/>
      <c r="N113" s="1886"/>
      <c r="O113" s="1887">
        <f>SUM(O114:O120)</f>
        <v>0</v>
      </c>
      <c r="P113" s="1888"/>
      <c r="Q113" s="1908"/>
      <c r="R113" s="1909">
        <f>SUM(R114:R120)</f>
        <v>0</v>
      </c>
      <c r="T113" s="3314"/>
    </row>
    <row r="114" spans="1:20" s="828" customFormat="1" ht="65.25" customHeight="1" x14ac:dyDescent="0.2">
      <c r="A114" s="4047" t="str">
        <f>'3.Community Intervention Annexn'!A12</f>
        <v>3.1.1.1.2</v>
      </c>
      <c r="B114" s="1878" t="str">
        <f>'3-A. CI Sub-Annex'!C13</f>
        <v>B1.1.3.2.6</v>
      </c>
      <c r="C114" s="1879" t="str">
        <f>'3-A. CI Sub-Annex'!D13</f>
        <v xml:space="preserve">ASHA incentive under MAA programme @ Rs 100 per ASHA for quarterly mother's meeting </v>
      </c>
      <c r="D114" s="1880" t="str">
        <f>'3-A. CI Sub-Annex'!E13</f>
        <v>RCH</v>
      </c>
      <c r="E114" s="1880" t="str">
        <f>'3-A. CI Sub-Annex'!F13</f>
        <v>CH/NHSRC-CP</v>
      </c>
      <c r="F114" s="1880">
        <f>'3-A. CI Sub-Annex'!G13</f>
        <v>0</v>
      </c>
      <c r="G114" s="1880">
        <f>'3-A. CI Sub-Annex'!H13</f>
        <v>0</v>
      </c>
      <c r="H114" s="1880">
        <f>'3-A. CI Sub-Annex'!I13</f>
        <v>0</v>
      </c>
      <c r="I114" s="1880">
        <f>'3-A. CI Sub-Annex'!J13</f>
        <v>0</v>
      </c>
      <c r="J114" s="1880">
        <f>'3-A. CI Sub-Annex'!K13</f>
        <v>0</v>
      </c>
      <c r="K114" s="1880">
        <f>'3-A. CI Sub-Annex'!L13</f>
        <v>0</v>
      </c>
      <c r="L114" s="939">
        <f>'3-A. CI Sub-Annex'!M13</f>
        <v>0</v>
      </c>
      <c r="M114" s="1880">
        <f>'3-A. CI Sub-Annex'!N13</f>
        <v>0</v>
      </c>
      <c r="N114" s="1880">
        <f>'3-A. CI Sub-Annex'!O13</f>
        <v>0</v>
      </c>
      <c r="O114" s="939">
        <f>'3-A. CI Sub-Annex'!P13</f>
        <v>0</v>
      </c>
      <c r="P114" s="1878">
        <f>'3-A. CI Sub-Annex'!Q13</f>
        <v>0</v>
      </c>
      <c r="Q114" s="3293"/>
      <c r="R114" s="1906"/>
      <c r="T114" s="3314"/>
    </row>
    <row r="115" spans="1:20" s="828" customFormat="1" ht="63" customHeight="1" x14ac:dyDescent="0.2">
      <c r="A115" s="4047"/>
      <c r="B115" s="1878" t="str">
        <f>'3-A. CI Sub-Annex'!C14</f>
        <v>B1.1.3.2.1</v>
      </c>
      <c r="C115" s="1879" t="str">
        <f>'3-A. CI Sub-Annex'!D14</f>
        <v>Incentive for Home Based New-born Care programme</v>
      </c>
      <c r="D115" s="1880" t="str">
        <f>'3-A. CI Sub-Annex'!E14</f>
        <v>RCH</v>
      </c>
      <c r="E115" s="1880" t="str">
        <f>'3-A. CI Sub-Annex'!F14</f>
        <v>CH/NHSRC-CP</v>
      </c>
      <c r="F115" s="1880">
        <f>'3-A. CI Sub-Annex'!G14</f>
        <v>0</v>
      </c>
      <c r="G115" s="1880">
        <f>'3-A. CI Sub-Annex'!H14</f>
        <v>0</v>
      </c>
      <c r="H115" s="1880">
        <f>'3-A. CI Sub-Annex'!I14</f>
        <v>0</v>
      </c>
      <c r="I115" s="1880">
        <f>'3-A. CI Sub-Annex'!J14</f>
        <v>0</v>
      </c>
      <c r="J115" s="1880">
        <f>'3-A. CI Sub-Annex'!K14</f>
        <v>0</v>
      </c>
      <c r="K115" s="1880">
        <f>'3-A. CI Sub-Annex'!L14</f>
        <v>0</v>
      </c>
      <c r="L115" s="939">
        <f>'3-A. CI Sub-Annex'!M14</f>
        <v>0</v>
      </c>
      <c r="M115" s="1880">
        <f>'3-A. CI Sub-Annex'!N14</f>
        <v>0</v>
      </c>
      <c r="N115" s="1880">
        <f>'3-A. CI Sub-Annex'!O14</f>
        <v>0</v>
      </c>
      <c r="O115" s="939">
        <f>'3-A. CI Sub-Annex'!P14</f>
        <v>0</v>
      </c>
      <c r="P115" s="1878">
        <f>'3-A. CI Sub-Annex'!Q14</f>
        <v>0</v>
      </c>
      <c r="Q115" s="3325"/>
      <c r="R115" s="3326"/>
      <c r="T115" s="3314"/>
    </row>
    <row r="116" spans="1:20" s="828" customFormat="1" ht="45" x14ac:dyDescent="0.2">
      <c r="A116" s="4047"/>
      <c r="B116" s="1878" t="str">
        <f>'3-A. CI Sub-Annex'!C15</f>
        <v>B1.1.3.2.2</v>
      </c>
      <c r="C116" s="1879" t="str">
        <f>'3-A. CI Sub-Annex'!D15</f>
        <v>Incentive to ASHA for follow up of SNCU discharge babies and for follow up of LBW babies</v>
      </c>
      <c r="D116" s="1880" t="str">
        <f>'3-A. CI Sub-Annex'!E15</f>
        <v>RCH</v>
      </c>
      <c r="E116" s="1880" t="str">
        <f>'3-A. CI Sub-Annex'!F15</f>
        <v>CH/NHSRC-CP</v>
      </c>
      <c r="F116" s="1880">
        <f>'3-A. CI Sub-Annex'!G15</f>
        <v>0</v>
      </c>
      <c r="G116" s="1880">
        <f>'3-A. CI Sub-Annex'!H15</f>
        <v>0</v>
      </c>
      <c r="H116" s="1880">
        <f>'3-A. CI Sub-Annex'!I15</f>
        <v>0</v>
      </c>
      <c r="I116" s="1880">
        <f>'3-A. CI Sub-Annex'!J15</f>
        <v>0</v>
      </c>
      <c r="J116" s="1880">
        <f>'3-A. CI Sub-Annex'!K15</f>
        <v>0</v>
      </c>
      <c r="K116" s="1880">
        <f>'3-A. CI Sub-Annex'!L15</f>
        <v>0</v>
      </c>
      <c r="L116" s="939">
        <f>'3-A. CI Sub-Annex'!M15</f>
        <v>0</v>
      </c>
      <c r="M116" s="1880">
        <f>'3-A. CI Sub-Annex'!N15</f>
        <v>0</v>
      </c>
      <c r="N116" s="1880">
        <f>'3-A. CI Sub-Annex'!O15</f>
        <v>0</v>
      </c>
      <c r="O116" s="939">
        <f>'3-A. CI Sub-Annex'!P15</f>
        <v>0</v>
      </c>
      <c r="P116" s="1878">
        <f>'3-A. CI Sub-Annex'!Q15</f>
        <v>0</v>
      </c>
      <c r="Q116" s="124"/>
      <c r="R116" s="1880"/>
    </row>
    <row r="117" spans="1:20" s="828" customFormat="1" ht="45" x14ac:dyDescent="0.2">
      <c r="A117" s="4047"/>
      <c r="B117" s="1878" t="str">
        <f>'3-A. CI Sub-Annex'!C16</f>
        <v>B1.1.3.2.4</v>
      </c>
      <c r="C117" s="1879" t="str">
        <f>'3-A. CI Sub-Annex'!D16</f>
        <v>Incentive for referral of SAM cases to NRC and for follow up of discharge SAM children from NRCs</v>
      </c>
      <c r="D117" s="1880" t="str">
        <f>'3-A. CI Sub-Annex'!E16</f>
        <v>RCH</v>
      </c>
      <c r="E117" s="1880" t="str">
        <f>'3-A. CI Sub-Annex'!F16</f>
        <v>CH/NHSRC-CP</v>
      </c>
      <c r="F117" s="1880">
        <f>'3-A. CI Sub-Annex'!G16</f>
        <v>0</v>
      </c>
      <c r="G117" s="1880">
        <f>'3-A. CI Sub-Annex'!H16</f>
        <v>0</v>
      </c>
      <c r="H117" s="1880">
        <f>'3-A. CI Sub-Annex'!I16</f>
        <v>0</v>
      </c>
      <c r="I117" s="1880">
        <f>'3-A. CI Sub-Annex'!J16</f>
        <v>0</v>
      </c>
      <c r="J117" s="1880">
        <f>'3-A. CI Sub-Annex'!K16</f>
        <v>0</v>
      </c>
      <c r="K117" s="1880">
        <f>'3-A. CI Sub-Annex'!L16</f>
        <v>0</v>
      </c>
      <c r="L117" s="939">
        <f>'3-A. CI Sub-Annex'!M16</f>
        <v>0</v>
      </c>
      <c r="M117" s="1880">
        <f>'3-A. CI Sub-Annex'!N16</f>
        <v>0</v>
      </c>
      <c r="N117" s="1880">
        <f>'3-A. CI Sub-Annex'!O16</f>
        <v>0</v>
      </c>
      <c r="O117" s="939">
        <f>'3-A. CI Sub-Annex'!P16</f>
        <v>0</v>
      </c>
      <c r="P117" s="1878">
        <f>'3-A. CI Sub-Annex'!Q16</f>
        <v>0</v>
      </c>
      <c r="Q117" s="124"/>
      <c r="R117" s="1880"/>
    </row>
    <row r="118" spans="1:20" s="828" customFormat="1" ht="53.25" customHeight="1" x14ac:dyDescent="0.2">
      <c r="A118" s="4047"/>
      <c r="B118" s="1878" t="str">
        <f>'3-A. CI Sub-Annex'!C17</f>
        <v>B1.1.3.2.7</v>
      </c>
      <c r="C118" s="1879" t="str">
        <f>'3-A. CI Sub-Annex'!D17</f>
        <v>Incentive for National Deworming Day  for mobilising out of school children</v>
      </c>
      <c r="D118" s="1880" t="str">
        <f>'3-A. CI Sub-Annex'!E17</f>
        <v>RCH</v>
      </c>
      <c r="E118" s="1880" t="str">
        <f>'3-A. CI Sub-Annex'!F17</f>
        <v>CH/NHSRC-CP</v>
      </c>
      <c r="F118" s="1880">
        <f>'3-A. CI Sub-Annex'!G17</f>
        <v>0</v>
      </c>
      <c r="G118" s="1880">
        <f>'3-A. CI Sub-Annex'!H17</f>
        <v>0</v>
      </c>
      <c r="H118" s="1880">
        <f>'3-A. CI Sub-Annex'!I17</f>
        <v>0</v>
      </c>
      <c r="I118" s="1880">
        <f>'3-A. CI Sub-Annex'!J17</f>
        <v>0</v>
      </c>
      <c r="J118" s="1880">
        <f>'3-A. CI Sub-Annex'!K17</f>
        <v>0</v>
      </c>
      <c r="K118" s="1880">
        <f>'3-A. CI Sub-Annex'!L17</f>
        <v>0</v>
      </c>
      <c r="L118" s="939">
        <f>'3-A. CI Sub-Annex'!M17</f>
        <v>0</v>
      </c>
      <c r="M118" s="1880">
        <f>'3-A. CI Sub-Annex'!N17</f>
        <v>0</v>
      </c>
      <c r="N118" s="1880">
        <f>'3-A. CI Sub-Annex'!O17</f>
        <v>0</v>
      </c>
      <c r="O118" s="939">
        <f>'3-A. CI Sub-Annex'!P17</f>
        <v>0</v>
      </c>
      <c r="P118" s="1878">
        <f>'3-A. CI Sub-Annex'!Q17</f>
        <v>0</v>
      </c>
      <c r="Q118" s="124"/>
      <c r="R118" s="3297"/>
      <c r="T118" s="3315"/>
    </row>
    <row r="119" spans="1:20" s="828" customFormat="1" ht="112.5" customHeight="1" x14ac:dyDescent="0.2">
      <c r="A119" s="4047"/>
      <c r="B119" s="1878" t="str">
        <f>'3-A. CI Sub-Annex'!C18</f>
        <v>B1.1.3.2.8</v>
      </c>
      <c r="C119" s="1879" t="str">
        <f>'3-A. CI Sub-Annex'!D18</f>
        <v xml:space="preserve">Incentive for IDCF for prophylactic distribution of ORS  to family with under-five children. </v>
      </c>
      <c r="D119" s="1880" t="str">
        <f>'3-A. CI Sub-Annex'!E18</f>
        <v>RCH</v>
      </c>
      <c r="E119" s="1880" t="str">
        <f>'3-A. CI Sub-Annex'!F18</f>
        <v>CH/NHSRC-CP</v>
      </c>
      <c r="F119" s="1880">
        <f>'3-A. CI Sub-Annex'!G18</f>
        <v>0</v>
      </c>
      <c r="G119" s="1880">
        <f>'3-A. CI Sub-Annex'!H18</f>
        <v>0</v>
      </c>
      <c r="H119" s="1880">
        <f>'3-A. CI Sub-Annex'!I18</f>
        <v>0</v>
      </c>
      <c r="I119" s="1880">
        <f>'3-A. CI Sub-Annex'!J18</f>
        <v>0</v>
      </c>
      <c r="J119" s="1880">
        <f>'3-A. CI Sub-Annex'!K18</f>
        <v>0</v>
      </c>
      <c r="K119" s="1880">
        <f>'3-A. CI Sub-Annex'!L18</f>
        <v>0</v>
      </c>
      <c r="L119" s="939">
        <f>'3-A. CI Sub-Annex'!M18</f>
        <v>0</v>
      </c>
      <c r="M119" s="1880">
        <f>'3-A. CI Sub-Annex'!N18</f>
        <v>0</v>
      </c>
      <c r="N119" s="1880">
        <f>'3-A. CI Sub-Annex'!O18</f>
        <v>0</v>
      </c>
      <c r="O119" s="939">
        <f>'3-A. CI Sub-Annex'!P18</f>
        <v>0</v>
      </c>
      <c r="P119" s="1878">
        <f>'3-A. CI Sub-Annex'!Q18</f>
        <v>0</v>
      </c>
      <c r="Q119" s="124"/>
      <c r="R119" s="1906"/>
      <c r="T119" s="3314"/>
    </row>
    <row r="120" spans="1:20" s="828" customFormat="1" ht="119.25" customHeight="1" x14ac:dyDescent="0.2">
      <c r="A120" s="4047"/>
      <c r="B120" s="1878">
        <f>'3-A. CI Sub-Annex'!C19</f>
        <v>0</v>
      </c>
      <c r="C120" s="1879" t="str">
        <f>'3-A. CI Sub-Annex'!D19</f>
        <v xml:space="preserve">Incentive to ASHA for quarterly visits under HBYC </v>
      </c>
      <c r="D120" s="1880" t="str">
        <f>'3-A. CI Sub-Annex'!E19</f>
        <v>RCH</v>
      </c>
      <c r="E120" s="1880" t="str">
        <f>'3-A. CI Sub-Annex'!F19</f>
        <v>CH/NHSRC-CP</v>
      </c>
      <c r="F120" s="1880">
        <f>'3-A. CI Sub-Annex'!G19</f>
        <v>0</v>
      </c>
      <c r="G120" s="1880">
        <f>'3-A. CI Sub-Annex'!H19</f>
        <v>0</v>
      </c>
      <c r="H120" s="1880">
        <f>'3-A. CI Sub-Annex'!I19</f>
        <v>0</v>
      </c>
      <c r="I120" s="1880">
        <f>'3-A. CI Sub-Annex'!J19</f>
        <v>0</v>
      </c>
      <c r="J120" s="1880">
        <f>'3-A. CI Sub-Annex'!K19</f>
        <v>0</v>
      </c>
      <c r="K120" s="1880">
        <f>'3-A. CI Sub-Annex'!L19</f>
        <v>0</v>
      </c>
      <c r="L120" s="939">
        <f>'3-A. CI Sub-Annex'!M19</f>
        <v>0</v>
      </c>
      <c r="M120" s="1880">
        <f>'3-A. CI Sub-Annex'!N19</f>
        <v>0</v>
      </c>
      <c r="N120" s="1880">
        <f>'3-A. CI Sub-Annex'!O19</f>
        <v>0</v>
      </c>
      <c r="O120" s="939">
        <f>'3-A. CI Sub-Annex'!P19</f>
        <v>0</v>
      </c>
      <c r="P120" s="1878">
        <f>'3-A. CI Sub-Annex'!Q19</f>
        <v>0</v>
      </c>
      <c r="R120" s="1906"/>
      <c r="T120" s="3314"/>
    </row>
    <row r="121" spans="1:20" s="828" customFormat="1" x14ac:dyDescent="0.2">
      <c r="A121" s="1875">
        <f>'5.Infrastructure Annex'!A7</f>
        <v>5</v>
      </c>
      <c r="B121" s="1875"/>
      <c r="C121" s="1876" t="str">
        <f>'5.Infrastructure Annex'!C7</f>
        <v>Infrastructure</v>
      </c>
      <c r="D121" s="1877"/>
      <c r="E121" s="1877"/>
      <c r="F121" s="1877"/>
      <c r="G121" s="1877"/>
      <c r="H121" s="969"/>
      <c r="I121" s="1877"/>
      <c r="J121" s="969"/>
      <c r="K121" s="1877"/>
      <c r="L121" s="969"/>
      <c r="M121" s="969"/>
      <c r="N121" s="1886"/>
      <c r="O121" s="1887">
        <f>SUM(O122:O125)</f>
        <v>0</v>
      </c>
      <c r="P121" s="1888"/>
      <c r="Q121" s="1908"/>
      <c r="R121" s="1909">
        <f>SUM(R122:R125)</f>
        <v>0</v>
      </c>
      <c r="T121" s="3314"/>
    </row>
    <row r="122" spans="1:20" s="828" customFormat="1" ht="79.5" customHeight="1" x14ac:dyDescent="0.2">
      <c r="A122" s="1878" t="str">
        <f>'5.Infrastructure Annex'!A43</f>
        <v>5.1.1.3.7</v>
      </c>
      <c r="B122" s="1878">
        <f>'5.Infrastructure Annex'!B43</f>
        <v>0</v>
      </c>
      <c r="C122" s="1878" t="str">
        <f>'5.Infrastructure Annex'!C43</f>
        <v>Spill over of Ongoing Upgradation-Facility based new-born care centres (SNCU/NBSU/NBCC/KMC unit)/MNCU &amp; State resource centre/CLMC units/Paediatric HDUs</v>
      </c>
      <c r="D122" s="1880" t="str">
        <f>'5.Infrastructure Annex'!D43</f>
        <v>HSS</v>
      </c>
      <c r="E122" s="1880" t="str">
        <f>'5.Infrastructure Annex'!E43</f>
        <v>HSS/ CH</v>
      </c>
      <c r="F122" s="1880">
        <f>'5.Infrastructure Annex'!F43</f>
        <v>0</v>
      </c>
      <c r="G122" s="1880">
        <f>'5.Infrastructure Annex'!G43</f>
        <v>0</v>
      </c>
      <c r="H122" s="1880">
        <f>'5.Infrastructure Annex'!H43</f>
        <v>0</v>
      </c>
      <c r="I122" s="1880">
        <f>'5.Infrastructure Annex'!I43</f>
        <v>0</v>
      </c>
      <c r="J122" s="1880">
        <f>'5.Infrastructure Annex'!J43</f>
        <v>0</v>
      </c>
      <c r="K122" s="1880">
        <f>'5.Infrastructure Annex'!K43</f>
        <v>0</v>
      </c>
      <c r="L122" s="939">
        <f>'5.Infrastructure Annex'!L43</f>
        <v>0</v>
      </c>
      <c r="M122" s="1880">
        <f>'5.Infrastructure Annex'!M43</f>
        <v>0</v>
      </c>
      <c r="N122" s="1880">
        <f>'5.Infrastructure Annex'!N43</f>
        <v>0</v>
      </c>
      <c r="O122" s="939">
        <f>'5.Infrastructure Annex'!O43</f>
        <v>0</v>
      </c>
      <c r="P122" s="1878">
        <f>'5.Infrastructure Annex'!P43</f>
        <v>0</v>
      </c>
      <c r="Q122" s="124"/>
      <c r="R122" s="1906"/>
      <c r="T122" s="3314"/>
    </row>
    <row r="123" spans="1:20" s="828" customFormat="1" ht="228" customHeight="1" x14ac:dyDescent="0.2">
      <c r="A123" s="1878" t="str">
        <f>'5.Infrastructure Annex'!A63</f>
        <v>5.2.1.7</v>
      </c>
      <c r="B123" s="1878" t="str">
        <f>'5.Infrastructure Annex'!B63</f>
        <v>B.5.6.1</v>
      </c>
      <c r="C123" s="1878" t="str">
        <f>'5.Infrastructure Annex'!C63</f>
        <v>New construction: Facility based new-born care centres (SNCU/NBSU/NBCC/KMC unit)</v>
      </c>
      <c r="D123" s="1880" t="str">
        <f>'5.Infrastructure Annex'!D63</f>
        <v>HSS</v>
      </c>
      <c r="E123" s="1880" t="str">
        <f>'5.Infrastructure Annex'!E63</f>
        <v>HSS/ CH</v>
      </c>
      <c r="F123" s="1880">
        <f>'5.Infrastructure Annex'!F63</f>
        <v>0</v>
      </c>
      <c r="G123" s="1880">
        <f>'5.Infrastructure Annex'!G63</f>
        <v>0</v>
      </c>
      <c r="H123" s="1880">
        <f>'5.Infrastructure Annex'!H63</f>
        <v>0</v>
      </c>
      <c r="I123" s="1880">
        <f>'5.Infrastructure Annex'!I63</f>
        <v>0</v>
      </c>
      <c r="J123" s="1880">
        <f>'5.Infrastructure Annex'!J63</f>
        <v>0</v>
      </c>
      <c r="K123" s="1880">
        <f>'5.Infrastructure Annex'!K63</f>
        <v>0</v>
      </c>
      <c r="L123" s="939">
        <f>'5.Infrastructure Annex'!L63</f>
        <v>0</v>
      </c>
      <c r="M123" s="1880">
        <f>'5.Infrastructure Annex'!M63</f>
        <v>0</v>
      </c>
      <c r="N123" s="1880">
        <f>'5.Infrastructure Annex'!N63</f>
        <v>0</v>
      </c>
      <c r="O123" s="939">
        <f>'5.Infrastructure Annex'!O63</f>
        <v>0</v>
      </c>
      <c r="P123" s="1878">
        <f>'5.Infrastructure Annex'!P63</f>
        <v>0</v>
      </c>
      <c r="Q123" s="3312"/>
      <c r="R123" s="3327"/>
      <c r="T123" s="3314"/>
    </row>
    <row r="124" spans="1:20" s="828" customFormat="1" x14ac:dyDescent="0.2">
      <c r="A124" s="1878" t="str">
        <f>'5.Infrastructure Annex'!A66</f>
        <v>5.2.1.10</v>
      </c>
      <c r="B124" s="1878" t="str">
        <f>'5.Infrastructure Annex'!B66</f>
        <v>A.2.5</v>
      </c>
      <c r="C124" s="1878" t="str">
        <f>'5.Infrastructure Annex'!C66</f>
        <v>Establishment of NRCs</v>
      </c>
      <c r="D124" s="1880" t="str">
        <f>'5.Infrastructure Annex'!D66</f>
        <v>RCH</v>
      </c>
      <c r="E124" s="1880" t="str">
        <f>'5.Infrastructure Annex'!E66</f>
        <v>CH</v>
      </c>
      <c r="F124" s="1880">
        <f>'5.Infrastructure Annex'!F66</f>
        <v>0</v>
      </c>
      <c r="G124" s="1880">
        <f>'5.Infrastructure Annex'!G66</f>
        <v>0</v>
      </c>
      <c r="H124" s="1880">
        <f>'5.Infrastructure Annex'!H66</f>
        <v>0</v>
      </c>
      <c r="I124" s="1880">
        <f>'5.Infrastructure Annex'!I66</f>
        <v>0</v>
      </c>
      <c r="J124" s="1880">
        <f>'5.Infrastructure Annex'!J66</f>
        <v>0</v>
      </c>
      <c r="K124" s="1880">
        <f>'5.Infrastructure Annex'!K66</f>
        <v>0</v>
      </c>
      <c r="L124" s="939">
        <f>'5.Infrastructure Annex'!L66</f>
        <v>0</v>
      </c>
      <c r="M124" s="1880">
        <f>'5.Infrastructure Annex'!M66</f>
        <v>0</v>
      </c>
      <c r="N124" s="1880">
        <f>'5.Infrastructure Annex'!N66</f>
        <v>0</v>
      </c>
      <c r="O124" s="939">
        <f>'5.Infrastructure Annex'!O66</f>
        <v>0</v>
      </c>
      <c r="P124" s="1878">
        <f>'5.Infrastructure Annex'!P66</f>
        <v>0</v>
      </c>
      <c r="Q124" s="124"/>
      <c r="R124" s="1880">
        <v>0</v>
      </c>
    </row>
    <row r="125" spans="1:20" s="828" customFormat="1" ht="60" x14ac:dyDescent="0.2">
      <c r="A125" s="1878" t="str">
        <f>'5.Infrastructure Annex'!A77</f>
        <v>5.2.2.6</v>
      </c>
      <c r="B125" s="1878" t="str">
        <f>'5.Infrastructure Annex'!B77</f>
        <v>B.5.6.2</v>
      </c>
      <c r="C125" s="1878" t="str">
        <f>'5.Infrastructure Annex'!C77</f>
        <v>Carry forward: Facility based new-born care centres (SNCU/NBSU/NBCC/KMC unit/ Mother New-born Care Unit/ State Resource Centre/Paediatric HDU</v>
      </c>
      <c r="D125" s="1880" t="str">
        <f>'5.Infrastructure Annex'!D77</f>
        <v>HSS</v>
      </c>
      <c r="E125" s="1880" t="str">
        <f>'5.Infrastructure Annex'!E77</f>
        <v>HSS/ CH</v>
      </c>
      <c r="F125" s="1880">
        <f>'5.Infrastructure Annex'!F77</f>
        <v>0</v>
      </c>
      <c r="G125" s="1880">
        <f>'5.Infrastructure Annex'!G77</f>
        <v>0</v>
      </c>
      <c r="H125" s="1880">
        <f>'5.Infrastructure Annex'!H77</f>
        <v>0</v>
      </c>
      <c r="I125" s="1880">
        <f>'5.Infrastructure Annex'!I77</f>
        <v>0</v>
      </c>
      <c r="J125" s="1880">
        <f>'5.Infrastructure Annex'!J77</f>
        <v>0</v>
      </c>
      <c r="K125" s="1880">
        <f>'5.Infrastructure Annex'!K77</f>
        <v>0</v>
      </c>
      <c r="L125" s="939">
        <f>'5.Infrastructure Annex'!L77</f>
        <v>0</v>
      </c>
      <c r="M125" s="1880">
        <f>'5.Infrastructure Annex'!M77</f>
        <v>0</v>
      </c>
      <c r="N125" s="1880">
        <f>'5.Infrastructure Annex'!N77</f>
        <v>0</v>
      </c>
      <c r="O125" s="939">
        <f>'5.Infrastructure Annex'!O77</f>
        <v>0</v>
      </c>
      <c r="P125" s="1878">
        <f>'5.Infrastructure Annex'!P77</f>
        <v>0</v>
      </c>
      <c r="Q125" s="93"/>
      <c r="R125" s="1907">
        <v>0</v>
      </c>
      <c r="T125" s="3314"/>
    </row>
    <row r="126" spans="1:20" s="828" customFormat="1" x14ac:dyDescent="0.2">
      <c r="A126" s="1875">
        <f>'6.Procurement Annex'!A7</f>
        <v>6</v>
      </c>
      <c r="B126" s="1875"/>
      <c r="C126" s="1876" t="str">
        <f>'6.Procurement Annex'!C7</f>
        <v>Procurement</v>
      </c>
      <c r="D126" s="1877"/>
      <c r="E126" s="1877"/>
      <c r="F126" s="1877"/>
      <c r="G126" s="1877"/>
      <c r="H126" s="969"/>
      <c r="I126" s="1877"/>
      <c r="J126" s="969"/>
      <c r="K126" s="1877"/>
      <c r="L126" s="969"/>
      <c r="M126" s="969"/>
      <c r="N126" s="1886"/>
      <c r="O126" s="1887">
        <f>SUM(O127:O143)</f>
        <v>12</v>
      </c>
      <c r="P126" s="1888"/>
      <c r="Q126" s="1908"/>
      <c r="R126" s="1909">
        <f>SUM(R127:R143)</f>
        <v>0</v>
      </c>
      <c r="T126" s="3314"/>
    </row>
    <row r="127" spans="1:20" s="828" customFormat="1" ht="186.75" customHeight="1" x14ac:dyDescent="0.2">
      <c r="A127" s="4047" t="str">
        <f>'6.Procurement Annex'!A11</f>
        <v>6.1.1.2</v>
      </c>
      <c r="B127" s="1878" t="str">
        <f>'6-A. Proc. Sub-Annex'!C14</f>
        <v>B16.1.2.1</v>
      </c>
      <c r="C127" s="1879" t="str">
        <f>'6-A. Proc. Sub-Annex'!D14</f>
        <v>Equipment for Paediatric HDU, Emergency, OPD and Ward</v>
      </c>
      <c r="D127" s="1880" t="str">
        <f>'6-A. Proc. Sub-Annex'!E14</f>
        <v>RCH</v>
      </c>
      <c r="E127" s="1880" t="str">
        <f>'6-A. Proc. Sub-Annex'!F14</f>
        <v>CH</v>
      </c>
      <c r="F127" s="1880">
        <f>'6-A. Proc. Sub-Annex'!G14</f>
        <v>0</v>
      </c>
      <c r="G127" s="1880">
        <f>'6-A. Proc. Sub-Annex'!H14</f>
        <v>0</v>
      </c>
      <c r="H127" s="1880">
        <f>'6-A. Proc. Sub-Annex'!I14</f>
        <v>0</v>
      </c>
      <c r="I127" s="1880">
        <f>'6-A. Proc. Sub-Annex'!J14</f>
        <v>0</v>
      </c>
      <c r="J127" s="1880">
        <f>'6-A. Proc. Sub-Annex'!K14</f>
        <v>0</v>
      </c>
      <c r="K127" s="1880" t="str">
        <f>'6-A. Proc. Sub-Annex'!L14</f>
        <v>Cost per centre</v>
      </c>
      <c r="L127" s="939">
        <f>'6-A. Proc. Sub-Annex'!M14</f>
        <v>1200000</v>
      </c>
      <c r="M127" s="1880">
        <f>'6-A. Proc. Sub-Annex'!N14</f>
        <v>12</v>
      </c>
      <c r="N127" s="1880">
        <f>'6-A. Proc. Sub-Annex'!O14</f>
        <v>1</v>
      </c>
      <c r="O127" s="939">
        <f>'6-A. Proc. Sub-Annex'!P14</f>
        <v>12</v>
      </c>
      <c r="P127" s="1878" t="str">
        <f>'6-A. Proc. Sub-Annex'!Q14</f>
        <v>New activity
Fully Automated Indian make pasteurizer @ Rs. 10 Lakhs and Consumables for Ra. 2 Lakhs</v>
      </c>
      <c r="Q127" s="2044"/>
      <c r="R127" s="3326"/>
      <c r="T127" s="3314"/>
    </row>
    <row r="128" spans="1:20" s="828" customFormat="1" ht="45" x14ac:dyDescent="0.2">
      <c r="A128" s="4047"/>
      <c r="B128" s="1878" t="str">
        <f>'6-A. Proc. Sub-Annex'!C15</f>
        <v>B16.1.2.2</v>
      </c>
      <c r="C128" s="1879" t="str">
        <f>'6-A. Proc. Sub-Annex'!D15</f>
        <v>Digital hemoglobinometer (One digital hemoglobinometer per RBSK Team and One at each Sub-centre/ testing strip)</v>
      </c>
      <c r="D128" s="1880" t="str">
        <f>'6-A. Proc. Sub-Annex'!E15</f>
        <v>RCH</v>
      </c>
      <c r="E128" s="1880" t="str">
        <f>'6-A. Proc. Sub-Annex'!F15</f>
        <v>CH</v>
      </c>
      <c r="F128" s="1880">
        <f>'6-A. Proc. Sub-Annex'!G15</f>
        <v>0</v>
      </c>
      <c r="G128" s="1880">
        <f>'6-A. Proc. Sub-Annex'!H15</f>
        <v>0</v>
      </c>
      <c r="H128" s="1880">
        <f>'6-A. Proc. Sub-Annex'!I15</f>
        <v>0</v>
      </c>
      <c r="I128" s="1880">
        <f>'6-A. Proc. Sub-Annex'!J15</f>
        <v>0</v>
      </c>
      <c r="J128" s="1880">
        <f>'6-A. Proc. Sub-Annex'!K15</f>
        <v>0</v>
      </c>
      <c r="K128" s="1880">
        <f>'6-A. Proc. Sub-Annex'!L15</f>
        <v>0</v>
      </c>
      <c r="L128" s="939">
        <f>'6-A. Proc. Sub-Annex'!M15</f>
        <v>0</v>
      </c>
      <c r="M128" s="1880">
        <f>'6-A. Proc. Sub-Annex'!N15</f>
        <v>0</v>
      </c>
      <c r="N128" s="1880">
        <f>'6-A. Proc. Sub-Annex'!O15</f>
        <v>0</v>
      </c>
      <c r="O128" s="939">
        <f>'6-A. Proc. Sub-Annex'!P15</f>
        <v>0</v>
      </c>
      <c r="P128" s="3286">
        <f>'6-A. Proc. Sub-Annex'!Q15</f>
        <v>0</v>
      </c>
      <c r="Q128" s="124"/>
      <c r="R128" s="1906"/>
      <c r="T128" s="3314"/>
    </row>
    <row r="129" spans="1:20" s="828" customFormat="1" ht="126.75" customHeight="1" x14ac:dyDescent="0.2">
      <c r="A129" s="4047"/>
      <c r="B129" s="1878">
        <f>'6-A. Proc. Sub-Annex'!C16</f>
        <v>0</v>
      </c>
      <c r="C129" s="1879" t="str">
        <f>'6-A. Proc. Sub-Annex'!D16</f>
        <v>Handheld Pulse Oximeter and nebulizer under SAANS</v>
      </c>
      <c r="D129" s="1880" t="str">
        <f>'6-A. Proc. Sub-Annex'!E16</f>
        <v>RCH</v>
      </c>
      <c r="E129" s="1880" t="str">
        <f>'6-A. Proc. Sub-Annex'!F16</f>
        <v>CH</v>
      </c>
      <c r="F129" s="1880">
        <f>'6-A. Proc. Sub-Annex'!G16</f>
        <v>0</v>
      </c>
      <c r="G129" s="1880">
        <f>'6-A. Proc. Sub-Annex'!H16</f>
        <v>0</v>
      </c>
      <c r="H129" s="1880">
        <f>'6-A. Proc. Sub-Annex'!I16</f>
        <v>0</v>
      </c>
      <c r="I129" s="1880">
        <f>'6-A. Proc. Sub-Annex'!J16</f>
        <v>0</v>
      </c>
      <c r="J129" s="1880">
        <f>'6-A. Proc. Sub-Annex'!K16</f>
        <v>0</v>
      </c>
      <c r="K129" s="1880">
        <f>'6-A. Proc. Sub-Annex'!L16</f>
        <v>0</v>
      </c>
      <c r="L129" s="939">
        <f>'6-A. Proc. Sub-Annex'!M16</f>
        <v>0</v>
      </c>
      <c r="M129" s="1880">
        <f>'6-A. Proc. Sub-Annex'!N16</f>
        <v>0</v>
      </c>
      <c r="N129" s="1880">
        <f>'6-A. Proc. Sub-Annex'!O16</f>
        <v>0</v>
      </c>
      <c r="O129" s="3424">
        <f>'6-A. Proc. Sub-Annex'!P16</f>
        <v>0</v>
      </c>
      <c r="P129" s="3286">
        <f>'6-A. Proc. Sub-Annex'!Q16</f>
        <v>0</v>
      </c>
      <c r="Q129" s="124"/>
      <c r="R129" s="1906"/>
      <c r="T129" s="3314"/>
    </row>
    <row r="130" spans="1:20" s="828" customFormat="1" x14ac:dyDescent="0.2">
      <c r="A130" s="4047"/>
      <c r="B130" s="1878">
        <f>'6-A. Proc. Sub-Annex'!C17</f>
        <v>0</v>
      </c>
      <c r="C130" s="1879" t="str">
        <f>'6-A. Proc. Sub-Annex'!D17</f>
        <v>Furniture for paediatric OPD and ward</v>
      </c>
      <c r="D130" s="1880" t="str">
        <f>'6-A. Proc. Sub-Annex'!E17</f>
        <v>RCH</v>
      </c>
      <c r="E130" s="1880" t="str">
        <f>'6-A. Proc. Sub-Annex'!F17</f>
        <v>CH</v>
      </c>
      <c r="F130" s="1880">
        <f>'6-A. Proc. Sub-Annex'!G17</f>
        <v>0</v>
      </c>
      <c r="G130" s="1880">
        <f>'6-A. Proc. Sub-Annex'!H17</f>
        <v>0</v>
      </c>
      <c r="H130" s="1880">
        <f>'6-A. Proc. Sub-Annex'!I17</f>
        <v>0</v>
      </c>
      <c r="I130" s="1880">
        <f>'6-A. Proc. Sub-Annex'!J17</f>
        <v>0</v>
      </c>
      <c r="J130" s="1880">
        <f>'6-A. Proc. Sub-Annex'!K17</f>
        <v>0</v>
      </c>
      <c r="K130" s="1880">
        <f>'6-A. Proc. Sub-Annex'!L17</f>
        <v>0</v>
      </c>
      <c r="L130" s="939">
        <f>'6-A. Proc. Sub-Annex'!M17</f>
        <v>0</v>
      </c>
      <c r="M130" s="1880">
        <f>'6-A. Proc. Sub-Annex'!N17</f>
        <v>0</v>
      </c>
      <c r="N130" s="1880">
        <f>'6-A. Proc. Sub-Annex'!O17</f>
        <v>0</v>
      </c>
      <c r="O130" s="939">
        <f>'6-A. Proc. Sub-Annex'!P17</f>
        <v>0</v>
      </c>
      <c r="P130" s="1878">
        <f>'6-A. Proc. Sub-Annex'!Q17</f>
        <v>0</v>
      </c>
      <c r="Q130" s="124"/>
      <c r="R130" s="1880">
        <v>0</v>
      </c>
    </row>
    <row r="131" spans="1:20" s="828" customFormat="1" ht="30" x14ac:dyDescent="0.2">
      <c r="A131" s="4047"/>
      <c r="B131" s="1878" t="str">
        <f>'6-A. Proc. Sub-Annex'!C18</f>
        <v>B16.1.2.2</v>
      </c>
      <c r="C131" s="1879" t="str">
        <f>'6-A. Proc. Sub-Annex'!D18</f>
        <v>Any other equipment (including equipment for SRC/MNCU/SNCU/ NBSU/NBCC/NRC/ etc</v>
      </c>
      <c r="D131" s="1880" t="str">
        <f>'6-A. Proc. Sub-Annex'!E18</f>
        <v>RCH</v>
      </c>
      <c r="E131" s="1880" t="str">
        <f>'6-A. Proc. Sub-Annex'!F18</f>
        <v>CH</v>
      </c>
      <c r="F131" s="1880">
        <f>'6-A. Proc. Sub-Annex'!G18</f>
        <v>0</v>
      </c>
      <c r="G131" s="1880">
        <f>'6-A. Proc. Sub-Annex'!H18</f>
        <v>0</v>
      </c>
      <c r="H131" s="1880">
        <f>'6-A. Proc. Sub-Annex'!I18</f>
        <v>0</v>
      </c>
      <c r="I131" s="1880">
        <f>'6-A. Proc. Sub-Annex'!J18</f>
        <v>0</v>
      </c>
      <c r="J131" s="1880">
        <f>'6-A. Proc. Sub-Annex'!K18</f>
        <v>0</v>
      </c>
      <c r="K131" s="1880">
        <f>'6-A. Proc. Sub-Annex'!L18</f>
        <v>0</v>
      </c>
      <c r="L131" s="939">
        <f>'6-A. Proc. Sub-Annex'!M18</f>
        <v>0</v>
      </c>
      <c r="M131" s="1880">
        <f>'6-A. Proc. Sub-Annex'!N18</f>
        <v>0</v>
      </c>
      <c r="N131" s="1880">
        <f>'6-A. Proc. Sub-Annex'!O18</f>
        <v>0</v>
      </c>
      <c r="O131" s="939">
        <f>'6-A. Proc. Sub-Annex'!P18</f>
        <v>0</v>
      </c>
      <c r="P131" s="1878">
        <f>'6-A. Proc. Sub-Annex'!Q18</f>
        <v>0</v>
      </c>
      <c r="Q131" s="124"/>
      <c r="R131" s="1906"/>
      <c r="T131" s="3314"/>
    </row>
    <row r="132" spans="1:20" s="828" customFormat="1" x14ac:dyDescent="0.2">
      <c r="A132" s="123" t="str">
        <f>'6.Procurement Annex'!A28</f>
        <v>6.1.3.2</v>
      </c>
      <c r="B132" s="1878" t="str">
        <f>'6-A. Proc. Sub-Annex'!C71</f>
        <v>A.2.9.1</v>
      </c>
      <c r="C132" s="1879" t="str">
        <f>'6-A. Proc. Sub-Annex'!D71</f>
        <v>Free Diagnostics for Sick infants under JSSK</v>
      </c>
      <c r="D132" s="1880" t="str">
        <f>'6-A. Proc. Sub-Annex'!E71</f>
        <v>RCH</v>
      </c>
      <c r="E132" s="1880" t="str">
        <f>'6-A. Proc. Sub-Annex'!F71</f>
        <v>CH</v>
      </c>
      <c r="F132" s="1880">
        <f>'6-A. Proc. Sub-Annex'!G71</f>
        <v>0</v>
      </c>
      <c r="G132" s="1880">
        <f>'6-A. Proc. Sub-Annex'!H71</f>
        <v>0</v>
      </c>
      <c r="H132" s="1880">
        <f>'6-A. Proc. Sub-Annex'!I71</f>
        <v>0</v>
      </c>
      <c r="I132" s="1880">
        <f>'6-A. Proc. Sub-Annex'!J71</f>
        <v>0</v>
      </c>
      <c r="J132" s="1880">
        <f>'6-A. Proc. Sub-Annex'!K71</f>
        <v>0</v>
      </c>
      <c r="K132" s="1880">
        <f>'6-A. Proc. Sub-Annex'!L71</f>
        <v>0</v>
      </c>
      <c r="L132" s="939">
        <f>'6-A. Proc. Sub-Annex'!M71</f>
        <v>0</v>
      </c>
      <c r="M132" s="1880">
        <f>'6-A. Proc. Sub-Annex'!N71</f>
        <v>0</v>
      </c>
      <c r="N132" s="1880">
        <f>'6-A. Proc. Sub-Annex'!O71</f>
        <v>0</v>
      </c>
      <c r="O132" s="939">
        <f>'6-A. Proc. Sub-Annex'!P71</f>
        <v>0</v>
      </c>
      <c r="P132" s="1878">
        <f>'6-A. Proc. Sub-Annex'!Q71</f>
        <v>0</v>
      </c>
      <c r="Q132" s="124"/>
      <c r="R132" s="1906"/>
      <c r="T132" s="3314"/>
    </row>
    <row r="133" spans="1:20" s="828" customFormat="1" x14ac:dyDescent="0.2">
      <c r="A133" s="4047" t="str">
        <f>'6.Procurement Annex'!A57</f>
        <v>6.2.1.2</v>
      </c>
      <c r="B133" s="1878" t="str">
        <f>'6-A. Proc. Sub-Annex'!C161</f>
        <v>B.16.2.2.1</v>
      </c>
      <c r="C133" s="1879" t="str">
        <f>'6-A. Proc. Sub-Annex'!D161</f>
        <v>JSSK drugs and consumables</v>
      </c>
      <c r="D133" s="1880" t="str">
        <f>'6-A. Proc. Sub-Annex'!E161</f>
        <v>RCH</v>
      </c>
      <c r="E133" s="1880" t="str">
        <f>'6-A. Proc. Sub-Annex'!F161</f>
        <v>CH</v>
      </c>
      <c r="F133" s="1880">
        <f>'6-A. Proc. Sub-Annex'!G161</f>
        <v>0</v>
      </c>
      <c r="G133" s="1880">
        <f>'6-A. Proc. Sub-Annex'!H161</f>
        <v>0</v>
      </c>
      <c r="H133" s="1880">
        <f>'6-A. Proc. Sub-Annex'!I161</f>
        <v>0</v>
      </c>
      <c r="I133" s="1880">
        <f>'6-A. Proc. Sub-Annex'!J161</f>
        <v>0</v>
      </c>
      <c r="J133" s="1880">
        <f>'6-A. Proc. Sub-Annex'!K161</f>
        <v>0</v>
      </c>
      <c r="K133" s="1880">
        <f>'6-A. Proc. Sub-Annex'!L161</f>
        <v>0</v>
      </c>
      <c r="L133" s="939">
        <f>'6-A. Proc. Sub-Annex'!M161</f>
        <v>0</v>
      </c>
      <c r="M133" s="1880">
        <f>'6-A. Proc. Sub-Annex'!N161</f>
        <v>0</v>
      </c>
      <c r="N133" s="1880">
        <f>'6-A. Proc. Sub-Annex'!O161</f>
        <v>0</v>
      </c>
      <c r="O133" s="939">
        <f>'6-A. Proc. Sub-Annex'!P161</f>
        <v>0</v>
      </c>
      <c r="P133" s="1878">
        <f>'6-A. Proc. Sub-Annex'!Q161</f>
        <v>0</v>
      </c>
      <c r="Q133" s="124"/>
      <c r="R133" s="1906"/>
      <c r="T133" s="3314"/>
    </row>
    <row r="134" spans="1:20" s="828" customFormat="1" ht="30" x14ac:dyDescent="0.2">
      <c r="A134" s="4047"/>
      <c r="B134" s="1878" t="str">
        <f>'6-A. Proc. Sub-Annex'!C162</f>
        <v>B.16.2.6</v>
      </c>
      <c r="C134" s="1879" t="str">
        <f>'6-A. Proc. Sub-Annex'!D162</f>
        <v>Drugs &amp; Supplies for NIPI and National Deworming Day</v>
      </c>
      <c r="D134" s="1880" t="str">
        <f>'6-A. Proc. Sub-Annex'!E162</f>
        <v>RCH</v>
      </c>
      <c r="E134" s="1880" t="str">
        <f>'6-A. Proc. Sub-Annex'!F162</f>
        <v>CH</v>
      </c>
      <c r="F134" s="1880">
        <f>'6-A. Proc. Sub-Annex'!G162</f>
        <v>0</v>
      </c>
      <c r="G134" s="1880">
        <f>'6-A. Proc. Sub-Annex'!H162</f>
        <v>0</v>
      </c>
      <c r="H134" s="1880">
        <f>'6-A. Proc. Sub-Annex'!I162</f>
        <v>0</v>
      </c>
      <c r="I134" s="1880">
        <f>'6-A. Proc. Sub-Annex'!J162</f>
        <v>0</v>
      </c>
      <c r="J134" s="1880">
        <f>'6-A. Proc. Sub-Annex'!K162</f>
        <v>0</v>
      </c>
      <c r="K134" s="1880">
        <f>'6-A. Proc. Sub-Annex'!L162</f>
        <v>0</v>
      </c>
      <c r="L134" s="939">
        <f>'6-A. Proc. Sub-Annex'!M162</f>
        <v>0</v>
      </c>
      <c r="M134" s="1880">
        <f>'6-A. Proc. Sub-Annex'!N162</f>
        <v>0</v>
      </c>
      <c r="N134" s="1880">
        <f>'6-A. Proc. Sub-Annex'!O162</f>
        <v>0</v>
      </c>
      <c r="O134" s="939">
        <f>'6-A. Proc. Sub-Annex'!P162</f>
        <v>0</v>
      </c>
      <c r="P134" s="1878">
        <f>'6-A. Proc. Sub-Annex'!Q162</f>
        <v>0</v>
      </c>
      <c r="Q134" s="124"/>
      <c r="R134" s="1880"/>
    </row>
    <row r="135" spans="1:20" s="828" customFormat="1" ht="54" customHeight="1" x14ac:dyDescent="0.2">
      <c r="A135" s="4047"/>
      <c r="B135" s="1878" t="str">
        <f>'6-A. Proc. Sub-Annex'!C163</f>
        <v>B.16.2.6.1.a</v>
      </c>
      <c r="C135" s="1879" t="str">
        <f>'6-A. Proc. Sub-Annex'!D163</f>
        <v>IFA syrups (with auto dispenser) for children (6-60months)</v>
      </c>
      <c r="D135" s="1880" t="str">
        <f>'6-A. Proc. Sub-Annex'!E163</f>
        <v>RCH</v>
      </c>
      <c r="E135" s="1880" t="str">
        <f>'6-A. Proc. Sub-Annex'!F163</f>
        <v>CH</v>
      </c>
      <c r="F135" s="1880">
        <f>'6-A. Proc. Sub-Annex'!G163</f>
        <v>0</v>
      </c>
      <c r="G135" s="1880">
        <f>'6-A. Proc. Sub-Annex'!H163</f>
        <v>0</v>
      </c>
      <c r="H135" s="1880">
        <f>'6-A. Proc. Sub-Annex'!I163</f>
        <v>0</v>
      </c>
      <c r="I135" s="1880">
        <f>'6-A. Proc. Sub-Annex'!J163</f>
        <v>0</v>
      </c>
      <c r="J135" s="1880">
        <f>'6-A. Proc. Sub-Annex'!K163</f>
        <v>0</v>
      </c>
      <c r="K135" s="1880">
        <f>'6-A. Proc. Sub-Annex'!L163</f>
        <v>0</v>
      </c>
      <c r="L135" s="939">
        <f>'6-A. Proc. Sub-Annex'!M163</f>
        <v>0</v>
      </c>
      <c r="M135" s="1880">
        <f>'6-A. Proc. Sub-Annex'!N163</f>
        <v>0</v>
      </c>
      <c r="N135" s="1880">
        <f>'6-A. Proc. Sub-Annex'!O163</f>
        <v>0</v>
      </c>
      <c r="O135" s="939">
        <f>'6-A. Proc. Sub-Annex'!P163</f>
        <v>0</v>
      </c>
      <c r="P135" s="1878">
        <f>'6-A. Proc. Sub-Annex'!Q163</f>
        <v>0</v>
      </c>
      <c r="Q135" s="3293"/>
      <c r="R135" s="1906"/>
      <c r="T135" s="3314"/>
    </row>
    <row r="136" spans="1:20" s="828" customFormat="1" x14ac:dyDescent="0.2">
      <c r="A136" s="4047"/>
      <c r="B136" s="1878" t="str">
        <f>'6-A. Proc. Sub-Annex'!C164</f>
        <v>B.16.2.6.1.b</v>
      </c>
      <c r="C136" s="1879" t="str">
        <f>'6-A. Proc. Sub-Annex'!D164</f>
        <v>Albendazole Tablets for children (6-60months)</v>
      </c>
      <c r="D136" s="1880" t="str">
        <f>'6-A. Proc. Sub-Annex'!E164</f>
        <v>RCH</v>
      </c>
      <c r="E136" s="1880" t="str">
        <f>'6-A. Proc. Sub-Annex'!F164</f>
        <v>CH</v>
      </c>
      <c r="F136" s="1880">
        <f>'6-A. Proc. Sub-Annex'!G164</f>
        <v>0</v>
      </c>
      <c r="G136" s="1880">
        <f>'6-A. Proc. Sub-Annex'!H164</f>
        <v>0</v>
      </c>
      <c r="H136" s="1880">
        <f>'6-A. Proc. Sub-Annex'!I164</f>
        <v>0</v>
      </c>
      <c r="I136" s="1880">
        <f>'6-A. Proc. Sub-Annex'!J164</f>
        <v>0</v>
      </c>
      <c r="J136" s="1880">
        <f>'6-A. Proc. Sub-Annex'!K164</f>
        <v>0</v>
      </c>
      <c r="K136" s="1880">
        <f>'6-A. Proc. Sub-Annex'!L164</f>
        <v>0</v>
      </c>
      <c r="L136" s="939">
        <f>'6-A. Proc. Sub-Annex'!M164</f>
        <v>0</v>
      </c>
      <c r="M136" s="1880">
        <f>'6-A. Proc. Sub-Annex'!N164</f>
        <v>0</v>
      </c>
      <c r="N136" s="1880">
        <f>'6-A. Proc. Sub-Annex'!O164</f>
        <v>0</v>
      </c>
      <c r="O136" s="939">
        <f>'6-A. Proc. Sub-Annex'!P164</f>
        <v>0</v>
      </c>
      <c r="P136" s="1878">
        <f>'6-A. Proc. Sub-Annex'!Q164</f>
        <v>0</v>
      </c>
      <c r="Q136" s="124"/>
      <c r="R136" s="1906"/>
      <c r="T136" s="3314"/>
    </row>
    <row r="137" spans="1:20" s="828" customFormat="1" ht="30" x14ac:dyDescent="0.2">
      <c r="A137" s="4047"/>
      <c r="B137" s="1878" t="str">
        <f>'6-A. Proc. Sub-Annex'!C165</f>
        <v>B.16.2.6.2.a</v>
      </c>
      <c r="C137" s="1879" t="str">
        <f>'6-A. Proc. Sub-Annex'!D165</f>
        <v>IFA tablets  (IFA WIFS Junior tablets- pink sugar coated) for children (5-10 yrs.)</v>
      </c>
      <c r="D137" s="1880" t="str">
        <f>'6-A. Proc. Sub-Annex'!E165</f>
        <v>RCH</v>
      </c>
      <c r="E137" s="1880" t="str">
        <f>'6-A. Proc. Sub-Annex'!F165</f>
        <v>CH</v>
      </c>
      <c r="F137" s="1880">
        <f>'6-A. Proc. Sub-Annex'!G165</f>
        <v>0</v>
      </c>
      <c r="G137" s="1880">
        <f>'6-A. Proc. Sub-Annex'!H165</f>
        <v>0</v>
      </c>
      <c r="H137" s="1880">
        <f>'6-A. Proc. Sub-Annex'!I165</f>
        <v>0</v>
      </c>
      <c r="I137" s="1880">
        <f>'6-A. Proc. Sub-Annex'!J165</f>
        <v>0</v>
      </c>
      <c r="J137" s="1880">
        <f>'6-A. Proc. Sub-Annex'!K165</f>
        <v>0</v>
      </c>
      <c r="K137" s="1880">
        <f>'6-A. Proc. Sub-Annex'!L165</f>
        <v>0</v>
      </c>
      <c r="L137" s="939">
        <f>'6-A. Proc. Sub-Annex'!M165</f>
        <v>0</v>
      </c>
      <c r="M137" s="1880">
        <f>'6-A. Proc. Sub-Annex'!N165</f>
        <v>0</v>
      </c>
      <c r="N137" s="1880">
        <f>'6-A. Proc. Sub-Annex'!O165</f>
        <v>0</v>
      </c>
      <c r="O137" s="939">
        <f>'6-A. Proc. Sub-Annex'!P165</f>
        <v>0</v>
      </c>
      <c r="P137" s="1878">
        <f>'6-A. Proc. Sub-Annex'!Q165</f>
        <v>0</v>
      </c>
      <c r="Q137" s="3293"/>
      <c r="R137" s="1906"/>
      <c r="T137" s="3314"/>
    </row>
    <row r="138" spans="1:20" s="828" customFormat="1" x14ac:dyDescent="0.2">
      <c r="A138" s="4047"/>
      <c r="B138" s="1878" t="str">
        <f>'6-A. Proc. Sub-Annex'!C166</f>
        <v>B.16.2.6.2.b</v>
      </c>
      <c r="C138" s="1879" t="str">
        <f>'6-A. Proc. Sub-Annex'!D166</f>
        <v>Albendazole Tablets for children (5-10 yrs.)</v>
      </c>
      <c r="D138" s="1880" t="str">
        <f>'6-A. Proc. Sub-Annex'!E166</f>
        <v>RCH</v>
      </c>
      <c r="E138" s="1880" t="str">
        <f>'6-A. Proc. Sub-Annex'!F166</f>
        <v>CH</v>
      </c>
      <c r="F138" s="1880">
        <f>'6-A. Proc. Sub-Annex'!G166</f>
        <v>0</v>
      </c>
      <c r="G138" s="1880">
        <f>'6-A. Proc. Sub-Annex'!H166</f>
        <v>0</v>
      </c>
      <c r="H138" s="1880">
        <f>'6-A. Proc. Sub-Annex'!I166</f>
        <v>0</v>
      </c>
      <c r="I138" s="1880">
        <f>'6-A. Proc. Sub-Annex'!J166</f>
        <v>0</v>
      </c>
      <c r="J138" s="1880">
        <f>'6-A. Proc. Sub-Annex'!K166</f>
        <v>0</v>
      </c>
      <c r="K138" s="1880">
        <f>'6-A. Proc. Sub-Annex'!L166</f>
        <v>0</v>
      </c>
      <c r="L138" s="939">
        <f>'6-A. Proc. Sub-Annex'!M166</f>
        <v>0</v>
      </c>
      <c r="M138" s="1880">
        <f>'6-A. Proc. Sub-Annex'!N166</f>
        <v>0</v>
      </c>
      <c r="N138" s="1880">
        <f>'6-A. Proc. Sub-Annex'!O166</f>
        <v>0</v>
      </c>
      <c r="O138" s="939">
        <f>'6-A. Proc. Sub-Annex'!P166</f>
        <v>0</v>
      </c>
      <c r="P138" s="1878">
        <f>'6-A. Proc. Sub-Annex'!Q166</f>
        <v>0</v>
      </c>
      <c r="Q138" s="124"/>
      <c r="R138" s="3297"/>
      <c r="T138" s="3315"/>
    </row>
    <row r="139" spans="1:20" s="828" customFormat="1" ht="93" customHeight="1" x14ac:dyDescent="0.2">
      <c r="A139" s="4047"/>
      <c r="B139" s="1878" t="str">
        <f>'6-A. Proc. Sub-Annex'!C167</f>
        <v>B.16.2.2.2</v>
      </c>
      <c r="C139" s="1879" t="str">
        <f>'6-A. Proc. Sub-Annex'!D167</f>
        <v>Vitamin A syrup</v>
      </c>
      <c r="D139" s="1880" t="str">
        <f>'6-A. Proc. Sub-Annex'!E167</f>
        <v>RCH</v>
      </c>
      <c r="E139" s="1880" t="str">
        <f>'6-A. Proc. Sub-Annex'!F167</f>
        <v>CH</v>
      </c>
      <c r="F139" s="1880">
        <f>'6-A. Proc. Sub-Annex'!G167</f>
        <v>0</v>
      </c>
      <c r="G139" s="1880">
        <f>'6-A. Proc. Sub-Annex'!H167</f>
        <v>0</v>
      </c>
      <c r="H139" s="1880">
        <f>'6-A. Proc. Sub-Annex'!I167</f>
        <v>0</v>
      </c>
      <c r="I139" s="1880">
        <f>'6-A. Proc. Sub-Annex'!J167</f>
        <v>0</v>
      </c>
      <c r="J139" s="1880">
        <f>'6-A. Proc. Sub-Annex'!K167</f>
        <v>0</v>
      </c>
      <c r="K139" s="1880">
        <f>'6-A. Proc. Sub-Annex'!L167</f>
        <v>0</v>
      </c>
      <c r="L139" s="939">
        <f>'6-A. Proc. Sub-Annex'!M167</f>
        <v>0</v>
      </c>
      <c r="M139" s="1880">
        <f>'6-A. Proc. Sub-Annex'!N167</f>
        <v>0</v>
      </c>
      <c r="N139" s="1880">
        <f>'6-A. Proc. Sub-Annex'!O167</f>
        <v>0</v>
      </c>
      <c r="O139" s="939">
        <f>'6-A. Proc. Sub-Annex'!P167</f>
        <v>0</v>
      </c>
      <c r="P139" s="1878">
        <f>'6-A. Proc. Sub-Annex'!Q167</f>
        <v>0</v>
      </c>
      <c r="Q139" s="124"/>
      <c r="R139" s="1906"/>
      <c r="T139" s="3314"/>
    </row>
    <row r="140" spans="1:20" s="828" customFormat="1" ht="107.25" customHeight="1" x14ac:dyDescent="0.2">
      <c r="A140" s="4047"/>
      <c r="B140" s="1878" t="str">
        <f>'6-A. Proc. Sub-Annex'!C169</f>
        <v>B.16.2.2.3</v>
      </c>
      <c r="C140" s="1879" t="str">
        <f>'6-A. Proc. Sub-Annex'!D169</f>
        <v>ORS</v>
      </c>
      <c r="D140" s="1880" t="str">
        <f>'6-A. Proc. Sub-Annex'!E169</f>
        <v>RCH</v>
      </c>
      <c r="E140" s="1880" t="str">
        <f>'6-A. Proc. Sub-Annex'!F169</f>
        <v>CH</v>
      </c>
      <c r="F140" s="1880">
        <f>'6-A. Proc. Sub-Annex'!G169</f>
        <v>0</v>
      </c>
      <c r="G140" s="1880">
        <f>'6-A. Proc. Sub-Annex'!H169</f>
        <v>0</v>
      </c>
      <c r="H140" s="1880">
        <f>'6-A. Proc. Sub-Annex'!I169</f>
        <v>0</v>
      </c>
      <c r="I140" s="1880">
        <f>'6-A. Proc. Sub-Annex'!J169</f>
        <v>0</v>
      </c>
      <c r="J140" s="1880">
        <f>'6-A. Proc. Sub-Annex'!K169</f>
        <v>0</v>
      </c>
      <c r="K140" s="1880">
        <f>'6-A. Proc. Sub-Annex'!L169</f>
        <v>0</v>
      </c>
      <c r="L140" s="939">
        <f>'6-A. Proc. Sub-Annex'!M169</f>
        <v>0</v>
      </c>
      <c r="M140" s="1880">
        <f>'6-A. Proc. Sub-Annex'!N169</f>
        <v>0</v>
      </c>
      <c r="N140" s="1880">
        <f>'6-A. Proc. Sub-Annex'!O169</f>
        <v>0</v>
      </c>
      <c r="O140" s="939">
        <f>'6-A. Proc. Sub-Annex'!P169</f>
        <v>0</v>
      </c>
      <c r="P140" s="1878">
        <f>'6-A. Proc. Sub-Annex'!Q169</f>
        <v>0</v>
      </c>
      <c r="Q140" s="124"/>
      <c r="R140" s="1906"/>
      <c r="T140" s="3314"/>
    </row>
    <row r="141" spans="1:20" s="828" customFormat="1" ht="86.25" customHeight="1" x14ac:dyDescent="0.2">
      <c r="A141" s="4047"/>
      <c r="B141" s="1878" t="str">
        <f>'6-A. Proc. Sub-Annex'!C170</f>
        <v>B.16.2.2.4</v>
      </c>
      <c r="C141" s="1879" t="str">
        <f>'6-A. Proc. Sub-Annex'!D170</f>
        <v>Zinc</v>
      </c>
      <c r="D141" s="1880" t="str">
        <f>'6-A. Proc. Sub-Annex'!E170</f>
        <v>RCH</v>
      </c>
      <c r="E141" s="1880" t="str">
        <f>'6-A. Proc. Sub-Annex'!F170</f>
        <v>CH</v>
      </c>
      <c r="F141" s="1880">
        <f>'6-A. Proc. Sub-Annex'!G170</f>
        <v>0</v>
      </c>
      <c r="G141" s="1880">
        <f>'6-A. Proc. Sub-Annex'!H170</f>
        <v>0</v>
      </c>
      <c r="H141" s="1880">
        <f>'6-A. Proc. Sub-Annex'!I170</f>
        <v>0</v>
      </c>
      <c r="I141" s="1880">
        <f>'6-A. Proc. Sub-Annex'!J170</f>
        <v>0</v>
      </c>
      <c r="J141" s="1880">
        <f>'6-A. Proc. Sub-Annex'!K170</f>
        <v>0</v>
      </c>
      <c r="K141" s="1880">
        <f>'6-A. Proc. Sub-Annex'!L170</f>
        <v>0</v>
      </c>
      <c r="L141" s="939">
        <f>'6-A. Proc. Sub-Annex'!M170</f>
        <v>0</v>
      </c>
      <c r="M141" s="1880">
        <f>'6-A. Proc. Sub-Annex'!N170</f>
        <v>0</v>
      </c>
      <c r="N141" s="1880">
        <f>'6-A. Proc. Sub-Annex'!O170</f>
        <v>0</v>
      </c>
      <c r="O141" s="939">
        <f>'6-A. Proc. Sub-Annex'!P170</f>
        <v>0</v>
      </c>
      <c r="P141" s="1878">
        <f>'6-A. Proc. Sub-Annex'!Q170</f>
        <v>0</v>
      </c>
      <c r="Q141" s="124"/>
      <c r="R141" s="1906"/>
      <c r="T141" s="3314"/>
    </row>
    <row r="142" spans="1:20" s="828" customFormat="1" x14ac:dyDescent="0.2">
      <c r="A142" s="4047"/>
      <c r="B142" s="1878">
        <f>'6-A. Proc. Sub-Annex'!C171</f>
        <v>0</v>
      </c>
      <c r="C142" s="1879" t="str">
        <f>'6-A. Proc. Sub-Annex'!D171</f>
        <v>Others (please specify)</v>
      </c>
      <c r="D142" s="1880" t="str">
        <f>'6-A. Proc. Sub-Annex'!E171</f>
        <v>RCH</v>
      </c>
      <c r="E142" s="1880" t="str">
        <f>'6-A. Proc. Sub-Annex'!F171</f>
        <v>CH</v>
      </c>
      <c r="F142" s="1880">
        <f>'6-A. Proc. Sub-Annex'!G171</f>
        <v>0</v>
      </c>
      <c r="G142" s="1880">
        <f>'6-A. Proc. Sub-Annex'!H171</f>
        <v>0</v>
      </c>
      <c r="H142" s="1880">
        <f>'6-A. Proc. Sub-Annex'!I171</f>
        <v>0</v>
      </c>
      <c r="I142" s="1880">
        <f>'6-A. Proc. Sub-Annex'!J171</f>
        <v>0</v>
      </c>
      <c r="J142" s="1880">
        <f>'6-A. Proc. Sub-Annex'!K171</f>
        <v>0</v>
      </c>
      <c r="K142" s="1880">
        <f>'6-A. Proc. Sub-Annex'!L171</f>
        <v>0</v>
      </c>
      <c r="L142" s="939">
        <f>'6-A. Proc. Sub-Annex'!M171</f>
        <v>0</v>
      </c>
      <c r="M142" s="1880">
        <f>'6-A. Proc. Sub-Annex'!N171</f>
        <v>0</v>
      </c>
      <c r="N142" s="1880">
        <f>'6-A. Proc. Sub-Annex'!O171</f>
        <v>0</v>
      </c>
      <c r="O142" s="939">
        <f>'6-A. Proc. Sub-Annex'!P171</f>
        <v>0</v>
      </c>
      <c r="P142" s="1878">
        <f>'6-A. Proc. Sub-Annex'!Q171</f>
        <v>0</v>
      </c>
      <c r="Q142" s="124"/>
      <c r="R142" s="1880">
        <v>0</v>
      </c>
    </row>
    <row r="143" spans="1:20" s="828" customFormat="1" x14ac:dyDescent="0.2">
      <c r="A143" s="4047"/>
      <c r="B143" s="1878">
        <f>'6-A. Proc. Sub-Annex'!C172</f>
        <v>0</v>
      </c>
      <c r="C143" s="1879" t="str">
        <f>'6-A. Proc. Sub-Annex'!D172</f>
        <v>Any other Drugs &amp; Supplies (Please specify)</v>
      </c>
      <c r="D143" s="1880" t="str">
        <f>'6-A. Proc. Sub-Annex'!E172</f>
        <v>RCH</v>
      </c>
      <c r="E143" s="1880" t="str">
        <f>'6-A. Proc. Sub-Annex'!F172</f>
        <v>CH</v>
      </c>
      <c r="F143" s="1880">
        <f>'6-A. Proc. Sub-Annex'!G172</f>
        <v>0</v>
      </c>
      <c r="G143" s="1880">
        <f>'6-A. Proc. Sub-Annex'!H172</f>
        <v>0</v>
      </c>
      <c r="H143" s="1880">
        <f>'6-A. Proc. Sub-Annex'!I172</f>
        <v>0</v>
      </c>
      <c r="I143" s="1880">
        <f>'6-A. Proc. Sub-Annex'!J172</f>
        <v>0</v>
      </c>
      <c r="J143" s="1880">
        <f>'6-A. Proc. Sub-Annex'!K172</f>
        <v>0</v>
      </c>
      <c r="K143" s="1880">
        <f>'6-A. Proc. Sub-Annex'!L172</f>
        <v>0</v>
      </c>
      <c r="L143" s="939">
        <f>'6-A. Proc. Sub-Annex'!M172</f>
        <v>0</v>
      </c>
      <c r="M143" s="1880">
        <f>'6-A. Proc. Sub-Annex'!N172</f>
        <v>0</v>
      </c>
      <c r="N143" s="1880">
        <f>'6-A. Proc. Sub-Annex'!O172</f>
        <v>0</v>
      </c>
      <c r="O143" s="939">
        <f>'6-A. Proc. Sub-Annex'!P172</f>
        <v>0</v>
      </c>
      <c r="P143" s="1878">
        <f>'6-A. Proc. Sub-Annex'!Q172</f>
        <v>0</v>
      </c>
      <c r="Q143" s="124"/>
      <c r="R143" s="1880">
        <v>0</v>
      </c>
    </row>
    <row r="144" spans="1:20" s="828" customFormat="1" x14ac:dyDescent="0.2">
      <c r="A144" s="1875">
        <f>'7.Referral Transport Annex'!A7</f>
        <v>7</v>
      </c>
      <c r="B144" s="1885"/>
      <c r="C144" s="1876" t="str">
        <f>'7.Referral Transport Annex'!C7</f>
        <v>Referral Transport</v>
      </c>
      <c r="D144" s="1877"/>
      <c r="E144" s="1877"/>
      <c r="F144" s="1877"/>
      <c r="G144" s="1877"/>
      <c r="H144" s="969"/>
      <c r="I144" s="1877"/>
      <c r="J144" s="969"/>
      <c r="K144" s="1877"/>
      <c r="L144" s="969"/>
      <c r="M144" s="969"/>
      <c r="N144" s="1886"/>
      <c r="O144" s="1887">
        <f>SUM(O145:O145)</f>
        <v>0</v>
      </c>
      <c r="P144" s="1888"/>
      <c r="Q144" s="1908"/>
      <c r="R144" s="1909">
        <f>SUM(R145:R145)</f>
        <v>0</v>
      </c>
      <c r="T144" s="3314"/>
    </row>
    <row r="145" spans="1:20" s="828" customFormat="1" x14ac:dyDescent="0.2">
      <c r="A145" s="1878">
        <f>'7.Referral Transport Annex'!A9</f>
        <v>7.2</v>
      </c>
      <c r="B145" s="1878" t="str">
        <f>'7.Referral Transport Annex'!B9</f>
        <v>A.2.9.2</v>
      </c>
      <c r="C145" s="1879" t="str">
        <f>'7.Referral Transport Annex'!C9</f>
        <v>Free Referral Transport - JSSK for Sick Infants</v>
      </c>
      <c r="D145" s="1880" t="str">
        <f>'7.Referral Transport Annex'!D9</f>
        <v>RCH</v>
      </c>
      <c r="E145" s="1880" t="str">
        <f>'7.Referral Transport Annex'!E9</f>
        <v>CH</v>
      </c>
      <c r="F145" s="1880">
        <f>'7.Referral Transport Annex'!F9</f>
        <v>0</v>
      </c>
      <c r="G145" s="1880">
        <f>'7.Referral Transport Annex'!G9</f>
        <v>0</v>
      </c>
      <c r="H145" s="1880">
        <f>'7.Referral Transport Annex'!H9</f>
        <v>0</v>
      </c>
      <c r="I145" s="1880">
        <f>'7.Referral Transport Annex'!I9</f>
        <v>0</v>
      </c>
      <c r="J145" s="1880">
        <f>'7.Referral Transport Annex'!J9</f>
        <v>0</v>
      </c>
      <c r="K145" s="1880">
        <f>'7.Referral Transport Annex'!K9</f>
        <v>0</v>
      </c>
      <c r="L145" s="939">
        <f>'7.Referral Transport Annex'!L9</f>
        <v>0</v>
      </c>
      <c r="M145" s="1880">
        <f>'7.Referral Transport Annex'!M9</f>
        <v>0</v>
      </c>
      <c r="N145" s="1880">
        <f>'7.Referral Transport Annex'!N9</f>
        <v>0</v>
      </c>
      <c r="O145" s="939">
        <f>'7.Referral Transport Annex'!O9</f>
        <v>0</v>
      </c>
      <c r="P145" s="1878">
        <f>'7.Referral Transport Annex'!P9</f>
        <v>0</v>
      </c>
      <c r="Q145" s="124"/>
      <c r="R145" s="1906"/>
      <c r="T145" s="3314"/>
    </row>
    <row r="146" spans="1:20" s="828" customFormat="1" x14ac:dyDescent="0.2">
      <c r="A146" s="1875">
        <f>'9.Training Annex'!A7</f>
        <v>9</v>
      </c>
      <c r="B146" s="1875"/>
      <c r="C146" s="1876" t="str">
        <f>'9.Training Annex'!C7</f>
        <v>Training and Capacity Building</v>
      </c>
      <c r="D146" s="1877"/>
      <c r="E146" s="1877"/>
      <c r="F146" s="1877"/>
      <c r="G146" s="1877"/>
      <c r="H146" s="1877"/>
      <c r="I146" s="1877"/>
      <c r="J146" s="1877"/>
      <c r="K146" s="1877"/>
      <c r="L146" s="969"/>
      <c r="M146" s="1877"/>
      <c r="N146" s="1877"/>
      <c r="O146" s="969">
        <f>SUM(O147:O172)</f>
        <v>9.1529999999999987</v>
      </c>
      <c r="P146" s="1875"/>
      <c r="Q146" s="678"/>
      <c r="R146" s="132">
        <f>SUM(R147:R172)</f>
        <v>0</v>
      </c>
      <c r="T146" s="3314"/>
    </row>
    <row r="147" spans="1:20" s="828" customFormat="1" ht="60" x14ac:dyDescent="0.2">
      <c r="A147" s="4047" t="str">
        <f>'9.Training Annex'!A22</f>
        <v>9.2.1.2</v>
      </c>
      <c r="B147" s="1889" t="str">
        <f>'9-A.Training Sub-Annex'!C55</f>
        <v>A.2.1</v>
      </c>
      <c r="C147" s="1890" t="str">
        <f>'9-A.Training Sub-Annex'!D55</f>
        <v>IMNCI (including F-IMNCI; primarily budget for  planning for pre-service IMNCI activities in medical colleges, nursing colleges, and ANMTCs other training)</v>
      </c>
      <c r="D147" s="1891" t="str">
        <f>'9-A.Training Sub-Annex'!E55</f>
        <v>RCH</v>
      </c>
      <c r="E147" s="1891" t="str">
        <f>'9-A.Training Sub-Annex'!F55</f>
        <v>CH</v>
      </c>
      <c r="F147" s="1891">
        <f>'9-A.Training Sub-Annex'!G55</f>
        <v>0</v>
      </c>
      <c r="G147" s="1891">
        <f>'9-A.Training Sub-Annex'!H55</f>
        <v>0</v>
      </c>
      <c r="H147" s="1891">
        <f>'9-A.Training Sub-Annex'!I55</f>
        <v>0</v>
      </c>
      <c r="I147" s="1891">
        <f>'9-A.Training Sub-Annex'!J55</f>
        <v>0</v>
      </c>
      <c r="J147" s="1891">
        <f>'9-A.Training Sub-Annex'!K55</f>
        <v>0</v>
      </c>
      <c r="K147" s="1891">
        <f>'9-A.Training Sub-Annex'!L55</f>
        <v>0</v>
      </c>
      <c r="L147" s="939">
        <f>'9-A.Training Sub-Annex'!M55</f>
        <v>0</v>
      </c>
      <c r="M147" s="1891">
        <f>'9-A.Training Sub-Annex'!N55</f>
        <v>0</v>
      </c>
      <c r="N147" s="1891">
        <f>'9-A.Training Sub-Annex'!O55</f>
        <v>0</v>
      </c>
      <c r="O147" s="939">
        <f>'9-A.Training Sub-Annex'!P55</f>
        <v>0</v>
      </c>
      <c r="P147" s="1889">
        <f>'9-A.Training Sub-Annex'!Q55</f>
        <v>0</v>
      </c>
      <c r="Q147" s="124"/>
      <c r="R147" s="1880">
        <v>0</v>
      </c>
    </row>
    <row r="148" spans="1:20" s="828" customFormat="1" x14ac:dyDescent="0.2">
      <c r="A148" s="4047"/>
      <c r="B148" s="1889">
        <f>'9-A.Training Sub-Annex'!C56</f>
        <v>0</v>
      </c>
      <c r="C148" s="1890" t="str">
        <f>'9-A.Training Sub-Annex'!D56</f>
        <v>Development of SAANS training modules</v>
      </c>
      <c r="D148" s="1891" t="str">
        <f>'9-A.Training Sub-Annex'!E56</f>
        <v>RCH</v>
      </c>
      <c r="E148" s="1891" t="str">
        <f>'9-A.Training Sub-Annex'!F56</f>
        <v>CH</v>
      </c>
      <c r="F148" s="1891">
        <f>'9-A.Training Sub-Annex'!G56</f>
        <v>0</v>
      </c>
      <c r="G148" s="1891">
        <f>'9-A.Training Sub-Annex'!H56</f>
        <v>0</v>
      </c>
      <c r="H148" s="1891">
        <f>'9-A.Training Sub-Annex'!I56</f>
        <v>0</v>
      </c>
      <c r="I148" s="1891">
        <f>'9-A.Training Sub-Annex'!J56</f>
        <v>0</v>
      </c>
      <c r="J148" s="1891">
        <f>'9-A.Training Sub-Annex'!K56</f>
        <v>0</v>
      </c>
      <c r="K148" s="1891">
        <f>'9-A.Training Sub-Annex'!L56</f>
        <v>0</v>
      </c>
      <c r="L148" s="939">
        <f>'9-A.Training Sub-Annex'!M56</f>
        <v>0</v>
      </c>
      <c r="M148" s="1891">
        <f>'9-A.Training Sub-Annex'!N56</f>
        <v>0</v>
      </c>
      <c r="N148" s="1891">
        <f>'9-A.Training Sub-Annex'!O56</f>
        <v>0</v>
      </c>
      <c r="O148" s="939">
        <f>'9-A.Training Sub-Annex'!P56</f>
        <v>0</v>
      </c>
      <c r="P148" s="1889">
        <f>'9-A.Training Sub-Annex'!Q56</f>
        <v>0</v>
      </c>
      <c r="Q148" s="124"/>
      <c r="R148" s="1880">
        <v>0</v>
      </c>
    </row>
    <row r="149" spans="1:20" s="828" customFormat="1" ht="45" x14ac:dyDescent="0.2">
      <c r="A149" s="4047"/>
      <c r="B149" s="1889" t="str">
        <f>'9-A.Training Sub-Annex'!C57</f>
        <v>A.2.6</v>
      </c>
      <c r="C149" s="1890" t="str">
        <f>'9-A.Training Sub-Annex'!D57</f>
        <v>Orientation/Planning Meeting/Launch on SAANS initiative at State or District (Pneumonia)/IDCF orientation</v>
      </c>
      <c r="D149" s="1891" t="str">
        <f>'9-A.Training Sub-Annex'!E57</f>
        <v>RCH</v>
      </c>
      <c r="E149" s="1891" t="str">
        <f>'9-A.Training Sub-Annex'!F57</f>
        <v>CH</v>
      </c>
      <c r="F149" s="1891">
        <f>'9-A.Training Sub-Annex'!G57</f>
        <v>0</v>
      </c>
      <c r="G149" s="1891">
        <f>'9-A.Training Sub-Annex'!H57</f>
        <v>0</v>
      </c>
      <c r="H149" s="1891">
        <f>'9-A.Training Sub-Annex'!I57</f>
        <v>0</v>
      </c>
      <c r="I149" s="1891">
        <f>'9-A.Training Sub-Annex'!J57</f>
        <v>0</v>
      </c>
      <c r="J149" s="1891">
        <f>'9-A.Training Sub-Annex'!K57</f>
        <v>0</v>
      </c>
      <c r="K149" s="1891">
        <f>'9-A.Training Sub-Annex'!L57</f>
        <v>0</v>
      </c>
      <c r="L149" s="939">
        <f>'9-A.Training Sub-Annex'!M57</f>
        <v>0</v>
      </c>
      <c r="M149" s="1891">
        <f>'9-A.Training Sub-Annex'!N57</f>
        <v>0</v>
      </c>
      <c r="N149" s="1891">
        <f>'9-A.Training Sub-Annex'!O57</f>
        <v>0</v>
      </c>
      <c r="O149" s="939">
        <f>'9-A.Training Sub-Annex'!P57</f>
        <v>0</v>
      </c>
      <c r="P149" s="1889">
        <f>'9-A.Training Sub-Annex'!Q57</f>
        <v>0</v>
      </c>
      <c r="Q149" s="124"/>
      <c r="R149" s="1880">
        <v>0</v>
      </c>
    </row>
    <row r="150" spans="1:20" s="828" customFormat="1" ht="45" x14ac:dyDescent="0.2">
      <c r="A150" s="4047"/>
      <c r="B150" s="1889" t="str">
        <f>'9-A.Training Sub-Annex'!C58</f>
        <v>A.2.7</v>
      </c>
      <c r="C150" s="1890" t="str">
        <f>'9-A.Training Sub-Annex'!D58</f>
        <v>Orientation activities on vitamin A supplementation and Anaemia Mukta Bharat Programme</v>
      </c>
      <c r="D150" s="1891" t="str">
        <f>'9-A.Training Sub-Annex'!E58</f>
        <v>RCH</v>
      </c>
      <c r="E150" s="1891" t="str">
        <f>'9-A.Training Sub-Annex'!F58</f>
        <v>CH</v>
      </c>
      <c r="F150" s="1891">
        <f>'9-A.Training Sub-Annex'!G58</f>
        <v>0</v>
      </c>
      <c r="G150" s="1891">
        <f>'9-A.Training Sub-Annex'!H58</f>
        <v>0</v>
      </c>
      <c r="H150" s="1891">
        <f>'9-A.Training Sub-Annex'!I58</f>
        <v>0</v>
      </c>
      <c r="I150" s="1891">
        <f>'9-A.Training Sub-Annex'!J58</f>
        <v>0</v>
      </c>
      <c r="J150" s="1891">
        <f>'9-A.Training Sub-Annex'!K58</f>
        <v>0</v>
      </c>
      <c r="K150" s="1891">
        <f>'9-A.Training Sub-Annex'!L58</f>
        <v>0</v>
      </c>
      <c r="L150" s="939">
        <f>'9-A.Training Sub-Annex'!M58</f>
        <v>0</v>
      </c>
      <c r="M150" s="1891">
        <f>'9-A.Training Sub-Annex'!N58</f>
        <v>0</v>
      </c>
      <c r="N150" s="1891">
        <f>'9-A.Training Sub-Annex'!O58</f>
        <v>0</v>
      </c>
      <c r="O150" s="939">
        <f>'9-A.Training Sub-Annex'!P58</f>
        <v>0</v>
      </c>
      <c r="P150" s="1889">
        <f>'9-A.Training Sub-Annex'!Q58</f>
        <v>0</v>
      </c>
      <c r="Q150" s="124"/>
      <c r="R150" s="1880">
        <v>0</v>
      </c>
    </row>
    <row r="151" spans="1:20" s="828" customFormat="1" x14ac:dyDescent="0.2">
      <c r="A151" s="4047"/>
      <c r="B151" s="1889" t="str">
        <f>'9-A.Training Sub-Annex'!C59</f>
        <v>A.2.8</v>
      </c>
      <c r="C151" s="1890" t="str">
        <f>'9-A.Training Sub-Annex'!D59</f>
        <v xml:space="preserve">Child Death Review Trainings </v>
      </c>
      <c r="D151" s="1891" t="str">
        <f>'9-A.Training Sub-Annex'!E59</f>
        <v>RCH</v>
      </c>
      <c r="E151" s="1891" t="str">
        <f>'9-A.Training Sub-Annex'!F59</f>
        <v>CH</v>
      </c>
      <c r="F151" s="1891">
        <f>'9-A.Training Sub-Annex'!G59</f>
        <v>0</v>
      </c>
      <c r="G151" s="1891">
        <f>'9-A.Training Sub-Annex'!H59</f>
        <v>0</v>
      </c>
      <c r="H151" s="1891">
        <f>'9-A.Training Sub-Annex'!I59</f>
        <v>0</v>
      </c>
      <c r="I151" s="1891">
        <f>'9-A.Training Sub-Annex'!J59</f>
        <v>0</v>
      </c>
      <c r="J151" s="1891">
        <f>'9-A.Training Sub-Annex'!K59</f>
        <v>0</v>
      </c>
      <c r="K151" s="1891">
        <f>'9-A.Training Sub-Annex'!L59</f>
        <v>0</v>
      </c>
      <c r="L151" s="939">
        <f>'9-A.Training Sub-Annex'!M59</f>
        <v>0</v>
      </c>
      <c r="M151" s="1891">
        <f>'9-A.Training Sub-Annex'!N59</f>
        <v>0</v>
      </c>
      <c r="N151" s="1891">
        <f>'9-A.Training Sub-Annex'!O59</f>
        <v>0</v>
      </c>
      <c r="O151" s="939">
        <f>'9-A.Training Sub-Annex'!P59</f>
        <v>0</v>
      </c>
      <c r="P151" s="1889">
        <f>'9-A.Training Sub-Annex'!Q59</f>
        <v>0</v>
      </c>
      <c r="Q151" s="2044"/>
      <c r="R151" s="1880"/>
    </row>
    <row r="152" spans="1:20" s="828" customFormat="1" ht="60" x14ac:dyDescent="0.2">
      <c r="A152" s="4047"/>
      <c r="B152" s="1889" t="str">
        <f>'9-A.Training Sub-Annex'!C60</f>
        <v>A.2.11.1</v>
      </c>
      <c r="C152" s="1890" t="str">
        <f>'9-A.Training Sub-Annex'!D60</f>
        <v>Provision for State &amp; District level (Training and Workshops) (Dissemination to be budgeted under IEC; Meetings/ review meetings to be budgeted under PM)</v>
      </c>
      <c r="D152" s="1891" t="str">
        <f>'9-A.Training Sub-Annex'!E60</f>
        <v>RCH</v>
      </c>
      <c r="E152" s="1891" t="str">
        <f>'9-A.Training Sub-Annex'!F60</f>
        <v>CH</v>
      </c>
      <c r="F152" s="1891">
        <f>'9-A.Training Sub-Annex'!G60</f>
        <v>0</v>
      </c>
      <c r="G152" s="1891">
        <f>'9-A.Training Sub-Annex'!H60</f>
        <v>0</v>
      </c>
      <c r="H152" s="1891">
        <f>'9-A.Training Sub-Annex'!I60</f>
        <v>0</v>
      </c>
      <c r="I152" s="1891">
        <f>'9-A.Training Sub-Annex'!J60</f>
        <v>0</v>
      </c>
      <c r="J152" s="1891">
        <f>'9-A.Training Sub-Annex'!K60</f>
        <v>0</v>
      </c>
      <c r="K152" s="1891">
        <f>'9-A.Training Sub-Annex'!L60</f>
        <v>0</v>
      </c>
      <c r="L152" s="939">
        <f>'9-A.Training Sub-Annex'!M60</f>
        <v>0</v>
      </c>
      <c r="M152" s="1891">
        <f>'9-A.Training Sub-Annex'!N60</f>
        <v>0</v>
      </c>
      <c r="N152" s="1891">
        <f>'9-A.Training Sub-Annex'!O60</f>
        <v>0</v>
      </c>
      <c r="O152" s="939">
        <f>'9-A.Training Sub-Annex'!P60</f>
        <v>0</v>
      </c>
      <c r="P152" s="1889">
        <f>'9-A.Training Sub-Annex'!Q60</f>
        <v>0</v>
      </c>
      <c r="Q152" s="124"/>
      <c r="R152" s="1906"/>
      <c r="T152" s="3314"/>
    </row>
    <row r="153" spans="1:20" s="828" customFormat="1" x14ac:dyDescent="0.2">
      <c r="A153" s="4047"/>
      <c r="B153" s="1889" t="str">
        <f>'9-A.Training Sub-Annex'!C61</f>
        <v>A.9.5.1.1</v>
      </c>
      <c r="C153" s="1890" t="str">
        <f>'9-A.Training Sub-Annex'!D61</f>
        <v>TOT on IMNCI (pre-service and in-service)</v>
      </c>
      <c r="D153" s="1891" t="str">
        <f>'9-A.Training Sub-Annex'!E61</f>
        <v>RCH</v>
      </c>
      <c r="E153" s="1891" t="str">
        <f>'9-A.Training Sub-Annex'!F61</f>
        <v>CH</v>
      </c>
      <c r="F153" s="1891">
        <f>'9-A.Training Sub-Annex'!G61</f>
        <v>0</v>
      </c>
      <c r="G153" s="1891">
        <f>'9-A.Training Sub-Annex'!H61</f>
        <v>0</v>
      </c>
      <c r="H153" s="1891">
        <f>'9-A.Training Sub-Annex'!I61</f>
        <v>0</v>
      </c>
      <c r="I153" s="1891">
        <f>'9-A.Training Sub-Annex'!J61</f>
        <v>0</v>
      </c>
      <c r="J153" s="1891">
        <f>'9-A.Training Sub-Annex'!K61</f>
        <v>0</v>
      </c>
      <c r="K153" s="1891">
        <f>'9-A.Training Sub-Annex'!L61</f>
        <v>0</v>
      </c>
      <c r="L153" s="939">
        <f>'9-A.Training Sub-Annex'!M61</f>
        <v>0</v>
      </c>
      <c r="M153" s="1891">
        <f>'9-A.Training Sub-Annex'!N61</f>
        <v>0</v>
      </c>
      <c r="N153" s="1891">
        <f>'9-A.Training Sub-Annex'!O61</f>
        <v>0</v>
      </c>
      <c r="O153" s="939">
        <f>'9-A.Training Sub-Annex'!P61</f>
        <v>0</v>
      </c>
      <c r="P153" s="1889">
        <f>'9-A.Training Sub-Annex'!Q61</f>
        <v>0</v>
      </c>
      <c r="Q153" s="124"/>
      <c r="R153" s="1880">
        <v>0</v>
      </c>
    </row>
    <row r="154" spans="1:20" s="828" customFormat="1" ht="78" customHeight="1" x14ac:dyDescent="0.2">
      <c r="A154" s="4047"/>
      <c r="B154" s="1889" t="str">
        <f>'9-A.Training Sub-Annex'!C62</f>
        <v>A.9.5.1.2</v>
      </c>
      <c r="C154" s="1890" t="str">
        <f>'9-A.Training Sub-Annex'!D62</f>
        <v>IMNCI Training for ANMs / LHVs</v>
      </c>
      <c r="D154" s="1891" t="str">
        <f>'9-A.Training Sub-Annex'!E62</f>
        <v>RCH</v>
      </c>
      <c r="E154" s="1891" t="str">
        <f>'9-A.Training Sub-Annex'!F62</f>
        <v>CH</v>
      </c>
      <c r="F154" s="1891">
        <f>'9-A.Training Sub-Annex'!G62</f>
        <v>0</v>
      </c>
      <c r="G154" s="1891">
        <f>'9-A.Training Sub-Annex'!H62</f>
        <v>0</v>
      </c>
      <c r="H154" s="1891">
        <f>'9-A.Training Sub-Annex'!I62</f>
        <v>0</v>
      </c>
      <c r="I154" s="1891">
        <f>'9-A.Training Sub-Annex'!J62</f>
        <v>0</v>
      </c>
      <c r="J154" s="1891">
        <f>'9-A.Training Sub-Annex'!K62</f>
        <v>0</v>
      </c>
      <c r="K154" s="1891">
        <f>'9-A.Training Sub-Annex'!L62</f>
        <v>0</v>
      </c>
      <c r="L154" s="939">
        <f>'9-A.Training Sub-Annex'!M62</f>
        <v>0</v>
      </c>
      <c r="M154" s="1891">
        <f>'9-A.Training Sub-Annex'!N62</f>
        <v>0</v>
      </c>
      <c r="N154" s="1891">
        <f>'9-A.Training Sub-Annex'!O62</f>
        <v>0</v>
      </c>
      <c r="O154" s="939">
        <f>'9-A.Training Sub-Annex'!P62</f>
        <v>0</v>
      </c>
      <c r="P154" s="1889">
        <f>'9-A.Training Sub-Annex'!Q62</f>
        <v>0</v>
      </c>
      <c r="Q154" s="124"/>
      <c r="R154" s="1906"/>
      <c r="T154" s="3314"/>
    </row>
    <row r="155" spans="1:20" s="828" customFormat="1" x14ac:dyDescent="0.2">
      <c r="A155" s="4047"/>
      <c r="B155" s="1889" t="str">
        <f>'9-A.Training Sub-Annex'!C63</f>
        <v>A.9.5.2.1</v>
      </c>
      <c r="C155" s="1890" t="str">
        <f>'9-A.Training Sub-Annex'!D63</f>
        <v>TOT on F-IMNCI</v>
      </c>
      <c r="D155" s="1891" t="str">
        <f>'9-A.Training Sub-Annex'!E63</f>
        <v>RCH</v>
      </c>
      <c r="E155" s="1891" t="str">
        <f>'9-A.Training Sub-Annex'!F63</f>
        <v>CH</v>
      </c>
      <c r="F155" s="1891">
        <f>'9-A.Training Sub-Annex'!G63</f>
        <v>0</v>
      </c>
      <c r="G155" s="1891">
        <f>'9-A.Training Sub-Annex'!H63</f>
        <v>0</v>
      </c>
      <c r="H155" s="1891">
        <f>'9-A.Training Sub-Annex'!I63</f>
        <v>0</v>
      </c>
      <c r="I155" s="1891">
        <f>'9-A.Training Sub-Annex'!J63</f>
        <v>0</v>
      </c>
      <c r="J155" s="1891">
        <f>'9-A.Training Sub-Annex'!K63</f>
        <v>0</v>
      </c>
      <c r="K155" s="1891">
        <f>'9-A.Training Sub-Annex'!L63</f>
        <v>0</v>
      </c>
      <c r="L155" s="939">
        <f>'9-A.Training Sub-Annex'!M63</f>
        <v>0</v>
      </c>
      <c r="M155" s="1891">
        <f>'9-A.Training Sub-Annex'!N63</f>
        <v>0</v>
      </c>
      <c r="N155" s="1891">
        <f>'9-A.Training Sub-Annex'!O63</f>
        <v>0</v>
      </c>
      <c r="O155" s="939">
        <f>'9-A.Training Sub-Annex'!P63</f>
        <v>0</v>
      </c>
      <c r="P155" s="1889">
        <f>'9-A.Training Sub-Annex'!Q63</f>
        <v>0</v>
      </c>
      <c r="Q155" s="124"/>
      <c r="R155" s="1880">
        <v>0</v>
      </c>
    </row>
    <row r="156" spans="1:20" s="828" customFormat="1" x14ac:dyDescent="0.2">
      <c r="A156" s="4047"/>
      <c r="B156" s="1889" t="str">
        <f>'9-A.Training Sub-Annex'!C64</f>
        <v>A.9.5.2.2</v>
      </c>
      <c r="C156" s="1890" t="str">
        <f>'9-A.Training Sub-Annex'!D64</f>
        <v>F-IMNCI Training for Medical Officers</v>
      </c>
      <c r="D156" s="1891" t="str">
        <f>'9-A.Training Sub-Annex'!E64</f>
        <v>RCH</v>
      </c>
      <c r="E156" s="1891" t="str">
        <f>'9-A.Training Sub-Annex'!F64</f>
        <v>CH</v>
      </c>
      <c r="F156" s="1891">
        <f>'9-A.Training Sub-Annex'!G64</f>
        <v>0</v>
      </c>
      <c r="G156" s="1891">
        <f>'9-A.Training Sub-Annex'!H64</f>
        <v>0</v>
      </c>
      <c r="H156" s="1891">
        <f>'9-A.Training Sub-Annex'!I64</f>
        <v>0</v>
      </c>
      <c r="I156" s="1891">
        <f>'9-A.Training Sub-Annex'!J64</f>
        <v>0</v>
      </c>
      <c r="J156" s="1891">
        <f>'9-A.Training Sub-Annex'!K64</f>
        <v>0</v>
      </c>
      <c r="K156" s="1891">
        <f>'9-A.Training Sub-Annex'!L64</f>
        <v>0</v>
      </c>
      <c r="L156" s="939">
        <f>'9-A.Training Sub-Annex'!M64</f>
        <v>0</v>
      </c>
      <c r="M156" s="1891">
        <f>'9-A.Training Sub-Annex'!N64</f>
        <v>0</v>
      </c>
      <c r="N156" s="1891">
        <f>'9-A.Training Sub-Annex'!O64</f>
        <v>0</v>
      </c>
      <c r="O156" s="939">
        <f>'9-A.Training Sub-Annex'!P64</f>
        <v>0</v>
      </c>
      <c r="P156" s="1889">
        <f>'9-A.Training Sub-Annex'!Q64</f>
        <v>0</v>
      </c>
      <c r="Q156" s="124"/>
      <c r="R156" s="1880">
        <v>0</v>
      </c>
    </row>
    <row r="157" spans="1:20" s="828" customFormat="1" x14ac:dyDescent="0.2">
      <c r="A157" s="4047"/>
      <c r="B157" s="1889" t="str">
        <f>'9-A.Training Sub-Annex'!C65</f>
        <v>A.9.5.2.3</v>
      </c>
      <c r="C157" s="1890" t="str">
        <f>'9-A.Training Sub-Annex'!D65</f>
        <v>F-IMNCI Training for Staff Nurses</v>
      </c>
      <c r="D157" s="1891" t="str">
        <f>'9-A.Training Sub-Annex'!E65</f>
        <v>RCH</v>
      </c>
      <c r="E157" s="1891" t="str">
        <f>'9-A.Training Sub-Annex'!F65</f>
        <v>CH</v>
      </c>
      <c r="F157" s="1891">
        <f>'9-A.Training Sub-Annex'!G65</f>
        <v>0</v>
      </c>
      <c r="G157" s="1891">
        <f>'9-A.Training Sub-Annex'!H65</f>
        <v>0</v>
      </c>
      <c r="H157" s="1891">
        <f>'9-A.Training Sub-Annex'!I65</f>
        <v>0</v>
      </c>
      <c r="I157" s="1891">
        <f>'9-A.Training Sub-Annex'!J65</f>
        <v>0</v>
      </c>
      <c r="J157" s="1891">
        <f>'9-A.Training Sub-Annex'!K65</f>
        <v>0</v>
      </c>
      <c r="K157" s="1891">
        <f>'9-A.Training Sub-Annex'!L65</f>
        <v>0</v>
      </c>
      <c r="L157" s="939">
        <f>'9-A.Training Sub-Annex'!M65</f>
        <v>0</v>
      </c>
      <c r="M157" s="1891">
        <f>'9-A.Training Sub-Annex'!N65</f>
        <v>0</v>
      </c>
      <c r="N157" s="1891">
        <f>'9-A.Training Sub-Annex'!O65</f>
        <v>0</v>
      </c>
      <c r="O157" s="939">
        <f>'9-A.Training Sub-Annex'!P65</f>
        <v>0</v>
      </c>
      <c r="P157" s="1889">
        <f>'9-A.Training Sub-Annex'!Q65</f>
        <v>0</v>
      </c>
      <c r="Q157" s="124"/>
      <c r="R157" s="1880">
        <v>0</v>
      </c>
    </row>
    <row r="158" spans="1:20" s="828" customFormat="1" ht="30" x14ac:dyDescent="0.2">
      <c r="A158" s="4047"/>
      <c r="B158" s="1889" t="str">
        <f>'9-A.Training Sub-Annex'!C66</f>
        <v>A.9.5.4.1</v>
      </c>
      <c r="C158" s="1890" t="str">
        <f>'9-A.Training Sub-Annex'!D66</f>
        <v>Training on facility based management of Severe Acute Malnutrition (including refreshers)</v>
      </c>
      <c r="D158" s="1891" t="str">
        <f>'9-A.Training Sub-Annex'!E66</f>
        <v>RCH</v>
      </c>
      <c r="E158" s="1891" t="str">
        <f>'9-A.Training Sub-Annex'!F66</f>
        <v>CH</v>
      </c>
      <c r="F158" s="1891">
        <f>'9-A.Training Sub-Annex'!G66</f>
        <v>0</v>
      </c>
      <c r="G158" s="1891">
        <f>'9-A.Training Sub-Annex'!H66</f>
        <v>0</v>
      </c>
      <c r="H158" s="1891">
        <f>'9-A.Training Sub-Annex'!I66</f>
        <v>0</v>
      </c>
      <c r="I158" s="1891">
        <f>'9-A.Training Sub-Annex'!J66</f>
        <v>0</v>
      </c>
      <c r="J158" s="1891">
        <f>'9-A.Training Sub-Annex'!K66</f>
        <v>0</v>
      </c>
      <c r="K158" s="1891">
        <f>'9-A.Training Sub-Annex'!L66</f>
        <v>0</v>
      </c>
      <c r="L158" s="939">
        <f>'9-A.Training Sub-Annex'!M66</f>
        <v>0</v>
      </c>
      <c r="M158" s="1891">
        <f>'9-A.Training Sub-Annex'!N66</f>
        <v>0</v>
      </c>
      <c r="N158" s="1891">
        <f>'9-A.Training Sub-Annex'!O66</f>
        <v>0</v>
      </c>
      <c r="O158" s="939">
        <f>'9-A.Training Sub-Annex'!P66</f>
        <v>0</v>
      </c>
      <c r="P158" s="1889">
        <f>'9-A.Training Sub-Annex'!Q66</f>
        <v>0</v>
      </c>
      <c r="Q158" s="124"/>
      <c r="R158" s="1880">
        <v>0</v>
      </c>
    </row>
    <row r="159" spans="1:20" s="828" customFormat="1" x14ac:dyDescent="0.2">
      <c r="A159" s="4047"/>
      <c r="B159" s="1889" t="str">
        <f>'9-A.Training Sub-Annex'!C67</f>
        <v>A.9.5.5.1.1</v>
      </c>
      <c r="C159" s="1890" t="str">
        <f>'9-A.Training Sub-Annex'!D67</f>
        <v>TOT for NSSK</v>
      </c>
      <c r="D159" s="1891" t="str">
        <f>'9-A.Training Sub-Annex'!E67</f>
        <v>RCH</v>
      </c>
      <c r="E159" s="1891" t="str">
        <f>'9-A.Training Sub-Annex'!F67</f>
        <v>CH</v>
      </c>
      <c r="F159" s="1891">
        <f>'9-A.Training Sub-Annex'!G67</f>
        <v>0</v>
      </c>
      <c r="G159" s="1891">
        <f>'9-A.Training Sub-Annex'!H67</f>
        <v>0</v>
      </c>
      <c r="H159" s="1891">
        <f>'9-A.Training Sub-Annex'!I67</f>
        <v>0</v>
      </c>
      <c r="I159" s="1891">
        <f>'9-A.Training Sub-Annex'!J67</f>
        <v>0</v>
      </c>
      <c r="J159" s="1891">
        <f>'9-A.Training Sub-Annex'!K67</f>
        <v>0</v>
      </c>
      <c r="K159" s="1891">
        <f>'9-A.Training Sub-Annex'!L67</f>
        <v>0</v>
      </c>
      <c r="L159" s="939">
        <f>'9-A.Training Sub-Annex'!M67</f>
        <v>0</v>
      </c>
      <c r="M159" s="1891">
        <f>'9-A.Training Sub-Annex'!N67</f>
        <v>0</v>
      </c>
      <c r="N159" s="1891">
        <f>'9-A.Training Sub-Annex'!O67</f>
        <v>0</v>
      </c>
      <c r="O159" s="939">
        <f>'9-A.Training Sub-Annex'!P67</f>
        <v>0</v>
      </c>
      <c r="P159" s="1889">
        <f>'9-A.Training Sub-Annex'!Q67</f>
        <v>0</v>
      </c>
      <c r="Q159" s="124"/>
      <c r="R159" s="1880">
        <v>0</v>
      </c>
    </row>
    <row r="160" spans="1:20" s="828" customFormat="1" ht="87.75" customHeight="1" x14ac:dyDescent="0.2">
      <c r="A160" s="4047"/>
      <c r="B160" s="1889" t="str">
        <f>'9-A.Training Sub-Annex'!C68</f>
        <v>A.9.5.5.1.2</v>
      </c>
      <c r="C160" s="1890" t="str">
        <f>'9-A.Training Sub-Annex'!D68</f>
        <v>NSSK Training for Medical Officers</v>
      </c>
      <c r="D160" s="1891" t="str">
        <f>'9-A.Training Sub-Annex'!E68</f>
        <v>RCH</v>
      </c>
      <c r="E160" s="1891" t="str">
        <f>'9-A.Training Sub-Annex'!F68</f>
        <v>CH</v>
      </c>
      <c r="F160" s="1891">
        <f>'9-A.Training Sub-Annex'!G68</f>
        <v>0</v>
      </c>
      <c r="G160" s="1891">
        <f>'9-A.Training Sub-Annex'!H68</f>
        <v>0</v>
      </c>
      <c r="H160" s="1891">
        <f>'9-A.Training Sub-Annex'!I68</f>
        <v>0</v>
      </c>
      <c r="I160" s="1891">
        <f>'9-A.Training Sub-Annex'!J68</f>
        <v>0</v>
      </c>
      <c r="J160" s="1891">
        <f>'9-A.Training Sub-Annex'!K68</f>
        <v>0</v>
      </c>
      <c r="K160" s="1891">
        <f>'9-A.Training Sub-Annex'!L68</f>
        <v>0</v>
      </c>
      <c r="L160" s="939">
        <f>'9-A.Training Sub-Annex'!M68</f>
        <v>0</v>
      </c>
      <c r="M160" s="1891">
        <f>'9-A.Training Sub-Annex'!N68</f>
        <v>0</v>
      </c>
      <c r="N160" s="1891">
        <f>'9-A.Training Sub-Annex'!O68</f>
        <v>0</v>
      </c>
      <c r="O160" s="939">
        <f>'9-A.Training Sub-Annex'!P68</f>
        <v>0</v>
      </c>
      <c r="P160" s="1889">
        <f>'9-A.Training Sub-Annex'!Q68</f>
        <v>0</v>
      </c>
      <c r="Q160" s="124"/>
      <c r="R160" s="1906"/>
      <c r="T160" s="3314"/>
    </row>
    <row r="161" spans="1:20" s="828" customFormat="1" x14ac:dyDescent="0.2">
      <c r="A161" s="4047"/>
      <c r="B161" s="1889" t="str">
        <f>'9-A.Training Sub-Annex'!C69</f>
        <v>A.9.5.5.1.3</v>
      </c>
      <c r="C161" s="1890" t="str">
        <f>'9-A.Training Sub-Annex'!D69</f>
        <v>NSSK Training for SNs</v>
      </c>
      <c r="D161" s="1891" t="str">
        <f>'9-A.Training Sub-Annex'!E69</f>
        <v>RCH</v>
      </c>
      <c r="E161" s="1891" t="str">
        <f>'9-A.Training Sub-Annex'!F69</f>
        <v>CH</v>
      </c>
      <c r="F161" s="1891">
        <f>'9-A.Training Sub-Annex'!G69</f>
        <v>0</v>
      </c>
      <c r="G161" s="1891">
        <f>'9-A.Training Sub-Annex'!H69</f>
        <v>0</v>
      </c>
      <c r="H161" s="1891">
        <f>'9-A.Training Sub-Annex'!I69</f>
        <v>0</v>
      </c>
      <c r="I161" s="1891">
        <f>'9-A.Training Sub-Annex'!J69</f>
        <v>0</v>
      </c>
      <c r="J161" s="1891">
        <f>'9-A.Training Sub-Annex'!K69</f>
        <v>0</v>
      </c>
      <c r="K161" s="1891">
        <f>'9-A.Training Sub-Annex'!L69</f>
        <v>0</v>
      </c>
      <c r="L161" s="939">
        <f>'9-A.Training Sub-Annex'!M69</f>
        <v>0</v>
      </c>
      <c r="M161" s="1891">
        <f>'9-A.Training Sub-Annex'!N69</f>
        <v>0</v>
      </c>
      <c r="N161" s="1891">
        <f>'9-A.Training Sub-Annex'!O69</f>
        <v>0</v>
      </c>
      <c r="O161" s="939">
        <f>'9-A.Training Sub-Annex'!P69</f>
        <v>0</v>
      </c>
      <c r="P161" s="1889">
        <f>'9-A.Training Sub-Annex'!Q69</f>
        <v>0</v>
      </c>
      <c r="Q161" s="124"/>
      <c r="R161" s="1880"/>
    </row>
    <row r="162" spans="1:20" s="828" customFormat="1" x14ac:dyDescent="0.2">
      <c r="A162" s="4047"/>
      <c r="B162" s="1889" t="str">
        <f>'9-A.Training Sub-Annex'!C70</f>
        <v>A.9.5.5.1.4</v>
      </c>
      <c r="C162" s="1890" t="str">
        <f>'9-A.Training Sub-Annex'!D70</f>
        <v>NSSK Training for ANMs</v>
      </c>
      <c r="D162" s="1891" t="str">
        <f>'9-A.Training Sub-Annex'!E70</f>
        <v>RCH</v>
      </c>
      <c r="E162" s="1891" t="str">
        <f>'9-A.Training Sub-Annex'!F70</f>
        <v>CH</v>
      </c>
      <c r="F162" s="1891">
        <f>'9-A.Training Sub-Annex'!G70</f>
        <v>0</v>
      </c>
      <c r="G162" s="1891">
        <f>'9-A.Training Sub-Annex'!H70</f>
        <v>0</v>
      </c>
      <c r="H162" s="1891">
        <f>'9-A.Training Sub-Annex'!I70</f>
        <v>0</v>
      </c>
      <c r="I162" s="1891">
        <f>'9-A.Training Sub-Annex'!J70</f>
        <v>0</v>
      </c>
      <c r="J162" s="1891">
        <f>'9-A.Training Sub-Annex'!K70</f>
        <v>0</v>
      </c>
      <c r="K162" s="1891">
        <f>'9-A.Training Sub-Annex'!L70</f>
        <v>0</v>
      </c>
      <c r="L162" s="939">
        <f>'9-A.Training Sub-Annex'!M70</f>
        <v>0</v>
      </c>
      <c r="M162" s="1891">
        <f>'9-A.Training Sub-Annex'!N70</f>
        <v>0</v>
      </c>
      <c r="N162" s="1891">
        <f>'9-A.Training Sub-Annex'!O70</f>
        <v>0</v>
      </c>
      <c r="O162" s="939">
        <f>'9-A.Training Sub-Annex'!P70</f>
        <v>0</v>
      </c>
      <c r="P162" s="1889">
        <f>'9-A.Training Sub-Annex'!Q70</f>
        <v>0</v>
      </c>
      <c r="Q162" s="124"/>
      <c r="R162" s="1880"/>
    </row>
    <row r="163" spans="1:20" s="828" customFormat="1" ht="81.75" customHeight="1" x14ac:dyDescent="0.2">
      <c r="A163" s="4047"/>
      <c r="B163" s="1889" t="str">
        <f>'9-A.Training Sub-Annex'!C71</f>
        <v>A.9.5.5.2.a</v>
      </c>
      <c r="C163" s="1890" t="str">
        <f>'9-A.Training Sub-Annex'!D71</f>
        <v xml:space="preserve">4 days Training for facility based new-born care </v>
      </c>
      <c r="D163" s="1891" t="str">
        <f>'9-A.Training Sub-Annex'!E71</f>
        <v>RCH</v>
      </c>
      <c r="E163" s="1891" t="str">
        <f>'9-A.Training Sub-Annex'!F71</f>
        <v>CH</v>
      </c>
      <c r="F163" s="1891">
        <f>'9-A.Training Sub-Annex'!G71</f>
        <v>0</v>
      </c>
      <c r="G163" s="1891">
        <f>'9-A.Training Sub-Annex'!H71</f>
        <v>0</v>
      </c>
      <c r="H163" s="1891">
        <f>'9-A.Training Sub-Annex'!I71</f>
        <v>0</v>
      </c>
      <c r="I163" s="1891">
        <f>'9-A.Training Sub-Annex'!J71</f>
        <v>0</v>
      </c>
      <c r="J163" s="1891">
        <f>'9-A.Training Sub-Annex'!K71</f>
        <v>0</v>
      </c>
      <c r="K163" s="1891">
        <f>'9-A.Training Sub-Annex'!L71</f>
        <v>0</v>
      </c>
      <c r="L163" s="939">
        <f>'9-A.Training Sub-Annex'!M71</f>
        <v>0</v>
      </c>
      <c r="M163" s="1891">
        <f>'9-A.Training Sub-Annex'!N71</f>
        <v>0</v>
      </c>
      <c r="N163" s="1891">
        <f>'9-A.Training Sub-Annex'!O71</f>
        <v>0</v>
      </c>
      <c r="O163" s="939">
        <f>'9-A.Training Sub-Annex'!P71</f>
        <v>0</v>
      </c>
      <c r="P163" s="1889">
        <f>'9-A.Training Sub-Annex'!Q71</f>
        <v>0</v>
      </c>
      <c r="Q163" s="124"/>
      <c r="R163" s="1906"/>
      <c r="T163" s="3314"/>
    </row>
    <row r="164" spans="1:20" s="828" customFormat="1" ht="90.75" customHeight="1" x14ac:dyDescent="0.2">
      <c r="A164" s="4047"/>
      <c r="B164" s="1889" t="str">
        <f>'9-A.Training Sub-Annex'!C72</f>
        <v>A.9.5.5.2.b</v>
      </c>
      <c r="C164" s="1890" t="str">
        <f>'9-A.Training Sub-Annex'!D72</f>
        <v>2 weeks observership for facility based new-born care</v>
      </c>
      <c r="D164" s="1891" t="str">
        <f>'9-A.Training Sub-Annex'!E72</f>
        <v>RCH</v>
      </c>
      <c r="E164" s="1891" t="str">
        <f>'9-A.Training Sub-Annex'!F72</f>
        <v>CH</v>
      </c>
      <c r="F164" s="1891">
        <f>'9-A.Training Sub-Annex'!G72</f>
        <v>0</v>
      </c>
      <c r="G164" s="1891">
        <f>'9-A.Training Sub-Annex'!H72</f>
        <v>0</v>
      </c>
      <c r="H164" s="1891">
        <f>'9-A.Training Sub-Annex'!I72</f>
        <v>0</v>
      </c>
      <c r="I164" s="1891">
        <f>'9-A.Training Sub-Annex'!J72</f>
        <v>0</v>
      </c>
      <c r="J164" s="1891">
        <f>'9-A.Training Sub-Annex'!K72</f>
        <v>0</v>
      </c>
      <c r="K164" s="1891">
        <f>'9-A.Training Sub-Annex'!L72</f>
        <v>0</v>
      </c>
      <c r="L164" s="939">
        <f>'9-A.Training Sub-Annex'!M72</f>
        <v>0</v>
      </c>
      <c r="M164" s="1891">
        <f>'9-A.Training Sub-Annex'!N72</f>
        <v>0</v>
      </c>
      <c r="N164" s="1891">
        <f>'9-A.Training Sub-Annex'!O72</f>
        <v>0</v>
      </c>
      <c r="O164" s="939">
        <f>'9-A.Training Sub-Annex'!P72</f>
        <v>0</v>
      </c>
      <c r="P164" s="1889">
        <f>'9-A.Training Sub-Annex'!Q72</f>
        <v>0</v>
      </c>
      <c r="Q164" s="124"/>
      <c r="R164" s="1906"/>
      <c r="T164" s="3314"/>
    </row>
    <row r="165" spans="1:20" s="828" customFormat="1" ht="107.25" customHeight="1" x14ac:dyDescent="0.2">
      <c r="A165" s="4047"/>
      <c r="B165" s="1889" t="str">
        <f>'9-A.Training Sub-Annex'!C73</f>
        <v>A.9.5.5.2.c</v>
      </c>
      <c r="C165" s="1890" t="str">
        <f>'9-A.Training Sub-Annex'!D73</f>
        <v>4 days Trainings on IYCF for MOs, SNs, ANMs of all DPs and SCs (ToT, 4 days IYCF Trainings &amp; 1 day Sensitisation on MAA Program)</v>
      </c>
      <c r="D165" s="1891" t="str">
        <f>'9-A.Training Sub-Annex'!E73</f>
        <v>RCH</v>
      </c>
      <c r="E165" s="1891" t="str">
        <f>'9-A.Training Sub-Annex'!F73</f>
        <v>CH</v>
      </c>
      <c r="F165" s="1891">
        <f>'9-A.Training Sub-Annex'!G73</f>
        <v>0</v>
      </c>
      <c r="G165" s="1891">
        <f>'9-A.Training Sub-Annex'!H73</f>
        <v>0</v>
      </c>
      <c r="H165" s="1891">
        <f>'9-A.Training Sub-Annex'!I73</f>
        <v>0</v>
      </c>
      <c r="I165" s="1891">
        <f>'9-A.Training Sub-Annex'!J73</f>
        <v>0</v>
      </c>
      <c r="J165" s="1891">
        <f>'9-A.Training Sub-Annex'!K73</f>
        <v>0</v>
      </c>
      <c r="K165" s="1891">
        <f>'9-A.Training Sub-Annex'!L73</f>
        <v>0</v>
      </c>
      <c r="L165" s="939">
        <f>'9-A.Training Sub-Annex'!M73</f>
        <v>0</v>
      </c>
      <c r="M165" s="1891">
        <f>'9-A.Training Sub-Annex'!N73</f>
        <v>0</v>
      </c>
      <c r="N165" s="1891">
        <f>'9-A.Training Sub-Annex'!O73</f>
        <v>0</v>
      </c>
      <c r="O165" s="939">
        <f>'9-A.Training Sub-Annex'!P73</f>
        <v>0</v>
      </c>
      <c r="P165" s="1889">
        <f>'9-A.Training Sub-Annex'!Q73</f>
        <v>0</v>
      </c>
      <c r="Q165" s="3293"/>
      <c r="R165" s="1906"/>
      <c r="T165" s="3314"/>
    </row>
    <row r="166" spans="1:20" s="828" customFormat="1" ht="52.5" customHeight="1" x14ac:dyDescent="0.2">
      <c r="A166" s="4047"/>
      <c r="B166" s="1889" t="str">
        <f>'9-A.Training Sub-Annex'!C74</f>
        <v>A.9.5.5.2.d</v>
      </c>
      <c r="C166" s="1890" t="str">
        <f>'9-A.Training Sub-Annex'!D74</f>
        <v>Orientation on National Deworming Day</v>
      </c>
      <c r="D166" s="1891" t="str">
        <f>'9-A.Training Sub-Annex'!E74</f>
        <v>RCH</v>
      </c>
      <c r="E166" s="1891" t="str">
        <f>'9-A.Training Sub-Annex'!F74</f>
        <v>CH</v>
      </c>
      <c r="F166" s="1891">
        <f>'9-A.Training Sub-Annex'!G74</f>
        <v>0</v>
      </c>
      <c r="G166" s="1891">
        <f>'9-A.Training Sub-Annex'!H74</f>
        <v>0</v>
      </c>
      <c r="H166" s="1891">
        <f>'9-A.Training Sub-Annex'!I74</f>
        <v>0</v>
      </c>
      <c r="I166" s="1891">
        <f>'9-A.Training Sub-Annex'!J74</f>
        <v>0</v>
      </c>
      <c r="J166" s="1891">
        <f>'9-A.Training Sub-Annex'!K74</f>
        <v>0</v>
      </c>
      <c r="K166" s="1891">
        <f>'9-A.Training Sub-Annex'!L74</f>
        <v>0</v>
      </c>
      <c r="L166" s="939">
        <f>'9-A.Training Sub-Annex'!M74</f>
        <v>0</v>
      </c>
      <c r="M166" s="1891">
        <f>'9-A.Training Sub-Annex'!N74</f>
        <v>0</v>
      </c>
      <c r="N166" s="1891">
        <f>'9-A.Training Sub-Annex'!O74</f>
        <v>0</v>
      </c>
      <c r="O166" s="939">
        <f>'9-A.Training Sub-Annex'!P74</f>
        <v>0</v>
      </c>
      <c r="P166" s="1889">
        <f>'9-A.Training Sub-Annex'!Q74</f>
        <v>0</v>
      </c>
      <c r="Q166" s="124"/>
      <c r="R166" s="3297"/>
      <c r="T166" s="3315"/>
    </row>
    <row r="167" spans="1:20" s="828" customFormat="1" x14ac:dyDescent="0.2">
      <c r="A167" s="4047"/>
      <c r="B167" s="1889">
        <f>'9-A.Training Sub-Annex'!C75</f>
        <v>0</v>
      </c>
      <c r="C167" s="1890" t="str">
        <f>'9-A.Training Sub-Annex'!D75</f>
        <v>TOT (MO, SN) for Family participatory care (KMC)</v>
      </c>
      <c r="D167" s="1891" t="str">
        <f>'9-A.Training Sub-Annex'!E75</f>
        <v>RCH</v>
      </c>
      <c r="E167" s="1891" t="str">
        <f>'9-A.Training Sub-Annex'!F75</f>
        <v>CH</v>
      </c>
      <c r="F167" s="1891">
        <f>'9-A.Training Sub-Annex'!G75</f>
        <v>0</v>
      </c>
      <c r="G167" s="1891">
        <f>'9-A.Training Sub-Annex'!H75</f>
        <v>0</v>
      </c>
      <c r="H167" s="1891">
        <f>'9-A.Training Sub-Annex'!I75</f>
        <v>0</v>
      </c>
      <c r="I167" s="1891">
        <f>'9-A.Training Sub-Annex'!J75</f>
        <v>0</v>
      </c>
      <c r="J167" s="1891">
        <f>'9-A.Training Sub-Annex'!K75</f>
        <v>0</v>
      </c>
      <c r="K167" s="1891">
        <f>'9-A.Training Sub-Annex'!L75</f>
        <v>0</v>
      </c>
      <c r="L167" s="939">
        <f>'9-A.Training Sub-Annex'!M75</f>
        <v>0</v>
      </c>
      <c r="M167" s="1891">
        <f>'9-A.Training Sub-Annex'!N75</f>
        <v>0</v>
      </c>
      <c r="N167" s="1891">
        <f>'9-A.Training Sub-Annex'!O75</f>
        <v>0</v>
      </c>
      <c r="O167" s="939">
        <f>'9-A.Training Sub-Annex'!P75</f>
        <v>0</v>
      </c>
      <c r="P167" s="1889">
        <f>'9-A.Training Sub-Annex'!Q75</f>
        <v>0</v>
      </c>
      <c r="Q167" s="124"/>
      <c r="R167" s="1880"/>
    </row>
    <row r="168" spans="1:20" s="828" customFormat="1" x14ac:dyDescent="0.2">
      <c r="A168" s="4047"/>
      <c r="B168" s="1889">
        <f>'9-A.Training Sub-Annex'!C76</f>
        <v>0</v>
      </c>
      <c r="C168" s="1890" t="str">
        <f>'9-A.Training Sub-Annex'!D76</f>
        <v>Trainings for Family participatory care (KMC)</v>
      </c>
      <c r="D168" s="1891" t="str">
        <f>'9-A.Training Sub-Annex'!E76</f>
        <v>RCH</v>
      </c>
      <c r="E168" s="1891" t="str">
        <f>'9-A.Training Sub-Annex'!F76</f>
        <v>CH</v>
      </c>
      <c r="F168" s="1891">
        <f>'9-A.Training Sub-Annex'!G76</f>
        <v>0</v>
      </c>
      <c r="G168" s="1891">
        <f>'9-A.Training Sub-Annex'!H76</f>
        <v>0</v>
      </c>
      <c r="H168" s="1891">
        <f>'9-A.Training Sub-Annex'!I76</f>
        <v>0</v>
      </c>
      <c r="I168" s="1891">
        <f>'9-A.Training Sub-Annex'!J76</f>
        <v>0</v>
      </c>
      <c r="J168" s="1891">
        <f>'9-A.Training Sub-Annex'!K76</f>
        <v>0</v>
      </c>
      <c r="K168" s="1891">
        <f>'9-A.Training Sub-Annex'!L76</f>
        <v>0</v>
      </c>
      <c r="L168" s="939">
        <f>'9-A.Training Sub-Annex'!M76</f>
        <v>0</v>
      </c>
      <c r="M168" s="1891">
        <f>'9-A.Training Sub-Annex'!N76</f>
        <v>0</v>
      </c>
      <c r="N168" s="1891">
        <f>'9-A.Training Sub-Annex'!O76</f>
        <v>0</v>
      </c>
      <c r="O168" s="939">
        <f>'9-A.Training Sub-Annex'!P76</f>
        <v>0</v>
      </c>
      <c r="P168" s="1889">
        <f>'9-A.Training Sub-Annex'!Q76</f>
        <v>0</v>
      </c>
      <c r="Q168" s="124"/>
      <c r="R168" s="1880"/>
    </row>
    <row r="169" spans="1:20" s="828" customFormat="1" ht="106.5" customHeight="1" x14ac:dyDescent="0.2">
      <c r="A169" s="4047"/>
      <c r="B169" s="1889">
        <f>'9-A.Training Sub-Annex'!C77</f>
        <v>0</v>
      </c>
      <c r="C169" s="1890" t="str">
        <f>'9-A.Training Sub-Annex'!D77</f>
        <v>New Born Stabilization training Package for Medical Officers and Staff nurses</v>
      </c>
      <c r="D169" s="1891" t="str">
        <f>'9-A.Training Sub-Annex'!E77</f>
        <v>RCH</v>
      </c>
      <c r="E169" s="1891" t="str">
        <f>'9-A.Training Sub-Annex'!F77</f>
        <v>CH</v>
      </c>
      <c r="F169" s="1891">
        <f>'9-A.Training Sub-Annex'!G77</f>
        <v>0</v>
      </c>
      <c r="G169" s="1891">
        <f>'9-A.Training Sub-Annex'!H77</f>
        <v>0</v>
      </c>
      <c r="H169" s="1891">
        <f>'9-A.Training Sub-Annex'!I77</f>
        <v>0</v>
      </c>
      <c r="I169" s="1891">
        <f>'9-A.Training Sub-Annex'!J77</f>
        <v>0</v>
      </c>
      <c r="J169" s="1891">
        <f>'9-A.Training Sub-Annex'!K77</f>
        <v>0</v>
      </c>
      <c r="K169" s="1891" t="str">
        <f>'9-A.Training Sub-Annex'!L77</f>
        <v>Cost per batch</v>
      </c>
      <c r="L169" s="939">
        <f>'9-A.Training Sub-Annex'!M77</f>
        <v>156050</v>
      </c>
      <c r="M169" s="1891">
        <f>'9-A.Training Sub-Annex'!N77</f>
        <v>1.5605</v>
      </c>
      <c r="N169" s="1891">
        <f>'9-A.Training Sub-Annex'!O77</f>
        <v>3</v>
      </c>
      <c r="O169" s="939">
        <f>'9-A.Training Sub-Annex'!P77</f>
        <v>4.6814999999999998</v>
      </c>
      <c r="P169" s="1889" t="str">
        <f>'9-A.Training Sub-Annex'!Q77</f>
        <v>New activity.
Proposed for CLMC training @ Rs. 4.47 Lakhs</v>
      </c>
      <c r="Q169" s="124"/>
      <c r="R169" s="1906"/>
      <c r="T169" s="3314"/>
    </row>
    <row r="170" spans="1:20" s="828" customFormat="1" ht="60" x14ac:dyDescent="0.2">
      <c r="A170" s="4047"/>
      <c r="B170" s="1889">
        <f>'9-A.Training Sub-Annex'!C78</f>
        <v>0</v>
      </c>
      <c r="C170" s="1890" t="str">
        <f>'9-A.Training Sub-Annex'!D78</f>
        <v>One day Orientation of frontline workers (ASHA/ANM) and allied department workers (Teachers/AWW) on Anaemia Mukt Bharat strategy. As per RCH training norms</v>
      </c>
      <c r="D170" s="1891" t="str">
        <f>'9-A.Training Sub-Annex'!E78</f>
        <v>RCH</v>
      </c>
      <c r="E170" s="1891" t="str">
        <f>'9-A.Training Sub-Annex'!F78</f>
        <v>CH</v>
      </c>
      <c r="F170" s="1891">
        <f>'9-A.Training Sub-Annex'!G78</f>
        <v>0</v>
      </c>
      <c r="G170" s="1891">
        <f>'9-A.Training Sub-Annex'!H78</f>
        <v>0</v>
      </c>
      <c r="H170" s="1891">
        <f>'9-A.Training Sub-Annex'!I78</f>
        <v>0</v>
      </c>
      <c r="I170" s="1891">
        <f>'9-A.Training Sub-Annex'!J78</f>
        <v>0</v>
      </c>
      <c r="J170" s="1891">
        <f>'9-A.Training Sub-Annex'!K78</f>
        <v>0</v>
      </c>
      <c r="K170" s="1891">
        <f>'9-A.Training Sub-Annex'!L78</f>
        <v>0</v>
      </c>
      <c r="L170" s="939">
        <f>'9-A.Training Sub-Annex'!M78</f>
        <v>0</v>
      </c>
      <c r="M170" s="1891">
        <f>'9-A.Training Sub-Annex'!N78</f>
        <v>0</v>
      </c>
      <c r="N170" s="1891">
        <f>'9-A.Training Sub-Annex'!O78</f>
        <v>0</v>
      </c>
      <c r="O170" s="939">
        <f>'9-A.Training Sub-Annex'!P78</f>
        <v>0</v>
      </c>
      <c r="P170" s="1889">
        <f>'9-A.Training Sub-Annex'!Q78</f>
        <v>0</v>
      </c>
      <c r="Q170" s="124"/>
      <c r="R170" s="1880">
        <v>0</v>
      </c>
    </row>
    <row r="171" spans="1:20" s="828" customFormat="1" ht="30" x14ac:dyDescent="0.2">
      <c r="A171" s="4047"/>
      <c r="B171" s="1889">
        <f>'9-A.Training Sub-Annex'!C79</f>
        <v>0</v>
      </c>
      <c r="C171" s="1890" t="str">
        <f>'9-A.Training Sub-Annex'!D79</f>
        <v>State/District ToT of SAANS, Skill Stations under SAANS</v>
      </c>
      <c r="D171" s="1891" t="str">
        <f>'9-A.Training Sub-Annex'!E79</f>
        <v>RCH</v>
      </c>
      <c r="E171" s="1891" t="str">
        <f>'9-A.Training Sub-Annex'!F79</f>
        <v>CH</v>
      </c>
      <c r="F171" s="1891">
        <f>'9-A.Training Sub-Annex'!G79</f>
        <v>0</v>
      </c>
      <c r="G171" s="1891">
        <f>'9-A.Training Sub-Annex'!H79</f>
        <v>0</v>
      </c>
      <c r="H171" s="1891">
        <f>'9-A.Training Sub-Annex'!I79</f>
        <v>0</v>
      </c>
      <c r="I171" s="1891">
        <f>'9-A.Training Sub-Annex'!J79</f>
        <v>0</v>
      </c>
      <c r="J171" s="1891">
        <f>'9-A.Training Sub-Annex'!K79</f>
        <v>0</v>
      </c>
      <c r="K171" s="1891">
        <f>'9-A.Training Sub-Annex'!L79</f>
        <v>0</v>
      </c>
      <c r="L171" s="939">
        <f>'9-A.Training Sub-Annex'!M79</f>
        <v>0</v>
      </c>
      <c r="M171" s="1891">
        <f>'9-A.Training Sub-Annex'!N79</f>
        <v>0</v>
      </c>
      <c r="N171" s="1891">
        <f>'9-A.Training Sub-Annex'!O79</f>
        <v>0</v>
      </c>
      <c r="O171" s="939">
        <f>'9-A.Training Sub-Annex'!P79</f>
        <v>0</v>
      </c>
      <c r="P171" s="1889">
        <f>'9-A.Training Sub-Annex'!Q79</f>
        <v>0</v>
      </c>
      <c r="Q171" s="124"/>
      <c r="R171" s="1880">
        <v>0</v>
      </c>
    </row>
    <row r="172" spans="1:20" s="828" customFormat="1" ht="105" customHeight="1" x14ac:dyDescent="0.2">
      <c r="A172" s="4047"/>
      <c r="B172" s="1889" t="str">
        <f>'9-A.Training Sub-Annex'!C80</f>
        <v>9.5.2.23</v>
      </c>
      <c r="C172" s="1890" t="str">
        <f>'9-A.Training Sub-Annex'!D80</f>
        <v>Other Child Health trainings (please specify)</v>
      </c>
      <c r="D172" s="1891" t="str">
        <f>'9-A.Training Sub-Annex'!E80</f>
        <v>RCH</v>
      </c>
      <c r="E172" s="1891" t="str">
        <f>'9-A.Training Sub-Annex'!F80</f>
        <v>CH</v>
      </c>
      <c r="F172" s="1891">
        <f>'9-A.Training Sub-Annex'!G80</f>
        <v>0</v>
      </c>
      <c r="G172" s="1891">
        <f>'9-A.Training Sub-Annex'!H80</f>
        <v>0</v>
      </c>
      <c r="H172" s="1891">
        <f>'9-A.Training Sub-Annex'!I80</f>
        <v>0</v>
      </c>
      <c r="I172" s="1891">
        <f>'9-A.Training Sub-Annex'!J80</f>
        <v>0</v>
      </c>
      <c r="J172" s="1891">
        <f>'9-A.Training Sub-Annex'!K80</f>
        <v>0</v>
      </c>
      <c r="K172" s="1891" t="str">
        <f>'9-A.Training Sub-Annex'!L80</f>
        <v>Cost per batch</v>
      </c>
      <c r="L172" s="939">
        <f>'9-A.Training Sub-Annex'!M80</f>
        <v>149050</v>
      </c>
      <c r="M172" s="1891">
        <f>'9-A.Training Sub-Annex'!N80</f>
        <v>1.4904999999999999</v>
      </c>
      <c r="N172" s="1891">
        <f>'9-A.Training Sub-Annex'!O80</f>
        <v>3</v>
      </c>
      <c r="O172" s="939">
        <f>'9-A.Training Sub-Annex'!P80</f>
        <v>4.4714999999999998</v>
      </c>
      <c r="P172" s="1889" t="str">
        <f>'9-A.Training Sub-Annex'!Q80</f>
        <v>New activity.
Proposed for  HACCP Training @ Rs. 4.68 Lakhs</v>
      </c>
      <c r="Q172" s="124"/>
      <c r="R172" s="1906"/>
      <c r="T172" s="3314"/>
    </row>
    <row r="173" spans="1:20" s="828" customFormat="1" x14ac:dyDescent="0.2">
      <c r="A173" s="1875">
        <f>'10.Review Research &amp; Surveillen'!A7</f>
        <v>10</v>
      </c>
      <c r="B173" s="1885"/>
      <c r="C173" s="1876" t="str">
        <f>'10.Review Research &amp; Surveillen'!C7</f>
        <v>Reviews, Research, Surveys and Surveillance</v>
      </c>
      <c r="D173" s="1877"/>
      <c r="E173" s="1877"/>
      <c r="F173" s="1877"/>
      <c r="G173" s="1877"/>
      <c r="H173" s="969"/>
      <c r="I173" s="1877"/>
      <c r="J173" s="969"/>
      <c r="K173" s="1877"/>
      <c r="L173" s="969"/>
      <c r="M173" s="969"/>
      <c r="N173" s="1886"/>
      <c r="O173" s="1887">
        <f>O174</f>
        <v>0</v>
      </c>
      <c r="P173" s="1888"/>
      <c r="Q173" s="1908"/>
      <c r="R173" s="1909">
        <f>R174</f>
        <v>0</v>
      </c>
      <c r="T173" s="3314"/>
    </row>
    <row r="174" spans="1:20" s="828" customFormat="1" x14ac:dyDescent="0.2">
      <c r="A174" s="1892" t="str">
        <f>'10.Review Research &amp; Surveillen'!A10</f>
        <v>10.1.2</v>
      </c>
      <c r="B174" s="1892" t="str">
        <f>'10.Review Research &amp; Surveillen'!B10</f>
        <v>A.2.8</v>
      </c>
      <c r="C174" s="1893" t="str">
        <f>'10.Review Research &amp; Surveillen'!C10</f>
        <v>Child Death Review</v>
      </c>
      <c r="D174" s="1894" t="str">
        <f>'10.Review Research &amp; Surveillen'!D10</f>
        <v>RCH</v>
      </c>
      <c r="E174" s="1894" t="str">
        <f>'10.Review Research &amp; Surveillen'!E10</f>
        <v>CH</v>
      </c>
      <c r="F174" s="1894">
        <f>'10.Review Research &amp; Surveillen'!F10</f>
        <v>0</v>
      </c>
      <c r="G174" s="1894">
        <f>'10.Review Research &amp; Surveillen'!G10</f>
        <v>0</v>
      </c>
      <c r="H174" s="1894">
        <f>'10.Review Research &amp; Surveillen'!H10</f>
        <v>0</v>
      </c>
      <c r="I174" s="1894">
        <f>'10.Review Research &amp; Surveillen'!I10</f>
        <v>0</v>
      </c>
      <c r="J174" s="1894">
        <f>'10.Review Research &amp; Surveillen'!J10</f>
        <v>0</v>
      </c>
      <c r="K174" s="1894">
        <f>'10.Review Research &amp; Surveillen'!K10</f>
        <v>0</v>
      </c>
      <c r="L174" s="939">
        <f>'10.Review Research &amp; Surveillen'!L10</f>
        <v>0</v>
      </c>
      <c r="M174" s="1894">
        <f>'10.Review Research &amp; Surveillen'!M10</f>
        <v>0</v>
      </c>
      <c r="N174" s="1894">
        <f>'10.Review Research &amp; Surveillen'!N10</f>
        <v>0</v>
      </c>
      <c r="O174" s="939">
        <f>'10.Review Research &amp; Surveillen'!O10</f>
        <v>0</v>
      </c>
      <c r="P174" s="1892">
        <f>'10.Review Research &amp; Surveillen'!P10</f>
        <v>0</v>
      </c>
      <c r="Q174" s="2044"/>
      <c r="R174" s="1880"/>
    </row>
    <row r="175" spans="1:20" s="828" customFormat="1" x14ac:dyDescent="0.2">
      <c r="A175" s="1875">
        <f>'11.IEC-BCC Annex'!A7</f>
        <v>11</v>
      </c>
      <c r="B175" s="1885"/>
      <c r="C175" s="1876" t="str">
        <f>'11.IEC-BCC Annex'!C7</f>
        <v>IEC/BCC</v>
      </c>
      <c r="D175" s="1877"/>
      <c r="E175" s="1877"/>
      <c r="F175" s="1877"/>
      <c r="G175" s="1877"/>
      <c r="H175" s="969"/>
      <c r="I175" s="1877"/>
      <c r="J175" s="969"/>
      <c r="K175" s="1877"/>
      <c r="L175" s="969"/>
      <c r="M175" s="969"/>
      <c r="N175" s="1886"/>
      <c r="O175" s="1887">
        <f>SUM(O176:O179)</f>
        <v>0</v>
      </c>
      <c r="P175" s="1888"/>
      <c r="Q175" s="1908"/>
      <c r="R175" s="1909">
        <f>SUM(R176:R179)</f>
        <v>0</v>
      </c>
      <c r="T175" s="3314"/>
    </row>
    <row r="176" spans="1:20" s="828" customFormat="1" x14ac:dyDescent="0.2">
      <c r="A176" s="4047" t="str">
        <f>'11.IEC-BCC Annex'!A10</f>
        <v>11.1.2</v>
      </c>
      <c r="B176" s="1878" t="str">
        <f>'11-A. IEC Sub-Annex'!C11</f>
        <v>B.10.3.2.1</v>
      </c>
      <c r="C176" s="1879" t="str">
        <f>'11-A. IEC Sub-Annex'!D11</f>
        <v>Media Mix of Mid Media/ Mass Media</v>
      </c>
      <c r="D176" s="1880" t="str">
        <f>'11-A. IEC Sub-Annex'!E11</f>
        <v>RCH</v>
      </c>
      <c r="E176" s="1880" t="str">
        <f>'11-A. IEC Sub-Annex'!F11</f>
        <v>CH</v>
      </c>
      <c r="F176" s="1880">
        <f>'11-A. IEC Sub-Annex'!G11</f>
        <v>0</v>
      </c>
      <c r="G176" s="1880">
        <f>'11-A. IEC Sub-Annex'!H11</f>
        <v>0</v>
      </c>
      <c r="H176" s="1880">
        <f>'11-A. IEC Sub-Annex'!I11</f>
        <v>0</v>
      </c>
      <c r="I176" s="1880">
        <f>'11-A. IEC Sub-Annex'!J11</f>
        <v>0</v>
      </c>
      <c r="J176" s="1880">
        <f>'11-A. IEC Sub-Annex'!K11</f>
        <v>0</v>
      </c>
      <c r="K176" s="1880">
        <f>'11-A. IEC Sub-Annex'!L11</f>
        <v>0</v>
      </c>
      <c r="L176" s="939">
        <f>'11-A. IEC Sub-Annex'!M11</f>
        <v>0</v>
      </c>
      <c r="M176" s="1880">
        <f>'11-A. IEC Sub-Annex'!N11</f>
        <v>0</v>
      </c>
      <c r="N176" s="1880">
        <f>'11-A. IEC Sub-Annex'!O11</f>
        <v>0</v>
      </c>
      <c r="O176" s="939">
        <f>'11-A. IEC Sub-Annex'!P11</f>
        <v>0</v>
      </c>
      <c r="P176" s="1878">
        <f>'11-A. IEC Sub-Annex'!Q11</f>
        <v>0</v>
      </c>
      <c r="Q176" s="124"/>
      <c r="R176" s="1906"/>
      <c r="T176" s="3314"/>
    </row>
    <row r="177" spans="1:20" s="828" customFormat="1" x14ac:dyDescent="0.2">
      <c r="A177" s="4047"/>
      <c r="B177" s="1878" t="str">
        <f>'11-A. IEC Sub-Annex'!C12</f>
        <v>B.10.3.2.2</v>
      </c>
      <c r="C177" s="1879" t="str">
        <f>'11-A. IEC Sub-Annex'!D12</f>
        <v>Inter Personal Communication</v>
      </c>
      <c r="D177" s="1880" t="str">
        <f>'11-A. IEC Sub-Annex'!E12</f>
        <v>RCH</v>
      </c>
      <c r="E177" s="1880" t="str">
        <f>'11-A. IEC Sub-Annex'!F12</f>
        <v>CH</v>
      </c>
      <c r="F177" s="1880">
        <f>'11-A. IEC Sub-Annex'!G12</f>
        <v>0</v>
      </c>
      <c r="G177" s="1880">
        <f>'11-A. IEC Sub-Annex'!H12</f>
        <v>0</v>
      </c>
      <c r="H177" s="1880">
        <f>'11-A. IEC Sub-Annex'!I12</f>
        <v>0</v>
      </c>
      <c r="I177" s="1880">
        <f>'11-A. IEC Sub-Annex'!J12</f>
        <v>0</v>
      </c>
      <c r="J177" s="1880">
        <f>'11-A. IEC Sub-Annex'!K12</f>
        <v>0</v>
      </c>
      <c r="K177" s="1880">
        <f>'11-A. IEC Sub-Annex'!L12</f>
        <v>0</v>
      </c>
      <c r="L177" s="939">
        <f>'11-A. IEC Sub-Annex'!M12</f>
        <v>0</v>
      </c>
      <c r="M177" s="1880">
        <f>'11-A. IEC Sub-Annex'!N12</f>
        <v>0</v>
      </c>
      <c r="N177" s="1880">
        <f>'11-A. IEC Sub-Annex'!O12</f>
        <v>0</v>
      </c>
      <c r="O177" s="939">
        <f>'11-A. IEC Sub-Annex'!P12</f>
        <v>0</v>
      </c>
      <c r="P177" s="1878">
        <f>'11-A. IEC Sub-Annex'!Q12</f>
        <v>0</v>
      </c>
      <c r="Q177" s="124"/>
      <c r="R177" s="1880"/>
    </row>
    <row r="178" spans="1:20" s="828" customFormat="1" x14ac:dyDescent="0.2">
      <c r="A178" s="4047"/>
      <c r="B178" s="1878">
        <f>'11-A. IEC Sub-Annex'!C13</f>
        <v>0</v>
      </c>
      <c r="C178" s="1879" t="str">
        <f>'11-A. IEC Sub-Annex'!D13</f>
        <v>IEC for family participatory care</v>
      </c>
      <c r="D178" s="1880" t="str">
        <f>'11-A. IEC Sub-Annex'!E13</f>
        <v>RCH</v>
      </c>
      <c r="E178" s="1880" t="str">
        <f>'11-A. IEC Sub-Annex'!F13</f>
        <v>CH</v>
      </c>
      <c r="F178" s="1880">
        <f>'11-A. IEC Sub-Annex'!G13</f>
        <v>0</v>
      </c>
      <c r="G178" s="1880">
        <f>'11-A. IEC Sub-Annex'!H13</f>
        <v>0</v>
      </c>
      <c r="H178" s="1880">
        <f>'11-A. IEC Sub-Annex'!I13</f>
        <v>0</v>
      </c>
      <c r="I178" s="1880">
        <f>'11-A. IEC Sub-Annex'!J13</f>
        <v>0</v>
      </c>
      <c r="J178" s="1880">
        <f>'11-A. IEC Sub-Annex'!K13</f>
        <v>0</v>
      </c>
      <c r="K178" s="1880">
        <f>'11-A. IEC Sub-Annex'!L13</f>
        <v>0</v>
      </c>
      <c r="L178" s="939">
        <f>'11-A. IEC Sub-Annex'!M13</f>
        <v>0</v>
      </c>
      <c r="M178" s="1880">
        <f>'11-A. IEC Sub-Annex'!N13</f>
        <v>0</v>
      </c>
      <c r="N178" s="1880">
        <f>'11-A. IEC Sub-Annex'!O13</f>
        <v>0</v>
      </c>
      <c r="O178" s="939">
        <f>'11-A. IEC Sub-Annex'!P13</f>
        <v>0</v>
      </c>
      <c r="P178" s="1878">
        <f>'11-A. IEC Sub-Annex'!Q13</f>
        <v>0</v>
      </c>
      <c r="Q178" s="124"/>
      <c r="R178" s="1880"/>
    </row>
    <row r="179" spans="1:20" s="828" customFormat="1" ht="45" x14ac:dyDescent="0.2">
      <c r="A179" s="4047"/>
      <c r="B179" s="1878">
        <f>'11-A. IEC Sub-Annex'!C14</f>
        <v>0</v>
      </c>
      <c r="C179" s="1879" t="str">
        <f>'11-A. IEC Sub-Annex'!D14</f>
        <v>Any other IEC/BCC activities (please specify) including SAANS campaign IEC at state/district level</v>
      </c>
      <c r="D179" s="1880" t="str">
        <f>'11-A. IEC Sub-Annex'!E14</f>
        <v>RCH</v>
      </c>
      <c r="E179" s="1880" t="str">
        <f>'11-A. IEC Sub-Annex'!F14</f>
        <v>CH</v>
      </c>
      <c r="F179" s="1880">
        <f>'11-A. IEC Sub-Annex'!G14</f>
        <v>0</v>
      </c>
      <c r="G179" s="1880">
        <f>'11-A. IEC Sub-Annex'!H14</f>
        <v>0</v>
      </c>
      <c r="H179" s="1880">
        <f>'11-A. IEC Sub-Annex'!I14</f>
        <v>0</v>
      </c>
      <c r="I179" s="1880">
        <f>'11-A. IEC Sub-Annex'!J14</f>
        <v>0</v>
      </c>
      <c r="J179" s="1880">
        <f>'11-A. IEC Sub-Annex'!K14</f>
        <v>0</v>
      </c>
      <c r="K179" s="1880">
        <f>'11-A. IEC Sub-Annex'!L14</f>
        <v>0</v>
      </c>
      <c r="L179" s="939">
        <f>'11-A. IEC Sub-Annex'!M14</f>
        <v>0</v>
      </c>
      <c r="M179" s="1880">
        <f>'11-A. IEC Sub-Annex'!N14</f>
        <v>0</v>
      </c>
      <c r="N179" s="1880">
        <f>'11-A. IEC Sub-Annex'!O14</f>
        <v>0</v>
      </c>
      <c r="O179" s="939">
        <f>'11-A. IEC Sub-Annex'!P14</f>
        <v>0</v>
      </c>
      <c r="P179" s="1878">
        <f>'11-A. IEC Sub-Annex'!Q14</f>
        <v>0</v>
      </c>
      <c r="Q179" s="124"/>
      <c r="R179" s="1906"/>
      <c r="T179" s="3314"/>
    </row>
    <row r="180" spans="1:20" s="828" customFormat="1" x14ac:dyDescent="0.2">
      <c r="A180" s="1875">
        <f>'12.Printing Annex'!A7</f>
        <v>12</v>
      </c>
      <c r="B180" s="1885"/>
      <c r="C180" s="1876" t="str">
        <f>'12.Printing Annex'!C7</f>
        <v>Printing</v>
      </c>
      <c r="D180" s="1877"/>
      <c r="E180" s="1877"/>
      <c r="F180" s="1877"/>
      <c r="G180" s="1877"/>
      <c r="H180" s="969"/>
      <c r="I180" s="1877"/>
      <c r="J180" s="969"/>
      <c r="K180" s="1877"/>
      <c r="L180" s="969"/>
      <c r="M180" s="969"/>
      <c r="N180" s="1886"/>
      <c r="O180" s="1887">
        <f>SUM(O181:O195)</f>
        <v>0</v>
      </c>
      <c r="P180" s="1888"/>
      <c r="Q180" s="1908"/>
      <c r="R180" s="1909">
        <f>SUM(R181:R195)</f>
        <v>0</v>
      </c>
      <c r="T180" s="3314"/>
    </row>
    <row r="181" spans="1:20" s="828" customFormat="1" x14ac:dyDescent="0.2">
      <c r="A181" s="1878" t="str">
        <f>'12.Printing Annex'!A10</f>
        <v>12.1.2</v>
      </c>
      <c r="B181" s="1878">
        <f>'12-A. Print Sub-Annex'!C10</f>
        <v>0</v>
      </c>
      <c r="C181" s="1879" t="str">
        <f>'12-A. Print Sub-Annex'!D10</f>
        <v>Printing cost for MAA programme</v>
      </c>
      <c r="D181" s="1880" t="str">
        <f>'12-A. Print Sub-Annex'!E10</f>
        <v>RCH</v>
      </c>
      <c r="E181" s="1880" t="str">
        <f>'12-A. Print Sub-Annex'!F10</f>
        <v>CH</v>
      </c>
      <c r="F181" s="1880">
        <f>'12-A. Print Sub-Annex'!G10</f>
        <v>0</v>
      </c>
      <c r="G181" s="1880">
        <f>'12-A. Print Sub-Annex'!H10</f>
        <v>0</v>
      </c>
      <c r="H181" s="1880">
        <f>'12-A. Print Sub-Annex'!I10</f>
        <v>0</v>
      </c>
      <c r="I181" s="1880">
        <f>'12-A. Print Sub-Annex'!J10</f>
        <v>0</v>
      </c>
      <c r="J181" s="1880">
        <f>'12-A. Print Sub-Annex'!K10</f>
        <v>0</v>
      </c>
      <c r="K181" s="1880">
        <f>'12-A. Print Sub-Annex'!L10</f>
        <v>0</v>
      </c>
      <c r="L181" s="939">
        <f>'12-A. Print Sub-Annex'!M10</f>
        <v>0</v>
      </c>
      <c r="M181" s="1880">
        <f>'12-A. Print Sub-Annex'!N10</f>
        <v>0</v>
      </c>
      <c r="N181" s="1880">
        <f>'12-A. Print Sub-Annex'!O10</f>
        <v>0</v>
      </c>
      <c r="O181" s="939">
        <f>'12-A. Print Sub-Annex'!P10</f>
        <v>0</v>
      </c>
      <c r="P181" s="1878">
        <f>'12-A. Print Sub-Annex'!Q10</f>
        <v>0</v>
      </c>
      <c r="Q181" s="124"/>
      <c r="R181" s="1880">
        <v>0</v>
      </c>
    </row>
    <row r="182" spans="1:20" s="828" customFormat="1" ht="30" x14ac:dyDescent="0.2">
      <c r="A182" s="1878"/>
      <c r="B182" s="1878" t="str">
        <f>'12-A. Print Sub-Annex'!C13</f>
        <v>A.2.1</v>
      </c>
      <c r="C182" s="1879" t="str">
        <f>'12-A. Print Sub-Annex'!D13</f>
        <v>Printing for IMNCI, FIMNCI, FBNC, NBSU training packages and the translation</v>
      </c>
      <c r="D182" s="1880" t="str">
        <f>'12-A. Print Sub-Annex'!E13</f>
        <v>RCH</v>
      </c>
      <c r="E182" s="1880" t="str">
        <f>'12-A. Print Sub-Annex'!F13</f>
        <v>CH</v>
      </c>
      <c r="F182" s="1880">
        <f>'12-A. Print Sub-Annex'!G13</f>
        <v>0</v>
      </c>
      <c r="G182" s="1880">
        <f>'12-A. Print Sub-Annex'!H13</f>
        <v>0</v>
      </c>
      <c r="H182" s="1880">
        <f>'12-A. Print Sub-Annex'!I13</f>
        <v>0</v>
      </c>
      <c r="I182" s="1880">
        <f>'12-A. Print Sub-Annex'!J13</f>
        <v>0</v>
      </c>
      <c r="J182" s="1880">
        <f>'12-A. Print Sub-Annex'!K13</f>
        <v>0</v>
      </c>
      <c r="K182" s="1880">
        <f>'12-A. Print Sub-Annex'!L13</f>
        <v>0</v>
      </c>
      <c r="L182" s="939">
        <f>'12-A. Print Sub-Annex'!M13</f>
        <v>0</v>
      </c>
      <c r="M182" s="1880">
        <f>'12-A. Print Sub-Annex'!N13</f>
        <v>0</v>
      </c>
      <c r="N182" s="1880">
        <f>'12-A. Print Sub-Annex'!O13</f>
        <v>0</v>
      </c>
      <c r="O182" s="939">
        <f>'12-A. Print Sub-Annex'!P13</f>
        <v>0</v>
      </c>
      <c r="P182" s="1878">
        <f>'12-A. Print Sub-Annex'!Q13</f>
        <v>0</v>
      </c>
      <c r="Q182" s="124"/>
      <c r="R182" s="1880">
        <v>0</v>
      </c>
    </row>
    <row r="183" spans="1:20" s="828" customFormat="1" ht="30" x14ac:dyDescent="0.2">
      <c r="A183" s="1878"/>
      <c r="B183" s="1878" t="str">
        <f>'12-A. Print Sub-Annex'!C14</f>
        <v>A.2.6</v>
      </c>
      <c r="C183" s="1879" t="str">
        <f>'12-A. Print Sub-Annex'!D14</f>
        <v>Printing for National Childhood Pneumonia Management Guidelines under SAANS</v>
      </c>
      <c r="D183" s="1880" t="str">
        <f>'12-A. Print Sub-Annex'!E14</f>
        <v>RCH</v>
      </c>
      <c r="E183" s="1880" t="str">
        <f>'12-A. Print Sub-Annex'!F14</f>
        <v>CH</v>
      </c>
      <c r="F183" s="1880">
        <f>'12-A. Print Sub-Annex'!G14</f>
        <v>0</v>
      </c>
      <c r="G183" s="1880">
        <f>'12-A. Print Sub-Annex'!H14</f>
        <v>0</v>
      </c>
      <c r="H183" s="1880">
        <f>'12-A. Print Sub-Annex'!I14</f>
        <v>0</v>
      </c>
      <c r="I183" s="1880">
        <f>'12-A. Print Sub-Annex'!J14</f>
        <v>0</v>
      </c>
      <c r="J183" s="1880">
        <f>'12-A. Print Sub-Annex'!K14</f>
        <v>0</v>
      </c>
      <c r="K183" s="1880">
        <f>'12-A. Print Sub-Annex'!L14</f>
        <v>0</v>
      </c>
      <c r="L183" s="939">
        <f>'12-A. Print Sub-Annex'!M14</f>
        <v>0</v>
      </c>
      <c r="M183" s="1880">
        <f>'12-A. Print Sub-Annex'!N14</f>
        <v>0</v>
      </c>
      <c r="N183" s="1880">
        <f>'12-A. Print Sub-Annex'!O14</f>
        <v>0</v>
      </c>
      <c r="O183" s="939">
        <f>'12-A. Print Sub-Annex'!P14</f>
        <v>0</v>
      </c>
      <c r="P183" s="1878">
        <f>'12-A. Print Sub-Annex'!Q14</f>
        <v>0</v>
      </c>
      <c r="Q183" s="124"/>
      <c r="R183" s="1880">
        <v>0</v>
      </c>
    </row>
    <row r="184" spans="1:20" s="828" customFormat="1" ht="75" x14ac:dyDescent="0.2">
      <c r="A184" s="1878"/>
      <c r="B184" s="1878" t="str">
        <f>'12-A. Print Sub-Annex'!C15</f>
        <v>A.2.7</v>
      </c>
      <c r="C184" s="1879" t="str">
        <f>'12-A. Print Sub-Annex'!D15</f>
        <v>Printing for Micronutrient Supplementation Programme including IEC materials, reporting formats, guidelines / training materials etc. (For AMB and Vitamin A supplementation programmes)</v>
      </c>
      <c r="D184" s="1880" t="str">
        <f>'12-A. Print Sub-Annex'!E15</f>
        <v>RCH</v>
      </c>
      <c r="E184" s="1880" t="str">
        <f>'12-A. Print Sub-Annex'!F15</f>
        <v>CH</v>
      </c>
      <c r="F184" s="1880">
        <f>'12-A. Print Sub-Annex'!G15</f>
        <v>0</v>
      </c>
      <c r="G184" s="1880">
        <f>'12-A. Print Sub-Annex'!H15</f>
        <v>0</v>
      </c>
      <c r="H184" s="1880">
        <f>'12-A. Print Sub-Annex'!I15</f>
        <v>0</v>
      </c>
      <c r="I184" s="1880">
        <f>'12-A. Print Sub-Annex'!J15</f>
        <v>0</v>
      </c>
      <c r="J184" s="1880">
        <f>'12-A. Print Sub-Annex'!K15</f>
        <v>0</v>
      </c>
      <c r="K184" s="1880">
        <f>'12-A. Print Sub-Annex'!L15</f>
        <v>0</v>
      </c>
      <c r="L184" s="939">
        <f>'12-A. Print Sub-Annex'!M15</f>
        <v>0</v>
      </c>
      <c r="M184" s="1880">
        <f>'12-A. Print Sub-Annex'!N15</f>
        <v>0</v>
      </c>
      <c r="N184" s="1880">
        <f>'12-A. Print Sub-Annex'!O15</f>
        <v>0</v>
      </c>
      <c r="O184" s="939">
        <f>'12-A. Print Sub-Annex'!P15</f>
        <v>0</v>
      </c>
      <c r="P184" s="1878">
        <f>'12-A. Print Sub-Annex'!Q15</f>
        <v>0</v>
      </c>
      <c r="Q184" s="124"/>
      <c r="R184" s="1880">
        <v>0</v>
      </c>
    </row>
    <row r="185" spans="1:20" s="828" customFormat="1" x14ac:dyDescent="0.2">
      <c r="A185" s="1878"/>
      <c r="B185" s="1878" t="str">
        <f>'12-A. Print Sub-Annex'!C16</f>
        <v>A.2.8</v>
      </c>
      <c r="C185" s="1879" t="str">
        <f>'12-A. Print Sub-Annex'!D16</f>
        <v>Printing of Child Death Review formats</v>
      </c>
      <c r="D185" s="1880" t="str">
        <f>'12-A. Print Sub-Annex'!E16</f>
        <v>RCH</v>
      </c>
      <c r="E185" s="1880" t="str">
        <f>'12-A. Print Sub-Annex'!F16</f>
        <v>CH</v>
      </c>
      <c r="F185" s="1880">
        <f>'12-A. Print Sub-Annex'!G16</f>
        <v>0</v>
      </c>
      <c r="G185" s="1880">
        <f>'12-A. Print Sub-Annex'!H16</f>
        <v>0</v>
      </c>
      <c r="H185" s="1880">
        <f>'12-A. Print Sub-Annex'!I16</f>
        <v>0</v>
      </c>
      <c r="I185" s="1880">
        <f>'12-A. Print Sub-Annex'!J16</f>
        <v>0</v>
      </c>
      <c r="J185" s="1880">
        <f>'12-A. Print Sub-Annex'!K16</f>
        <v>0</v>
      </c>
      <c r="K185" s="1880">
        <f>'12-A. Print Sub-Annex'!L16</f>
        <v>0</v>
      </c>
      <c r="L185" s="939">
        <f>'12-A. Print Sub-Annex'!M16</f>
        <v>0</v>
      </c>
      <c r="M185" s="1880">
        <f>'12-A. Print Sub-Annex'!N16</f>
        <v>0</v>
      </c>
      <c r="N185" s="1880">
        <f>'12-A. Print Sub-Annex'!O16</f>
        <v>0</v>
      </c>
      <c r="O185" s="939">
        <f>'12-A. Print Sub-Annex'!P16</f>
        <v>0</v>
      </c>
      <c r="P185" s="1878">
        <f>'12-A. Print Sub-Annex'!Q16</f>
        <v>0</v>
      </c>
      <c r="Q185" s="124"/>
      <c r="R185" s="1880"/>
    </row>
    <row r="186" spans="1:20" s="828" customFormat="1" ht="45" x14ac:dyDescent="0.2">
      <c r="A186" s="1878"/>
      <c r="B186" s="1878" t="str">
        <f>'12-A. Print Sub-Annex'!C17</f>
        <v>B.10.7.4.1</v>
      </c>
      <c r="C186" s="1879" t="str">
        <f>'12-A. Print Sub-Annex'!D17</f>
        <v>Printing of compliance cards and reporting formats for National Iron Plus Initiative-for 6-59 months  age group and for 5-10 years age group</v>
      </c>
      <c r="D186" s="1880" t="str">
        <f>'12-A. Print Sub-Annex'!E17</f>
        <v>RCH</v>
      </c>
      <c r="E186" s="1880" t="str">
        <f>'12-A. Print Sub-Annex'!F17</f>
        <v>CH</v>
      </c>
      <c r="F186" s="1880">
        <f>'12-A. Print Sub-Annex'!G17</f>
        <v>0</v>
      </c>
      <c r="G186" s="1880">
        <f>'12-A. Print Sub-Annex'!H17</f>
        <v>0</v>
      </c>
      <c r="H186" s="1880">
        <f>'12-A. Print Sub-Annex'!I17</f>
        <v>0</v>
      </c>
      <c r="I186" s="1880">
        <f>'12-A. Print Sub-Annex'!J17</f>
        <v>0</v>
      </c>
      <c r="J186" s="1880">
        <f>'12-A. Print Sub-Annex'!K17</f>
        <v>0</v>
      </c>
      <c r="K186" s="1880">
        <f>'12-A. Print Sub-Annex'!L17</f>
        <v>0</v>
      </c>
      <c r="L186" s="939">
        <f>'12-A. Print Sub-Annex'!M17</f>
        <v>0</v>
      </c>
      <c r="M186" s="1880">
        <f>'12-A. Print Sub-Annex'!N17</f>
        <v>0</v>
      </c>
      <c r="N186" s="1880">
        <f>'12-A. Print Sub-Annex'!O17</f>
        <v>0</v>
      </c>
      <c r="O186" s="939">
        <f>'12-A. Print Sub-Annex'!P17</f>
        <v>0</v>
      </c>
      <c r="P186" s="1878">
        <f>'12-A. Print Sub-Annex'!Q17</f>
        <v>0</v>
      </c>
      <c r="Q186" s="124"/>
      <c r="R186" s="1880"/>
    </row>
    <row r="187" spans="1:20" s="828" customFormat="1" ht="30" x14ac:dyDescent="0.2">
      <c r="A187" s="1878"/>
      <c r="B187" s="1878" t="str">
        <f>'12-A. Print Sub-Annex'!C18</f>
        <v>B.10.7.4.7</v>
      </c>
      <c r="C187" s="1879" t="str">
        <f>'12-A. Print Sub-Annex'!D18</f>
        <v>Printing of IEC materials and reporting formats etc.  for National Deworming Day</v>
      </c>
      <c r="D187" s="1880" t="str">
        <f>'12-A. Print Sub-Annex'!E18</f>
        <v>RCH</v>
      </c>
      <c r="E187" s="1880" t="str">
        <f>'12-A. Print Sub-Annex'!F18</f>
        <v>CH</v>
      </c>
      <c r="F187" s="1880">
        <f>'12-A. Print Sub-Annex'!G18</f>
        <v>0</v>
      </c>
      <c r="G187" s="1880">
        <f>'12-A. Print Sub-Annex'!H18</f>
        <v>0</v>
      </c>
      <c r="H187" s="1880">
        <f>'12-A. Print Sub-Annex'!I18</f>
        <v>0</v>
      </c>
      <c r="I187" s="1880">
        <f>'12-A. Print Sub-Annex'!J18</f>
        <v>0</v>
      </c>
      <c r="J187" s="1880">
        <f>'12-A. Print Sub-Annex'!K18</f>
        <v>0</v>
      </c>
      <c r="K187" s="1880">
        <f>'12-A. Print Sub-Annex'!L18</f>
        <v>0</v>
      </c>
      <c r="L187" s="939">
        <f>'12-A. Print Sub-Annex'!M18</f>
        <v>0</v>
      </c>
      <c r="M187" s="1880">
        <f>'12-A. Print Sub-Annex'!N18</f>
        <v>0</v>
      </c>
      <c r="N187" s="1880">
        <f>'12-A. Print Sub-Annex'!O18</f>
        <v>0</v>
      </c>
      <c r="O187" s="939">
        <f>'12-A. Print Sub-Annex'!P18</f>
        <v>0</v>
      </c>
      <c r="P187" s="1878">
        <f>'12-A. Print Sub-Annex'!Q18</f>
        <v>0</v>
      </c>
      <c r="Q187" s="2804"/>
      <c r="R187" s="3300"/>
      <c r="T187" s="3315"/>
    </row>
    <row r="188" spans="1:20" s="828" customFormat="1" ht="30" x14ac:dyDescent="0.2">
      <c r="A188" s="1878"/>
      <c r="B188" s="1878" t="str">
        <f>'12-A. Print Sub-Annex'!C19</f>
        <v>B.10.7.4.8</v>
      </c>
      <c r="C188" s="1879" t="str">
        <f>'12-A. Print Sub-Annex'!D19</f>
        <v>Printing of IEC Materials and monitoring formats for IDCF</v>
      </c>
      <c r="D188" s="1880" t="str">
        <f>'12-A. Print Sub-Annex'!E19</f>
        <v>RCH</v>
      </c>
      <c r="E188" s="1880" t="str">
        <f>'12-A. Print Sub-Annex'!F19</f>
        <v>CH</v>
      </c>
      <c r="F188" s="1880">
        <f>'12-A. Print Sub-Annex'!G19</f>
        <v>0</v>
      </c>
      <c r="G188" s="1880">
        <f>'12-A. Print Sub-Annex'!H19</f>
        <v>0</v>
      </c>
      <c r="H188" s="1880">
        <f>'12-A. Print Sub-Annex'!I19</f>
        <v>0</v>
      </c>
      <c r="I188" s="1880">
        <f>'12-A. Print Sub-Annex'!J19</f>
        <v>0</v>
      </c>
      <c r="J188" s="1880">
        <f>'12-A. Print Sub-Annex'!K19</f>
        <v>0</v>
      </c>
      <c r="K188" s="1880">
        <f>'12-A. Print Sub-Annex'!L19</f>
        <v>0</v>
      </c>
      <c r="L188" s="939">
        <f>'12-A. Print Sub-Annex'!M19</f>
        <v>0</v>
      </c>
      <c r="M188" s="1880">
        <f>'12-A. Print Sub-Annex'!N19</f>
        <v>0</v>
      </c>
      <c r="N188" s="1880">
        <f>'12-A. Print Sub-Annex'!O19</f>
        <v>0</v>
      </c>
      <c r="O188" s="939">
        <f>'12-A. Print Sub-Annex'!P19</f>
        <v>0</v>
      </c>
      <c r="P188" s="1878">
        <f>'12-A. Print Sub-Annex'!Q19</f>
        <v>0</v>
      </c>
      <c r="Q188" s="124"/>
      <c r="R188" s="1906"/>
      <c r="T188" s="3314"/>
    </row>
    <row r="189" spans="1:20" s="828" customFormat="1" ht="30" x14ac:dyDescent="0.2">
      <c r="A189" s="1878"/>
      <c r="B189" s="1878" t="str">
        <f>'12-A. Print Sub-Annex'!C20</f>
        <v>B.10.7.4.9</v>
      </c>
      <c r="C189" s="1879" t="str">
        <f>'12-A. Print Sub-Annex'!D20</f>
        <v>Printing cost of IEC materials, monitoring forms etc. for intensification of school health activities</v>
      </c>
      <c r="D189" s="1880" t="str">
        <f>'12-A. Print Sub-Annex'!E20</f>
        <v>RCH</v>
      </c>
      <c r="E189" s="1880" t="str">
        <f>'12-A. Print Sub-Annex'!F20</f>
        <v>CH</v>
      </c>
      <c r="F189" s="1880">
        <f>'12-A. Print Sub-Annex'!G20</f>
        <v>0</v>
      </c>
      <c r="G189" s="1880">
        <f>'12-A. Print Sub-Annex'!H20</f>
        <v>0</v>
      </c>
      <c r="H189" s="1880">
        <f>'12-A. Print Sub-Annex'!I20</f>
        <v>0</v>
      </c>
      <c r="I189" s="1880">
        <f>'12-A. Print Sub-Annex'!J20</f>
        <v>0</v>
      </c>
      <c r="J189" s="1880">
        <f>'12-A. Print Sub-Annex'!K20</f>
        <v>0</v>
      </c>
      <c r="K189" s="1880">
        <f>'12-A. Print Sub-Annex'!L20</f>
        <v>0</v>
      </c>
      <c r="L189" s="939">
        <f>'12-A. Print Sub-Annex'!M20</f>
        <v>0</v>
      </c>
      <c r="M189" s="1880">
        <f>'12-A. Print Sub-Annex'!N20</f>
        <v>0</v>
      </c>
      <c r="N189" s="1880">
        <f>'12-A. Print Sub-Annex'!O20</f>
        <v>0</v>
      </c>
      <c r="O189" s="939">
        <f>'12-A. Print Sub-Annex'!P20</f>
        <v>0</v>
      </c>
      <c r="P189" s="1878">
        <f>'12-A. Print Sub-Annex'!Q20</f>
        <v>0</v>
      </c>
      <c r="Q189" s="124"/>
      <c r="R189" s="1880">
        <v>0</v>
      </c>
    </row>
    <row r="190" spans="1:20" s="828" customFormat="1" ht="30" x14ac:dyDescent="0.2">
      <c r="A190" s="1878"/>
      <c r="B190" s="1878">
        <f>'12-A. Print Sub-Annex'!C21</f>
        <v>0</v>
      </c>
      <c r="C190" s="1879" t="str">
        <f>'12-A. Print Sub-Annex'!D21</f>
        <v>Printing &amp; translation cost for Family participatory care (KMC)</v>
      </c>
      <c r="D190" s="1880" t="str">
        <f>'12-A. Print Sub-Annex'!E21</f>
        <v>RCH</v>
      </c>
      <c r="E190" s="1880" t="str">
        <f>'12-A. Print Sub-Annex'!F21</f>
        <v>CH</v>
      </c>
      <c r="F190" s="1880">
        <f>'12-A. Print Sub-Annex'!G21</f>
        <v>0</v>
      </c>
      <c r="G190" s="1880">
        <f>'12-A. Print Sub-Annex'!H21</f>
        <v>0</v>
      </c>
      <c r="H190" s="1880">
        <f>'12-A. Print Sub-Annex'!I21</f>
        <v>0</v>
      </c>
      <c r="I190" s="1880">
        <f>'12-A. Print Sub-Annex'!J21</f>
        <v>0</v>
      </c>
      <c r="J190" s="1880">
        <f>'12-A. Print Sub-Annex'!K21</f>
        <v>0</v>
      </c>
      <c r="K190" s="1880">
        <f>'12-A. Print Sub-Annex'!L21</f>
        <v>0</v>
      </c>
      <c r="L190" s="939">
        <f>'12-A. Print Sub-Annex'!M21</f>
        <v>0</v>
      </c>
      <c r="M190" s="1880">
        <f>'12-A. Print Sub-Annex'!N21</f>
        <v>0</v>
      </c>
      <c r="N190" s="1880">
        <f>'12-A. Print Sub-Annex'!O21</f>
        <v>0</v>
      </c>
      <c r="O190" s="939">
        <f>'12-A. Print Sub-Annex'!P21</f>
        <v>0</v>
      </c>
      <c r="P190" s="1878">
        <f>'12-A. Print Sub-Annex'!Q21</f>
        <v>0</v>
      </c>
      <c r="Q190" s="124"/>
      <c r="R190" s="1880">
        <v>0</v>
      </c>
    </row>
    <row r="191" spans="1:20" s="828" customFormat="1" x14ac:dyDescent="0.2">
      <c r="A191" s="1878"/>
      <c r="B191" s="1878">
        <f>'12-A. Print Sub-Annex'!C22</f>
        <v>0</v>
      </c>
      <c r="C191" s="1879" t="str">
        <f>'12-A. Print Sub-Annex'!D22</f>
        <v>Printing (SNCU data management)</v>
      </c>
      <c r="D191" s="1880" t="str">
        <f>'12-A. Print Sub-Annex'!E22</f>
        <v>RCH</v>
      </c>
      <c r="E191" s="1880" t="str">
        <f>'12-A. Print Sub-Annex'!F22</f>
        <v>CH</v>
      </c>
      <c r="F191" s="1880">
        <f>'12-A. Print Sub-Annex'!G22</f>
        <v>0</v>
      </c>
      <c r="G191" s="1880">
        <f>'12-A. Print Sub-Annex'!H22</f>
        <v>0</v>
      </c>
      <c r="H191" s="1880">
        <f>'12-A. Print Sub-Annex'!I22</f>
        <v>0</v>
      </c>
      <c r="I191" s="1880">
        <f>'12-A. Print Sub-Annex'!J22</f>
        <v>0</v>
      </c>
      <c r="J191" s="1880">
        <f>'12-A. Print Sub-Annex'!K22</f>
        <v>0</v>
      </c>
      <c r="K191" s="1880">
        <f>'12-A. Print Sub-Annex'!L22</f>
        <v>0</v>
      </c>
      <c r="L191" s="939">
        <f>'12-A. Print Sub-Annex'!M22</f>
        <v>0</v>
      </c>
      <c r="M191" s="1880">
        <f>'12-A. Print Sub-Annex'!N22</f>
        <v>0</v>
      </c>
      <c r="N191" s="1880">
        <f>'12-A. Print Sub-Annex'!O22</f>
        <v>0</v>
      </c>
      <c r="O191" s="939">
        <f>'12-A. Print Sub-Annex'!P22</f>
        <v>0</v>
      </c>
      <c r="P191" s="1878">
        <f>'12-A. Print Sub-Annex'!Q22</f>
        <v>0</v>
      </c>
      <c r="Q191" s="124"/>
      <c r="R191" s="1906"/>
      <c r="T191" s="3314"/>
    </row>
    <row r="192" spans="1:20" s="828" customFormat="1" ht="30" x14ac:dyDescent="0.2">
      <c r="A192" s="1878"/>
      <c r="B192" s="1878">
        <f>'12-A. Print Sub-Annex'!C23</f>
        <v>0</v>
      </c>
      <c r="C192" s="1879" t="str">
        <f>'12-A. Print Sub-Annex'!D23</f>
        <v>Printing of HBNC referral cards and other formats</v>
      </c>
      <c r="D192" s="1880" t="str">
        <f>'12-A. Print Sub-Annex'!E23</f>
        <v>RCH</v>
      </c>
      <c r="E192" s="1880" t="str">
        <f>'12-A. Print Sub-Annex'!F23</f>
        <v>CH</v>
      </c>
      <c r="F192" s="1880">
        <f>'12-A. Print Sub-Annex'!G23</f>
        <v>0</v>
      </c>
      <c r="G192" s="1880">
        <f>'12-A. Print Sub-Annex'!H23</f>
        <v>0</v>
      </c>
      <c r="H192" s="1880">
        <f>'12-A. Print Sub-Annex'!I23</f>
        <v>0</v>
      </c>
      <c r="I192" s="1880">
        <f>'12-A. Print Sub-Annex'!J23</f>
        <v>0</v>
      </c>
      <c r="J192" s="1880">
        <f>'12-A. Print Sub-Annex'!K23</f>
        <v>0</v>
      </c>
      <c r="K192" s="1880">
        <f>'12-A. Print Sub-Annex'!L23</f>
        <v>0</v>
      </c>
      <c r="L192" s="939">
        <f>'12-A. Print Sub-Annex'!M23</f>
        <v>0</v>
      </c>
      <c r="M192" s="1880">
        <f>'12-A. Print Sub-Annex'!N23</f>
        <v>0</v>
      </c>
      <c r="N192" s="1880">
        <f>'12-A. Print Sub-Annex'!O23</f>
        <v>0</v>
      </c>
      <c r="O192" s="939">
        <f>'12-A. Print Sub-Annex'!P23</f>
        <v>0</v>
      </c>
      <c r="P192" s="1878">
        <f>'12-A. Print Sub-Annex'!Q23</f>
        <v>0</v>
      </c>
      <c r="Q192" s="124"/>
      <c r="R192" s="1880"/>
    </row>
    <row r="193" spans="1:20" s="828" customFormat="1" ht="36" customHeight="1" x14ac:dyDescent="0.2">
      <c r="A193" s="1878"/>
      <c r="B193" s="1878">
        <f>'12-A. Print Sub-Annex'!C24</f>
        <v>0</v>
      </c>
      <c r="C193" s="1879" t="str">
        <f>'12-A. Print Sub-Annex'!D24</f>
        <v>Printing cost for HBYC</v>
      </c>
      <c r="D193" s="1880" t="str">
        <f>'12-A. Print Sub-Annex'!E24</f>
        <v>RCH</v>
      </c>
      <c r="E193" s="1880" t="str">
        <f>'12-A. Print Sub-Annex'!F24</f>
        <v>CH</v>
      </c>
      <c r="F193" s="1880">
        <f>'12-A. Print Sub-Annex'!G24</f>
        <v>0</v>
      </c>
      <c r="G193" s="1880">
        <f>'12-A. Print Sub-Annex'!H24</f>
        <v>0</v>
      </c>
      <c r="H193" s="1880">
        <f>'12-A. Print Sub-Annex'!I24</f>
        <v>0</v>
      </c>
      <c r="I193" s="1880">
        <f>'12-A. Print Sub-Annex'!J24</f>
        <v>0</v>
      </c>
      <c r="J193" s="1880">
        <f>'12-A. Print Sub-Annex'!K24</f>
        <v>0</v>
      </c>
      <c r="K193" s="1880">
        <f>'12-A. Print Sub-Annex'!L24</f>
        <v>0</v>
      </c>
      <c r="L193" s="939">
        <f>'12-A. Print Sub-Annex'!M24</f>
        <v>0</v>
      </c>
      <c r="M193" s="1880">
        <f>'12-A. Print Sub-Annex'!N24</f>
        <v>0</v>
      </c>
      <c r="N193" s="1880">
        <f>'12-A. Print Sub-Annex'!O24</f>
        <v>0</v>
      </c>
      <c r="O193" s="939">
        <f>'12-A. Print Sub-Annex'!P24</f>
        <v>0</v>
      </c>
      <c r="P193" s="1878">
        <f>'12-A. Print Sub-Annex'!Q24</f>
        <v>0</v>
      </c>
      <c r="Q193" s="124"/>
      <c r="R193" s="1906"/>
      <c r="T193" s="3314"/>
    </row>
    <row r="194" spans="1:20" s="828" customFormat="1" ht="30" x14ac:dyDescent="0.2">
      <c r="A194" s="1878"/>
      <c r="B194" s="1878">
        <f>'12-A. Print Sub-Annex'!C25</f>
        <v>0</v>
      </c>
      <c r="C194" s="1879" t="str">
        <f>'12-A. Print Sub-Annex'!D25</f>
        <v>Printing for Paediatric HDU, Emergency, OPD and Ward</v>
      </c>
      <c r="D194" s="1880" t="str">
        <f>'12-A. Print Sub-Annex'!E25</f>
        <v>RCH</v>
      </c>
      <c r="E194" s="1880" t="str">
        <f>'12-A. Print Sub-Annex'!F25</f>
        <v>CH</v>
      </c>
      <c r="F194" s="1880">
        <f>'12-A. Print Sub-Annex'!G25</f>
        <v>0</v>
      </c>
      <c r="G194" s="1880">
        <f>'12-A. Print Sub-Annex'!H25</f>
        <v>0</v>
      </c>
      <c r="H194" s="1880">
        <f>'12-A. Print Sub-Annex'!I25</f>
        <v>0</v>
      </c>
      <c r="I194" s="1880">
        <f>'12-A. Print Sub-Annex'!J25</f>
        <v>0</v>
      </c>
      <c r="J194" s="1880">
        <f>'12-A. Print Sub-Annex'!K25</f>
        <v>0</v>
      </c>
      <c r="K194" s="1880">
        <f>'12-A. Print Sub-Annex'!L25</f>
        <v>0</v>
      </c>
      <c r="L194" s="939">
        <f>'12-A. Print Sub-Annex'!M25</f>
        <v>0</v>
      </c>
      <c r="M194" s="1880">
        <f>'12-A. Print Sub-Annex'!N25</f>
        <v>0</v>
      </c>
      <c r="N194" s="1880">
        <f>'12-A. Print Sub-Annex'!O25</f>
        <v>0</v>
      </c>
      <c r="O194" s="939">
        <f>'12-A. Print Sub-Annex'!P25</f>
        <v>0</v>
      </c>
      <c r="P194" s="1878">
        <f>'12-A. Print Sub-Annex'!Q25</f>
        <v>0</v>
      </c>
      <c r="Q194" s="124"/>
      <c r="R194" s="1880">
        <v>0</v>
      </c>
    </row>
    <row r="195" spans="1:20" s="828" customFormat="1" x14ac:dyDescent="0.2">
      <c r="A195" s="1881"/>
      <c r="B195" s="1878" t="str">
        <f>'12-A. Print Sub-Annex'!C26</f>
        <v>12.2.12</v>
      </c>
      <c r="C195" s="1879" t="str">
        <f>'12-A. Print Sub-Annex'!D26</f>
        <v>Any other (please specify)</v>
      </c>
      <c r="D195" s="1880" t="str">
        <f>'12-A. Print Sub-Annex'!E26</f>
        <v>RCH</v>
      </c>
      <c r="E195" s="1880" t="str">
        <f>'12-A. Print Sub-Annex'!F26</f>
        <v>CH</v>
      </c>
      <c r="F195" s="1880">
        <f>'12-A. Print Sub-Annex'!G26</f>
        <v>0</v>
      </c>
      <c r="G195" s="1880">
        <f>'12-A. Print Sub-Annex'!H26</f>
        <v>0</v>
      </c>
      <c r="H195" s="1880">
        <f>'12-A. Print Sub-Annex'!I26</f>
        <v>0</v>
      </c>
      <c r="I195" s="1880">
        <f>'12-A. Print Sub-Annex'!J26</f>
        <v>0</v>
      </c>
      <c r="J195" s="1880">
        <f>'12-A. Print Sub-Annex'!K26</f>
        <v>0</v>
      </c>
      <c r="K195" s="1880">
        <f>'12-A. Print Sub-Annex'!L26</f>
        <v>0</v>
      </c>
      <c r="L195" s="939">
        <f>'12-A. Print Sub-Annex'!M26</f>
        <v>0</v>
      </c>
      <c r="M195" s="1880">
        <f>'12-A. Print Sub-Annex'!N26</f>
        <v>0</v>
      </c>
      <c r="N195" s="1880">
        <f>'12-A. Print Sub-Annex'!O26</f>
        <v>0</v>
      </c>
      <c r="O195" s="939">
        <f>'12-A. Print Sub-Annex'!P26</f>
        <v>0</v>
      </c>
      <c r="P195" s="1878">
        <f>'12-A. Print Sub-Annex'!Q26</f>
        <v>0</v>
      </c>
      <c r="Q195" s="124"/>
      <c r="R195" s="1880">
        <v>0</v>
      </c>
    </row>
    <row r="196" spans="1:20" s="828" customFormat="1" x14ac:dyDescent="0.2">
      <c r="A196" s="1869" t="s">
        <v>4362</v>
      </c>
      <c r="B196" s="1869"/>
      <c r="C196" s="1870" t="s">
        <v>2948</v>
      </c>
      <c r="D196" s="1871"/>
      <c r="E196" s="1871"/>
      <c r="F196" s="1871"/>
      <c r="G196" s="1871"/>
      <c r="H196" s="1872"/>
      <c r="I196" s="1871"/>
      <c r="J196" s="1872"/>
      <c r="K196" s="1871"/>
      <c r="L196" s="1872"/>
      <c r="M196" s="1872"/>
      <c r="N196" s="1895"/>
      <c r="O196" s="1896">
        <f>O197+O211+O213+O224+O234+O236+O241+O270+O277+O283+O285</f>
        <v>0</v>
      </c>
      <c r="P196" s="1897"/>
      <c r="Q196" s="1910"/>
      <c r="R196" s="1911">
        <f>R197+R211+R213+R224+R234+R236+R241+R270+R277+R283+R285</f>
        <v>0</v>
      </c>
      <c r="T196" s="3314"/>
    </row>
    <row r="197" spans="1:20" s="858" customFormat="1" x14ac:dyDescent="0.2">
      <c r="A197" s="1875">
        <f>'1.SD Facility Based Annex'!A7</f>
        <v>1</v>
      </c>
      <c r="B197" s="1875">
        <f>'1.SD Facility Based Annex'!B7</f>
        <v>0</v>
      </c>
      <c r="C197" s="1876" t="str">
        <f>'1.SD Facility Based Annex'!C7</f>
        <v>Service Delivery - Facility Based</v>
      </c>
      <c r="D197" s="1877"/>
      <c r="E197" s="1877"/>
      <c r="F197" s="1877"/>
      <c r="G197" s="1877"/>
      <c r="H197" s="1877"/>
      <c r="I197" s="1877"/>
      <c r="J197" s="1877"/>
      <c r="K197" s="1877"/>
      <c r="L197" s="969"/>
      <c r="M197" s="1877"/>
      <c r="N197" s="1877"/>
      <c r="O197" s="969">
        <f>SUM(O198:O210)</f>
        <v>0</v>
      </c>
      <c r="P197" s="1875"/>
      <c r="Q197" s="678"/>
      <c r="R197" s="132">
        <f>SUM(R198:R210)</f>
        <v>0</v>
      </c>
      <c r="T197" s="3316"/>
    </row>
    <row r="198" spans="1:20" s="828" customFormat="1" x14ac:dyDescent="0.2">
      <c r="A198" s="1878" t="str">
        <f>'1.SD Facility Based Annex'!A23</f>
        <v>1.1.3.1.1</v>
      </c>
      <c r="B198" s="1878" t="str">
        <f>'1.SD Facility Based Annex'!B23</f>
        <v>A.3.1.1</v>
      </c>
      <c r="C198" s="1879" t="str">
        <f>'1.SD Facility Based Annex'!C23</f>
        <v>Female sterilization fixed day services</v>
      </c>
      <c r="D198" s="1880" t="str">
        <f>'1.SD Facility Based Annex'!D23</f>
        <v>RCH</v>
      </c>
      <c r="E198" s="1880" t="str">
        <f>'1.SD Facility Based Annex'!E23</f>
        <v>FP</v>
      </c>
      <c r="F198" s="1880">
        <f>'1.SD Facility Based Annex'!F23</f>
        <v>0</v>
      </c>
      <c r="G198" s="1880">
        <f>'1.SD Facility Based Annex'!G23</f>
        <v>0</v>
      </c>
      <c r="H198" s="1880">
        <f>'1.SD Facility Based Annex'!H23</f>
        <v>0</v>
      </c>
      <c r="I198" s="1880">
        <f>'1.SD Facility Based Annex'!I23</f>
        <v>0</v>
      </c>
      <c r="J198" s="1880">
        <f>'1.SD Facility Based Annex'!J23</f>
        <v>0</v>
      </c>
      <c r="K198" s="1880">
        <f>'1.SD Facility Based Annex'!K23</f>
        <v>0</v>
      </c>
      <c r="L198" s="939">
        <f>'1.SD Facility Based Annex'!L23</f>
        <v>0</v>
      </c>
      <c r="M198" s="1880">
        <f>'1.SD Facility Based Annex'!M23</f>
        <v>0</v>
      </c>
      <c r="N198" s="1880">
        <f>'1.SD Facility Based Annex'!N23</f>
        <v>0</v>
      </c>
      <c r="O198" s="939">
        <f>'1.SD Facility Based Annex'!O23</f>
        <v>0</v>
      </c>
      <c r="P198" s="1878">
        <f>'1.SD Facility Based Annex'!P23</f>
        <v>0</v>
      </c>
      <c r="Q198" s="3293"/>
      <c r="R198" s="1906"/>
      <c r="T198" s="3314"/>
    </row>
    <row r="199" spans="1:20" s="828" customFormat="1" x14ac:dyDescent="0.2">
      <c r="A199" s="1878" t="str">
        <f>'1.SD Facility Based Annex'!A24</f>
        <v>1.1.3.1.2</v>
      </c>
      <c r="B199" s="1878" t="str">
        <f>'1.SD Facility Based Annex'!B24</f>
        <v>A.3.1.2</v>
      </c>
      <c r="C199" s="1879" t="str">
        <f>'1.SD Facility Based Annex'!C24</f>
        <v>Male Sterilization fixed day services</v>
      </c>
      <c r="D199" s="1880" t="str">
        <f>'1.SD Facility Based Annex'!D24</f>
        <v>RCH</v>
      </c>
      <c r="E199" s="1880" t="str">
        <f>'1.SD Facility Based Annex'!E24</f>
        <v>FP</v>
      </c>
      <c r="F199" s="1880">
        <f>'1.SD Facility Based Annex'!F24</f>
        <v>0</v>
      </c>
      <c r="G199" s="1880">
        <f>'1.SD Facility Based Annex'!G24</f>
        <v>0</v>
      </c>
      <c r="H199" s="1880">
        <f>'1.SD Facility Based Annex'!H24</f>
        <v>0</v>
      </c>
      <c r="I199" s="1880">
        <f>'1.SD Facility Based Annex'!I24</f>
        <v>0</v>
      </c>
      <c r="J199" s="1880">
        <f>'1.SD Facility Based Annex'!J24</f>
        <v>0</v>
      </c>
      <c r="K199" s="1880">
        <f>'1.SD Facility Based Annex'!K24</f>
        <v>0</v>
      </c>
      <c r="L199" s="939">
        <f>'1.SD Facility Based Annex'!L24</f>
        <v>0</v>
      </c>
      <c r="M199" s="1880">
        <f>'1.SD Facility Based Annex'!M24</f>
        <v>0</v>
      </c>
      <c r="N199" s="1880">
        <f>'1.SD Facility Based Annex'!N24</f>
        <v>0</v>
      </c>
      <c r="O199" s="939">
        <f>'1.SD Facility Based Annex'!O24</f>
        <v>0</v>
      </c>
      <c r="P199" s="1878">
        <f>'1.SD Facility Based Annex'!P24</f>
        <v>0</v>
      </c>
      <c r="Q199" s="3293"/>
      <c r="R199" s="1906"/>
      <c r="T199" s="3314"/>
    </row>
    <row r="200" spans="1:20" s="828" customFormat="1" x14ac:dyDescent="0.2">
      <c r="A200" s="1878" t="str">
        <f>'1.SD Facility Based Annex'!A26</f>
        <v>1.1.3.2.1</v>
      </c>
      <c r="B200" s="1878" t="str">
        <f>'1.SD Facility Based Annex'!B26</f>
        <v>A.3.2.1</v>
      </c>
      <c r="C200" s="1879" t="str">
        <f>'1.SD Facility Based Annex'!C26</f>
        <v>IUCD fixed day services</v>
      </c>
      <c r="D200" s="1880" t="str">
        <f>'1.SD Facility Based Annex'!D26</f>
        <v>RCH</v>
      </c>
      <c r="E200" s="1880" t="str">
        <f>'1.SD Facility Based Annex'!E26</f>
        <v>FP</v>
      </c>
      <c r="F200" s="1880">
        <f>'1.SD Facility Based Annex'!F26</f>
        <v>0</v>
      </c>
      <c r="G200" s="1880">
        <f>'1.SD Facility Based Annex'!G26</f>
        <v>0</v>
      </c>
      <c r="H200" s="1880">
        <f>'1.SD Facility Based Annex'!H26</f>
        <v>0</v>
      </c>
      <c r="I200" s="1880">
        <f>'1.SD Facility Based Annex'!I26</f>
        <v>0</v>
      </c>
      <c r="J200" s="1880">
        <f>'1.SD Facility Based Annex'!J26</f>
        <v>0</v>
      </c>
      <c r="K200" s="1880">
        <f>'1.SD Facility Based Annex'!K26</f>
        <v>0</v>
      </c>
      <c r="L200" s="939">
        <f>'1.SD Facility Based Annex'!L26</f>
        <v>0</v>
      </c>
      <c r="M200" s="1880">
        <f>'1.SD Facility Based Annex'!M26</f>
        <v>0</v>
      </c>
      <c r="N200" s="1880">
        <f>'1.SD Facility Based Annex'!N26</f>
        <v>0</v>
      </c>
      <c r="O200" s="939">
        <f>'1.SD Facility Based Annex'!O26</f>
        <v>0</v>
      </c>
      <c r="P200" s="1878">
        <f>'1.SD Facility Based Annex'!P26</f>
        <v>0</v>
      </c>
      <c r="Q200" s="3293"/>
      <c r="R200" s="1906"/>
      <c r="T200" s="3314"/>
    </row>
    <row r="201" spans="1:20" s="828" customFormat="1" ht="30" x14ac:dyDescent="0.2">
      <c r="A201" s="1878" t="str">
        <f>'1.SD Facility Based Annex'!A27</f>
        <v>1.1.3.2.1</v>
      </c>
      <c r="B201" s="1878" t="str">
        <f>'1.SD Facility Based Annex'!B27</f>
        <v>A.3.7.5</v>
      </c>
      <c r="C201" s="1879" t="str">
        <f>'1.SD Facility Based Annex'!C27</f>
        <v>Other activities (demand generation, strengthening service delivery etc.)</v>
      </c>
      <c r="D201" s="1880" t="str">
        <f>'1.SD Facility Based Annex'!D27</f>
        <v>RCH</v>
      </c>
      <c r="E201" s="1880" t="str">
        <f>'1.SD Facility Based Annex'!E27</f>
        <v>FP</v>
      </c>
      <c r="F201" s="1880">
        <f>'1.SD Facility Based Annex'!F27</f>
        <v>0</v>
      </c>
      <c r="G201" s="1880">
        <f>'1.SD Facility Based Annex'!G27</f>
        <v>0</v>
      </c>
      <c r="H201" s="1880">
        <f>'1.SD Facility Based Annex'!H27</f>
        <v>0</v>
      </c>
      <c r="I201" s="1880">
        <f>'1.SD Facility Based Annex'!I27</f>
        <v>0</v>
      </c>
      <c r="J201" s="1880">
        <f>'1.SD Facility Based Annex'!J27</f>
        <v>0</v>
      </c>
      <c r="K201" s="1880">
        <f>'1.SD Facility Based Annex'!K27</f>
        <v>0</v>
      </c>
      <c r="L201" s="939">
        <f>'1.SD Facility Based Annex'!L27</f>
        <v>0</v>
      </c>
      <c r="M201" s="1880">
        <f>'1.SD Facility Based Annex'!M27</f>
        <v>0</v>
      </c>
      <c r="N201" s="1880">
        <f>'1.SD Facility Based Annex'!N27</f>
        <v>0</v>
      </c>
      <c r="O201" s="939">
        <f>'1.SD Facility Based Annex'!O27</f>
        <v>0</v>
      </c>
      <c r="P201" s="1878">
        <f>'1.SD Facility Based Annex'!P27</f>
        <v>0</v>
      </c>
      <c r="Q201" s="124"/>
      <c r="R201" s="1880"/>
    </row>
    <row r="202" spans="1:20" s="828" customFormat="1" x14ac:dyDescent="0.2">
      <c r="A202" s="1878" t="str">
        <f>'1.SD Facility Based Annex'!A28</f>
        <v>1.1.3.3</v>
      </c>
      <c r="B202" s="1878">
        <f>'1.SD Facility Based Annex'!B28</f>
        <v>0</v>
      </c>
      <c r="C202" s="1879" t="str">
        <f>'1.SD Facility Based Annex'!C28</f>
        <v>Any other (please specify)</v>
      </c>
      <c r="D202" s="1880" t="str">
        <f>'1.SD Facility Based Annex'!D28</f>
        <v>RCH</v>
      </c>
      <c r="E202" s="1880" t="str">
        <f>'1.SD Facility Based Annex'!E28</f>
        <v>FP</v>
      </c>
      <c r="F202" s="1880">
        <f>'1.SD Facility Based Annex'!F28</f>
        <v>0</v>
      </c>
      <c r="G202" s="1880">
        <f>'1.SD Facility Based Annex'!G28</f>
        <v>0</v>
      </c>
      <c r="H202" s="1880">
        <f>'1.SD Facility Based Annex'!H28</f>
        <v>0</v>
      </c>
      <c r="I202" s="1880">
        <f>'1.SD Facility Based Annex'!I28</f>
        <v>0</v>
      </c>
      <c r="J202" s="1880">
        <f>'1.SD Facility Based Annex'!J28</f>
        <v>0</v>
      </c>
      <c r="K202" s="1880">
        <f>'1.SD Facility Based Annex'!K28</f>
        <v>0</v>
      </c>
      <c r="L202" s="939">
        <f>'1.SD Facility Based Annex'!L28</f>
        <v>0</v>
      </c>
      <c r="M202" s="1880">
        <f>'1.SD Facility Based Annex'!M28</f>
        <v>0</v>
      </c>
      <c r="N202" s="1880">
        <f>'1.SD Facility Based Annex'!N28</f>
        <v>0</v>
      </c>
      <c r="O202" s="939">
        <f>'1.SD Facility Based Annex'!O28</f>
        <v>0</v>
      </c>
      <c r="P202" s="1878">
        <f>'1.SD Facility Based Annex'!P28</f>
        <v>0</v>
      </c>
      <c r="Q202" s="124"/>
      <c r="R202" s="1880"/>
    </row>
    <row r="203" spans="1:20" s="828" customFormat="1" ht="120" x14ac:dyDescent="0.2">
      <c r="A203" s="1878" t="str">
        <f>'1.SD Facility Based Annex'!A69</f>
        <v>1.2.2.1.1</v>
      </c>
      <c r="B203" s="1878" t="str">
        <f>'1.SD Facility Based Annex'!B69</f>
        <v>A.3.1.3</v>
      </c>
      <c r="C203" s="1879" t="str">
        <f>'1.SD Facility Based Annex'!C69</f>
        <v>Compensation for female sterilization
(Provide breakup for cases covered in public facility, private facility. 
Enhanced Compensation Scheme (if applicable) additionally provide number of PPS done. 
Female sterilization done in MPV districts may also be budgeted in this head and the break up to be reflected)</v>
      </c>
      <c r="D203" s="1880" t="str">
        <f>'1.SD Facility Based Annex'!D69</f>
        <v>RCH</v>
      </c>
      <c r="E203" s="1880" t="str">
        <f>'1.SD Facility Based Annex'!E69</f>
        <v>FP</v>
      </c>
      <c r="F203" s="1880">
        <f>'1.SD Facility Based Annex'!F69</f>
        <v>0</v>
      </c>
      <c r="G203" s="1880">
        <f>'1.SD Facility Based Annex'!G69</f>
        <v>0</v>
      </c>
      <c r="H203" s="1880">
        <f>'1.SD Facility Based Annex'!H69</f>
        <v>0</v>
      </c>
      <c r="I203" s="1880">
        <f>'1.SD Facility Based Annex'!I69</f>
        <v>0</v>
      </c>
      <c r="J203" s="1880">
        <f>'1.SD Facility Based Annex'!J69</f>
        <v>0</v>
      </c>
      <c r="K203" s="1880">
        <f>'1.SD Facility Based Annex'!K69</f>
        <v>0</v>
      </c>
      <c r="L203" s="939">
        <f>'1.SD Facility Based Annex'!L69</f>
        <v>0</v>
      </c>
      <c r="M203" s="1880">
        <f>'1.SD Facility Based Annex'!M69</f>
        <v>0</v>
      </c>
      <c r="N203" s="1880">
        <f>'1.SD Facility Based Annex'!N69</f>
        <v>0</v>
      </c>
      <c r="O203" s="939">
        <f>'1.SD Facility Based Annex'!O69</f>
        <v>0</v>
      </c>
      <c r="P203" s="1878">
        <f>'1.SD Facility Based Annex'!P69</f>
        <v>0</v>
      </c>
      <c r="Q203" s="3293"/>
      <c r="R203" s="1906"/>
      <c r="T203" s="3314"/>
    </row>
    <row r="204" spans="1:20" s="828" customFormat="1" ht="90" x14ac:dyDescent="0.2">
      <c r="A204" s="1878" t="str">
        <f>'1.SD Facility Based Annex'!A70</f>
        <v>1.2.2.1.2</v>
      </c>
      <c r="B204" s="1878" t="str">
        <f>'1.SD Facility Based Annex'!B70</f>
        <v>A.3.1.4</v>
      </c>
      <c r="C204" s="1879" t="str">
        <f>'1.SD Facility Based Annex'!C70</f>
        <v>Compensation for male sterilization/NSV 
(Provide breakup for cases covered in public facility, private facility. 
Male sterilization done in MPV districts may also be budgeted in this head and the break up to be reflected)</v>
      </c>
      <c r="D204" s="1880" t="str">
        <f>'1.SD Facility Based Annex'!D70</f>
        <v>RCH</v>
      </c>
      <c r="E204" s="1880" t="str">
        <f>'1.SD Facility Based Annex'!E70</f>
        <v>FP</v>
      </c>
      <c r="F204" s="1880">
        <f>'1.SD Facility Based Annex'!F70</f>
        <v>0</v>
      </c>
      <c r="G204" s="1880">
        <f>'1.SD Facility Based Annex'!G70</f>
        <v>0</v>
      </c>
      <c r="H204" s="1880">
        <f>'1.SD Facility Based Annex'!H70</f>
        <v>0</v>
      </c>
      <c r="I204" s="1880">
        <f>'1.SD Facility Based Annex'!I70</f>
        <v>0</v>
      </c>
      <c r="J204" s="1880">
        <f>'1.SD Facility Based Annex'!J70</f>
        <v>0</v>
      </c>
      <c r="K204" s="1880">
        <f>'1.SD Facility Based Annex'!K70</f>
        <v>0</v>
      </c>
      <c r="L204" s="939">
        <f>'1.SD Facility Based Annex'!L70</f>
        <v>0</v>
      </c>
      <c r="M204" s="1880">
        <f>'1.SD Facility Based Annex'!M70</f>
        <v>0</v>
      </c>
      <c r="N204" s="1880">
        <f>'1.SD Facility Based Annex'!N70</f>
        <v>0</v>
      </c>
      <c r="O204" s="939">
        <f>'1.SD Facility Based Annex'!O70</f>
        <v>0</v>
      </c>
      <c r="P204" s="1878">
        <f>'1.SD Facility Based Annex'!P70</f>
        <v>0</v>
      </c>
      <c r="Q204" s="3293"/>
      <c r="R204" s="1906"/>
      <c r="T204" s="3314"/>
    </row>
    <row r="205" spans="1:20" s="828" customFormat="1" ht="60" x14ac:dyDescent="0.2">
      <c r="A205" s="1878" t="str">
        <f>'1.SD Facility Based Annex'!A72</f>
        <v>1.2.2.2.1</v>
      </c>
      <c r="B205" s="1878" t="str">
        <f>'1.SD Facility Based Annex'!B72</f>
        <v>A.3.2.2</v>
      </c>
      <c r="C205" s="1879" t="str">
        <f>'1.SD Facility Based Annex'!C72</f>
        <v>Compensation for IUCD insertion at health facilities (including fixed day services at SHC and PHC)
[Provide breakup: Private Sector]</v>
      </c>
      <c r="D205" s="1880" t="str">
        <f>'1.SD Facility Based Annex'!D72</f>
        <v>RCH</v>
      </c>
      <c r="E205" s="1880" t="str">
        <f>'1.SD Facility Based Annex'!E72</f>
        <v>FP</v>
      </c>
      <c r="F205" s="1880">
        <f>'1.SD Facility Based Annex'!F72</f>
        <v>0</v>
      </c>
      <c r="G205" s="1880">
        <f>'1.SD Facility Based Annex'!G72</f>
        <v>0</v>
      </c>
      <c r="H205" s="1880">
        <f>'1.SD Facility Based Annex'!H72</f>
        <v>0</v>
      </c>
      <c r="I205" s="1880">
        <f>'1.SD Facility Based Annex'!I72</f>
        <v>0</v>
      </c>
      <c r="J205" s="1880">
        <f>'1.SD Facility Based Annex'!J72</f>
        <v>0</v>
      </c>
      <c r="K205" s="1880">
        <f>'1.SD Facility Based Annex'!K72</f>
        <v>0</v>
      </c>
      <c r="L205" s="939">
        <f>'1.SD Facility Based Annex'!L72</f>
        <v>0</v>
      </c>
      <c r="M205" s="1880">
        <f>'1.SD Facility Based Annex'!M72</f>
        <v>0</v>
      </c>
      <c r="N205" s="1880">
        <f>'1.SD Facility Based Annex'!N72</f>
        <v>0</v>
      </c>
      <c r="O205" s="939">
        <f>'1.SD Facility Based Annex'!O72</f>
        <v>0</v>
      </c>
      <c r="P205" s="1878">
        <f>'1.SD Facility Based Annex'!P72</f>
        <v>0</v>
      </c>
      <c r="Q205" s="124"/>
      <c r="R205" s="1880"/>
    </row>
    <row r="206" spans="1:20" s="828" customFormat="1" ht="30" x14ac:dyDescent="0.2">
      <c r="A206" s="1878" t="str">
        <f>'1.SD Facility Based Annex'!A73</f>
        <v>1.2.2.2.2</v>
      </c>
      <c r="B206" s="1878" t="str">
        <f>'1.SD Facility Based Annex'!B73</f>
        <v>A.3.2.3</v>
      </c>
      <c r="C206" s="1879" t="str">
        <f>'1.SD Facility Based Annex'!C73</f>
        <v>PPIUCD services: Compensation to beneficiary for PPIUCD insertion</v>
      </c>
      <c r="D206" s="1880" t="str">
        <f>'1.SD Facility Based Annex'!D73</f>
        <v>RCH</v>
      </c>
      <c r="E206" s="1880" t="str">
        <f>'1.SD Facility Based Annex'!E73</f>
        <v>FP</v>
      </c>
      <c r="F206" s="1880">
        <f>'1.SD Facility Based Annex'!F73</f>
        <v>0</v>
      </c>
      <c r="G206" s="1880">
        <f>'1.SD Facility Based Annex'!G73</f>
        <v>0</v>
      </c>
      <c r="H206" s="1880">
        <f>'1.SD Facility Based Annex'!H73</f>
        <v>0</v>
      </c>
      <c r="I206" s="1880">
        <f>'1.SD Facility Based Annex'!I73</f>
        <v>0</v>
      </c>
      <c r="J206" s="1880">
        <f>'1.SD Facility Based Annex'!J73</f>
        <v>0</v>
      </c>
      <c r="K206" s="1880">
        <f>'1.SD Facility Based Annex'!K73</f>
        <v>0</v>
      </c>
      <c r="L206" s="939">
        <f>'1.SD Facility Based Annex'!L73</f>
        <v>0</v>
      </c>
      <c r="M206" s="1880">
        <f>'1.SD Facility Based Annex'!M73</f>
        <v>0</v>
      </c>
      <c r="N206" s="1880">
        <f>'1.SD Facility Based Annex'!N73</f>
        <v>0</v>
      </c>
      <c r="O206" s="939">
        <f>'1.SD Facility Based Annex'!O73</f>
        <v>0</v>
      </c>
      <c r="P206" s="1878">
        <f>'1.SD Facility Based Annex'!P73</f>
        <v>0</v>
      </c>
      <c r="Q206" s="3293"/>
      <c r="R206" s="1906"/>
      <c r="T206" s="3314"/>
    </row>
    <row r="207" spans="1:20" s="828" customFormat="1" ht="30" x14ac:dyDescent="0.2">
      <c r="A207" s="1878" t="str">
        <f>'1.SD Facility Based Annex'!A74</f>
        <v>1.2.2.2.3</v>
      </c>
      <c r="B207" s="1878" t="str">
        <f>'1.SD Facility Based Annex'!B74</f>
        <v>A.3.2.4</v>
      </c>
      <c r="C207" s="1879" t="str">
        <f>'1.SD Facility Based Annex'!C74</f>
        <v>PAIUCD Services: Compensation to beneficiary per PAIUCD insertion</v>
      </c>
      <c r="D207" s="1880" t="str">
        <f>'1.SD Facility Based Annex'!D74</f>
        <v>RCH</v>
      </c>
      <c r="E207" s="1880" t="str">
        <f>'1.SD Facility Based Annex'!E74</f>
        <v>FP</v>
      </c>
      <c r="F207" s="1880">
        <f>'1.SD Facility Based Annex'!F74</f>
        <v>0</v>
      </c>
      <c r="G207" s="1880">
        <f>'1.SD Facility Based Annex'!G74</f>
        <v>0</v>
      </c>
      <c r="H207" s="1880">
        <f>'1.SD Facility Based Annex'!H74</f>
        <v>0</v>
      </c>
      <c r="I207" s="1880">
        <f>'1.SD Facility Based Annex'!I74</f>
        <v>0</v>
      </c>
      <c r="J207" s="1880">
        <f>'1.SD Facility Based Annex'!J74</f>
        <v>0</v>
      </c>
      <c r="K207" s="1880">
        <f>'1.SD Facility Based Annex'!K74</f>
        <v>0</v>
      </c>
      <c r="L207" s="939">
        <f>'1.SD Facility Based Annex'!L74</f>
        <v>0</v>
      </c>
      <c r="M207" s="1880">
        <f>'1.SD Facility Based Annex'!M74</f>
        <v>0</v>
      </c>
      <c r="N207" s="1880">
        <f>'1.SD Facility Based Annex'!N74</f>
        <v>0</v>
      </c>
      <c r="O207" s="939">
        <f>'1.SD Facility Based Annex'!O74</f>
        <v>0</v>
      </c>
      <c r="P207" s="1878">
        <f>'1.SD Facility Based Annex'!P74</f>
        <v>0</v>
      </c>
      <c r="Q207" s="124"/>
      <c r="R207" s="1880"/>
    </row>
    <row r="208" spans="1:20" s="828" customFormat="1" ht="30" x14ac:dyDescent="0.2">
      <c r="A208" s="1878" t="str">
        <f>'1.SD Facility Based Annex'!A75</f>
        <v>1.2.2.2.4</v>
      </c>
      <c r="B208" s="1878" t="str">
        <f>'1.SD Facility Based Annex'!B75</f>
        <v>A.3.7.3</v>
      </c>
      <c r="C208" s="1879" t="str">
        <f>'1.SD Facility Based Annex'!C75</f>
        <v>Injectable contraceptive incentive for beneficiaries</v>
      </c>
      <c r="D208" s="1880" t="str">
        <f>'1.SD Facility Based Annex'!D75</f>
        <v>RCH</v>
      </c>
      <c r="E208" s="1880" t="str">
        <f>'1.SD Facility Based Annex'!E75</f>
        <v>FP</v>
      </c>
      <c r="F208" s="1880">
        <f>'1.SD Facility Based Annex'!F75</f>
        <v>0</v>
      </c>
      <c r="G208" s="1880">
        <f>'1.SD Facility Based Annex'!G75</f>
        <v>0</v>
      </c>
      <c r="H208" s="1880">
        <f>'1.SD Facility Based Annex'!H75</f>
        <v>0</v>
      </c>
      <c r="I208" s="1880">
        <f>'1.SD Facility Based Annex'!I75</f>
        <v>0</v>
      </c>
      <c r="J208" s="1880">
        <f>'1.SD Facility Based Annex'!J75</f>
        <v>0</v>
      </c>
      <c r="K208" s="1880">
        <f>'1.SD Facility Based Annex'!K75</f>
        <v>0</v>
      </c>
      <c r="L208" s="939">
        <f>'1.SD Facility Based Annex'!L75</f>
        <v>0</v>
      </c>
      <c r="M208" s="1880">
        <f>'1.SD Facility Based Annex'!M75</f>
        <v>0</v>
      </c>
      <c r="N208" s="1880">
        <f>'1.SD Facility Based Annex'!N75</f>
        <v>0</v>
      </c>
      <c r="O208" s="939">
        <f>'1.SD Facility Based Annex'!O75</f>
        <v>0</v>
      </c>
      <c r="P208" s="1878">
        <f>'1.SD Facility Based Annex'!P75</f>
        <v>0</v>
      </c>
      <c r="Q208" s="124"/>
      <c r="R208" s="1880"/>
    </row>
    <row r="209" spans="1:20" s="828" customFormat="1" x14ac:dyDescent="0.2">
      <c r="A209" s="1878" t="str">
        <f>'1.SD Facility Based Annex'!A76</f>
        <v>1.2.2.3</v>
      </c>
      <c r="B209" s="1878" t="str">
        <f>'1.SD Facility Based Annex'!B76</f>
        <v>A.3.6</v>
      </c>
      <c r="C209" s="1879" t="str">
        <f>'1.SD Facility Based Annex'!C76</f>
        <v>Family Planning Indemnity Scheme</v>
      </c>
      <c r="D209" s="1880" t="str">
        <f>'1.SD Facility Based Annex'!D76</f>
        <v>RCH</v>
      </c>
      <c r="E209" s="1880" t="str">
        <f>'1.SD Facility Based Annex'!E76</f>
        <v>FP</v>
      </c>
      <c r="F209" s="1880">
        <f>'1.SD Facility Based Annex'!F76</f>
        <v>0</v>
      </c>
      <c r="G209" s="1880">
        <f>'1.SD Facility Based Annex'!G76</f>
        <v>0</v>
      </c>
      <c r="H209" s="1880">
        <f>'1.SD Facility Based Annex'!H76</f>
        <v>0</v>
      </c>
      <c r="I209" s="1880">
        <f>'1.SD Facility Based Annex'!I76</f>
        <v>0</v>
      </c>
      <c r="J209" s="1880">
        <f>'1.SD Facility Based Annex'!J76</f>
        <v>0</v>
      </c>
      <c r="K209" s="1880">
        <f>'1.SD Facility Based Annex'!K76</f>
        <v>0</v>
      </c>
      <c r="L209" s="939">
        <f>'1.SD Facility Based Annex'!L76</f>
        <v>0</v>
      </c>
      <c r="M209" s="1880">
        <f>'1.SD Facility Based Annex'!M76</f>
        <v>0</v>
      </c>
      <c r="N209" s="1880">
        <f>'1.SD Facility Based Annex'!N76</f>
        <v>0</v>
      </c>
      <c r="O209" s="939">
        <f>'1.SD Facility Based Annex'!O76</f>
        <v>0</v>
      </c>
      <c r="P209" s="1878">
        <f>'1.SD Facility Based Annex'!P76</f>
        <v>0</v>
      </c>
      <c r="Q209" s="3328"/>
      <c r="R209" s="3329"/>
      <c r="T209" s="3314"/>
    </row>
    <row r="210" spans="1:20" s="828" customFormat="1" x14ac:dyDescent="0.2">
      <c r="A210" s="1878" t="str">
        <f>'1.SD Facility Based Annex'!A77</f>
        <v>1.2.2.4</v>
      </c>
      <c r="B210" s="1878">
        <f>'1.SD Facility Based Annex'!B77</f>
        <v>0</v>
      </c>
      <c r="C210" s="1879" t="str">
        <f>'1.SD Facility Based Annex'!C77</f>
        <v>Any other (please specify)</v>
      </c>
      <c r="D210" s="1880" t="str">
        <f>'1.SD Facility Based Annex'!D77</f>
        <v>RCH</v>
      </c>
      <c r="E210" s="1880" t="str">
        <f>'1.SD Facility Based Annex'!E77</f>
        <v>FP</v>
      </c>
      <c r="F210" s="1880">
        <f>'1.SD Facility Based Annex'!F77</f>
        <v>0</v>
      </c>
      <c r="G210" s="1880">
        <f>'1.SD Facility Based Annex'!G77</f>
        <v>0</v>
      </c>
      <c r="H210" s="1880">
        <f>'1.SD Facility Based Annex'!H77</f>
        <v>0</v>
      </c>
      <c r="I210" s="1880">
        <f>'1.SD Facility Based Annex'!I77</f>
        <v>0</v>
      </c>
      <c r="J210" s="1880">
        <f>'1.SD Facility Based Annex'!J77</f>
        <v>0</v>
      </c>
      <c r="K210" s="1880">
        <f>'1.SD Facility Based Annex'!K77</f>
        <v>0</v>
      </c>
      <c r="L210" s="939">
        <f>'1.SD Facility Based Annex'!L77</f>
        <v>0</v>
      </c>
      <c r="M210" s="1880">
        <f>'1.SD Facility Based Annex'!M77</f>
        <v>0</v>
      </c>
      <c r="N210" s="1880">
        <f>'1.SD Facility Based Annex'!N77</f>
        <v>0</v>
      </c>
      <c r="O210" s="939">
        <f>'1.SD Facility Based Annex'!O77</f>
        <v>0</v>
      </c>
      <c r="P210" s="1878">
        <f>'1.SD Facility Based Annex'!P77</f>
        <v>0</v>
      </c>
      <c r="Q210" s="124"/>
      <c r="R210" s="1880">
        <v>0</v>
      </c>
    </row>
    <row r="211" spans="1:20" s="828" customFormat="1" x14ac:dyDescent="0.2">
      <c r="A211" s="1875">
        <f>'2.SD Community Based Annex'!A7</f>
        <v>2</v>
      </c>
      <c r="B211" s="1875"/>
      <c r="C211" s="1876" t="str">
        <f>'2.SD Community Based Annex'!C7</f>
        <v>Service Delivery - Community Based</v>
      </c>
      <c r="D211" s="1877"/>
      <c r="E211" s="1877"/>
      <c r="F211" s="1877"/>
      <c r="G211" s="1877"/>
      <c r="H211" s="969"/>
      <c r="I211" s="1877"/>
      <c r="J211" s="969"/>
      <c r="K211" s="1877"/>
      <c r="L211" s="969"/>
      <c r="M211" s="969"/>
      <c r="N211" s="1886"/>
      <c r="O211" s="969">
        <f>O212</f>
        <v>0</v>
      </c>
      <c r="P211" s="1888"/>
      <c r="Q211" s="1908"/>
      <c r="R211" s="132">
        <f>R212</f>
        <v>0</v>
      </c>
      <c r="T211" s="3314"/>
    </row>
    <row r="212" spans="1:20" s="828" customFormat="1" ht="45" x14ac:dyDescent="0.2">
      <c r="A212" s="1878" t="str">
        <f>'2.SD Community Based Annex'!A20</f>
        <v>2.2.1</v>
      </c>
      <c r="B212" s="1878" t="str">
        <f>'2.SD Community Based Annex'!B20</f>
        <v>A.3.3</v>
      </c>
      <c r="C212" s="1879" t="str">
        <f>'2.SD Community Based Annex'!C20</f>
        <v>POL for Family Planning/ Others (including additional mobility support to surgeon's team if req)</v>
      </c>
      <c r="D212" s="1880" t="str">
        <f>'2.SD Community Based Annex'!D20</f>
        <v>RCH</v>
      </c>
      <c r="E212" s="1880" t="str">
        <f>'2.SD Community Based Annex'!E20</f>
        <v>FP</v>
      </c>
      <c r="F212" s="1880">
        <f>'2.SD Community Based Annex'!F20</f>
        <v>0</v>
      </c>
      <c r="G212" s="1880">
        <f>'2.SD Community Based Annex'!G20</f>
        <v>0</v>
      </c>
      <c r="H212" s="1880">
        <f>'2.SD Community Based Annex'!H20</f>
        <v>0</v>
      </c>
      <c r="I212" s="1880">
        <f>'2.SD Community Based Annex'!I20</f>
        <v>0</v>
      </c>
      <c r="J212" s="1880">
        <f>'2.SD Community Based Annex'!J20</f>
        <v>0</v>
      </c>
      <c r="K212" s="1880">
        <f>'2.SD Community Based Annex'!K20</f>
        <v>0</v>
      </c>
      <c r="L212" s="939">
        <f>'2.SD Community Based Annex'!L20</f>
        <v>0</v>
      </c>
      <c r="M212" s="1880">
        <f>'2.SD Community Based Annex'!M20</f>
        <v>0</v>
      </c>
      <c r="N212" s="1880">
        <f>'2.SD Community Based Annex'!N20</f>
        <v>0</v>
      </c>
      <c r="O212" s="939">
        <f>'2.SD Community Based Annex'!O20</f>
        <v>0</v>
      </c>
      <c r="P212" s="1878">
        <f>'2.SD Community Based Annex'!P20</f>
        <v>0</v>
      </c>
      <c r="Q212" s="3293"/>
      <c r="R212" s="1906"/>
      <c r="T212" s="3314"/>
    </row>
    <row r="213" spans="1:20" s="828" customFormat="1" x14ac:dyDescent="0.2">
      <c r="A213" s="1875">
        <f>'3.Community Intervention Annexn'!A7</f>
        <v>3</v>
      </c>
      <c r="B213" s="1875"/>
      <c r="C213" s="1876" t="str">
        <f>'3.Community Intervention Annexn'!C7</f>
        <v>Community Interventions</v>
      </c>
      <c r="D213" s="1877"/>
      <c r="E213" s="1877"/>
      <c r="F213" s="1877"/>
      <c r="G213" s="1877"/>
      <c r="H213" s="1877"/>
      <c r="I213" s="1877"/>
      <c r="J213" s="1877"/>
      <c r="K213" s="1877"/>
      <c r="L213" s="969"/>
      <c r="M213" s="1877"/>
      <c r="N213" s="1877"/>
      <c r="O213" s="969">
        <f>SUM(O214:O223)</f>
        <v>0</v>
      </c>
      <c r="P213" s="1875"/>
      <c r="Q213" s="162"/>
      <c r="R213" s="132">
        <f>SUM(R214:R223)</f>
        <v>0</v>
      </c>
      <c r="T213" s="3314"/>
    </row>
    <row r="214" spans="1:20" s="828" customFormat="1" x14ac:dyDescent="0.2">
      <c r="A214" s="4047" t="str">
        <f>'3.Community Intervention Annexn'!A14</f>
        <v>3.1.1.1.4</v>
      </c>
      <c r="B214" s="1878" t="str">
        <f>'3-A. CI Sub-Annex'!C24</f>
        <v>A.3.7.1</v>
      </c>
      <c r="C214" s="1879" t="str">
        <f>'3-A. CI Sub-Annex'!D24</f>
        <v>ASHA Incentives under Saas Bahu Sammellan</v>
      </c>
      <c r="D214" s="1880" t="str">
        <f>'3-A. CI Sub-Annex'!E24</f>
        <v>RCH</v>
      </c>
      <c r="E214" s="1880" t="str">
        <f>'3-A. CI Sub-Annex'!F24</f>
        <v>FP/NHSRC-CP</v>
      </c>
      <c r="F214" s="1880">
        <f>'3-A. CI Sub-Annex'!G24</f>
        <v>0</v>
      </c>
      <c r="G214" s="1880">
        <f>'3-A. CI Sub-Annex'!H24</f>
        <v>0</v>
      </c>
      <c r="H214" s="1880">
        <f>'3-A. CI Sub-Annex'!I24</f>
        <v>0</v>
      </c>
      <c r="I214" s="1880">
        <f>'3-A. CI Sub-Annex'!J24</f>
        <v>0</v>
      </c>
      <c r="J214" s="1880">
        <f>'3-A. CI Sub-Annex'!K24</f>
        <v>0</v>
      </c>
      <c r="K214" s="1880">
        <f>'3-A. CI Sub-Annex'!L24</f>
        <v>0</v>
      </c>
      <c r="L214" s="939">
        <f>'3-A. CI Sub-Annex'!M24</f>
        <v>0</v>
      </c>
      <c r="M214" s="1880">
        <f>'3-A. CI Sub-Annex'!N24</f>
        <v>0</v>
      </c>
      <c r="N214" s="1880">
        <f>'3-A. CI Sub-Annex'!O24</f>
        <v>0</v>
      </c>
      <c r="O214" s="939">
        <f>'3-A. CI Sub-Annex'!P24</f>
        <v>0</v>
      </c>
      <c r="P214" s="1878">
        <f>'3-A. CI Sub-Annex'!Q24</f>
        <v>0</v>
      </c>
      <c r="Q214" s="124"/>
      <c r="R214" s="1880">
        <v>0</v>
      </c>
    </row>
    <row r="215" spans="1:20" s="828" customFormat="1" x14ac:dyDescent="0.2">
      <c r="A215" s="4047"/>
      <c r="B215" s="1878" t="str">
        <f>'3-A. CI Sub-Annex'!C25</f>
        <v>A.3.7.2</v>
      </c>
      <c r="C215" s="1879" t="str">
        <f>'3-A. CI Sub-Annex'!D25</f>
        <v>ASHA Incentives under Nayi Pehl Kit</v>
      </c>
      <c r="D215" s="1880" t="str">
        <f>'3-A. CI Sub-Annex'!E25</f>
        <v>RCH</v>
      </c>
      <c r="E215" s="1880" t="str">
        <f>'3-A. CI Sub-Annex'!F25</f>
        <v>FP/NHSRC-CP</v>
      </c>
      <c r="F215" s="1880">
        <f>'3-A. CI Sub-Annex'!G25</f>
        <v>0</v>
      </c>
      <c r="G215" s="1880">
        <f>'3-A. CI Sub-Annex'!H25</f>
        <v>0</v>
      </c>
      <c r="H215" s="1880">
        <f>'3-A. CI Sub-Annex'!I25</f>
        <v>0</v>
      </c>
      <c r="I215" s="1880">
        <f>'3-A. CI Sub-Annex'!J25</f>
        <v>0</v>
      </c>
      <c r="J215" s="1880">
        <f>'3-A. CI Sub-Annex'!K25</f>
        <v>0</v>
      </c>
      <c r="K215" s="1880">
        <f>'3-A. CI Sub-Annex'!L25</f>
        <v>0</v>
      </c>
      <c r="L215" s="939">
        <f>'3-A. CI Sub-Annex'!M25</f>
        <v>0</v>
      </c>
      <c r="M215" s="1880">
        <f>'3-A. CI Sub-Annex'!N25</f>
        <v>0</v>
      </c>
      <c r="N215" s="1880">
        <f>'3-A. CI Sub-Annex'!O25</f>
        <v>0</v>
      </c>
      <c r="O215" s="939">
        <f>'3-A. CI Sub-Annex'!P25</f>
        <v>0</v>
      </c>
      <c r="P215" s="1878">
        <f>'3-A. CI Sub-Annex'!Q25</f>
        <v>0</v>
      </c>
      <c r="Q215" s="124"/>
      <c r="R215" s="1880">
        <v>0</v>
      </c>
    </row>
    <row r="216" spans="1:20" s="828" customFormat="1" ht="30" x14ac:dyDescent="0.2">
      <c r="A216" s="4047"/>
      <c r="B216" s="1878">
        <f>'3-A. CI Sub-Annex'!C26</f>
        <v>0</v>
      </c>
      <c r="C216" s="1879" t="str">
        <f>'3-A. CI Sub-Annex'!D26</f>
        <v>ASHA incentive for updation of EC survey before each MPV campaign</v>
      </c>
      <c r="D216" s="1880" t="str">
        <f>'3-A. CI Sub-Annex'!E26</f>
        <v>RCH</v>
      </c>
      <c r="E216" s="1880" t="str">
        <f>'3-A. CI Sub-Annex'!F26</f>
        <v>FP/NHSRC-CP</v>
      </c>
      <c r="F216" s="1880">
        <f>'3-A. CI Sub-Annex'!G26</f>
        <v>0</v>
      </c>
      <c r="G216" s="1880">
        <f>'3-A. CI Sub-Annex'!H26</f>
        <v>0</v>
      </c>
      <c r="H216" s="1880">
        <f>'3-A. CI Sub-Annex'!I26</f>
        <v>0</v>
      </c>
      <c r="I216" s="1880">
        <f>'3-A. CI Sub-Annex'!J26</f>
        <v>0</v>
      </c>
      <c r="J216" s="1880">
        <f>'3-A. CI Sub-Annex'!K26</f>
        <v>0</v>
      </c>
      <c r="K216" s="1880">
        <f>'3-A. CI Sub-Annex'!L26</f>
        <v>0</v>
      </c>
      <c r="L216" s="939">
        <f>'3-A. CI Sub-Annex'!M26</f>
        <v>0</v>
      </c>
      <c r="M216" s="1880">
        <f>'3-A. CI Sub-Annex'!N26</f>
        <v>0</v>
      </c>
      <c r="N216" s="1880">
        <f>'3-A. CI Sub-Annex'!O26</f>
        <v>0</v>
      </c>
      <c r="O216" s="939">
        <f>'3-A. CI Sub-Annex'!P26</f>
        <v>0</v>
      </c>
      <c r="P216" s="1878">
        <f>'3-A. CI Sub-Annex'!Q26</f>
        <v>0</v>
      </c>
      <c r="Q216" s="124"/>
      <c r="R216" s="1880">
        <v>0</v>
      </c>
    </row>
    <row r="217" spans="1:20" s="828" customFormat="1" ht="45" x14ac:dyDescent="0.2">
      <c r="A217" s="4047"/>
      <c r="B217" s="1878" t="str">
        <f>'3-A. CI Sub-Annex'!C27</f>
        <v>B1.1.3.3.1</v>
      </c>
      <c r="C217" s="1879" t="str">
        <f>'3-A. CI Sub-Annex'!D27</f>
        <v>ASHA PPIUCD incentive for accompanying the client for PPIUCD insertion (@ Rs. 150/ASHA/insertion)</v>
      </c>
      <c r="D217" s="1880" t="str">
        <f>'3-A. CI Sub-Annex'!E27</f>
        <v>RCH</v>
      </c>
      <c r="E217" s="1880" t="str">
        <f>'3-A. CI Sub-Annex'!F27</f>
        <v>FP/NHSRC-CP</v>
      </c>
      <c r="F217" s="1880">
        <f>'3-A. CI Sub-Annex'!G27</f>
        <v>0</v>
      </c>
      <c r="G217" s="1880">
        <f>'3-A. CI Sub-Annex'!H27</f>
        <v>0</v>
      </c>
      <c r="H217" s="1880">
        <f>'3-A. CI Sub-Annex'!I27</f>
        <v>0</v>
      </c>
      <c r="I217" s="1880">
        <f>'3-A. CI Sub-Annex'!J27</f>
        <v>0</v>
      </c>
      <c r="J217" s="1880">
        <f>'3-A. CI Sub-Annex'!K27</f>
        <v>0</v>
      </c>
      <c r="K217" s="1880">
        <f>'3-A. CI Sub-Annex'!L27</f>
        <v>0</v>
      </c>
      <c r="L217" s="939">
        <f>'3-A. CI Sub-Annex'!M27</f>
        <v>0</v>
      </c>
      <c r="M217" s="1880">
        <f>'3-A. CI Sub-Annex'!N27</f>
        <v>0</v>
      </c>
      <c r="N217" s="1880">
        <f>'3-A. CI Sub-Annex'!O27</f>
        <v>0</v>
      </c>
      <c r="O217" s="939">
        <f>'3-A. CI Sub-Annex'!P27</f>
        <v>0</v>
      </c>
      <c r="P217" s="1878">
        <f>'3-A. CI Sub-Annex'!Q27</f>
        <v>0</v>
      </c>
      <c r="Q217" s="3293"/>
      <c r="R217" s="1906"/>
      <c r="T217" s="3314"/>
    </row>
    <row r="218" spans="1:20" s="828" customFormat="1" ht="45" x14ac:dyDescent="0.2">
      <c r="A218" s="4047"/>
      <c r="B218" s="1878" t="str">
        <f>'3-A. CI Sub-Annex'!C28</f>
        <v>B1.1.3.3.2</v>
      </c>
      <c r="C218" s="1879" t="str">
        <f>'3-A. CI Sub-Annex'!D28</f>
        <v>ASHA PAIUCD incentive for accompanying the client for PAIUCD insertion (@ Rs. 150/ASHA/insertion)</v>
      </c>
      <c r="D218" s="1880" t="str">
        <f>'3-A. CI Sub-Annex'!E28</f>
        <v>RCH</v>
      </c>
      <c r="E218" s="1880" t="str">
        <f>'3-A. CI Sub-Annex'!F28</f>
        <v>FP/NHSRC-CP</v>
      </c>
      <c r="F218" s="1880">
        <f>'3-A. CI Sub-Annex'!G28</f>
        <v>0</v>
      </c>
      <c r="G218" s="1880">
        <f>'3-A. CI Sub-Annex'!H28</f>
        <v>0</v>
      </c>
      <c r="H218" s="1880">
        <f>'3-A. CI Sub-Annex'!I28</f>
        <v>0</v>
      </c>
      <c r="I218" s="1880">
        <f>'3-A. CI Sub-Annex'!J28</f>
        <v>0</v>
      </c>
      <c r="J218" s="1880">
        <f>'3-A. CI Sub-Annex'!K28</f>
        <v>0</v>
      </c>
      <c r="K218" s="1880">
        <f>'3-A. CI Sub-Annex'!L28</f>
        <v>0</v>
      </c>
      <c r="L218" s="939">
        <f>'3-A. CI Sub-Annex'!M28</f>
        <v>0</v>
      </c>
      <c r="M218" s="1880">
        <f>'3-A. CI Sub-Annex'!N28</f>
        <v>0</v>
      </c>
      <c r="N218" s="1880">
        <f>'3-A. CI Sub-Annex'!O28</f>
        <v>0</v>
      </c>
      <c r="O218" s="939">
        <f>'3-A. CI Sub-Annex'!P28</f>
        <v>0</v>
      </c>
      <c r="P218" s="1878">
        <f>'3-A. CI Sub-Annex'!Q28</f>
        <v>0</v>
      </c>
      <c r="Q218" s="124"/>
      <c r="R218" s="1880">
        <v>0</v>
      </c>
    </row>
    <row r="219" spans="1:20" s="828" customFormat="1" ht="30" x14ac:dyDescent="0.2">
      <c r="A219" s="4047"/>
      <c r="B219" s="1878" t="str">
        <f>'3-A. CI Sub-Annex'!C29</f>
        <v>B1.1.3.3.3</v>
      </c>
      <c r="C219" s="1879" t="str">
        <f>'3-A. CI Sub-Annex'!D29</f>
        <v>ASHA incentive under ESB scheme for promoting spacing of births</v>
      </c>
      <c r="D219" s="1880" t="str">
        <f>'3-A. CI Sub-Annex'!E29</f>
        <v>RCH</v>
      </c>
      <c r="E219" s="1880" t="str">
        <f>'3-A. CI Sub-Annex'!F29</f>
        <v>FP/NHSRC-CP</v>
      </c>
      <c r="F219" s="1880">
        <f>'3-A. CI Sub-Annex'!G29</f>
        <v>0</v>
      </c>
      <c r="G219" s="1880">
        <f>'3-A. CI Sub-Annex'!H29</f>
        <v>0</v>
      </c>
      <c r="H219" s="1880">
        <f>'3-A. CI Sub-Annex'!I29</f>
        <v>0</v>
      </c>
      <c r="I219" s="1880">
        <f>'3-A. CI Sub-Annex'!J29</f>
        <v>0</v>
      </c>
      <c r="J219" s="1880">
        <f>'3-A. CI Sub-Annex'!K29</f>
        <v>0</v>
      </c>
      <c r="K219" s="1880">
        <f>'3-A. CI Sub-Annex'!L29</f>
        <v>0</v>
      </c>
      <c r="L219" s="939">
        <f>'3-A. CI Sub-Annex'!M29</f>
        <v>0</v>
      </c>
      <c r="M219" s="1880">
        <f>'3-A. CI Sub-Annex'!N29</f>
        <v>0</v>
      </c>
      <c r="N219" s="1880">
        <f>'3-A. CI Sub-Annex'!O29</f>
        <v>0</v>
      </c>
      <c r="O219" s="939">
        <f>'3-A. CI Sub-Annex'!P29</f>
        <v>0</v>
      </c>
      <c r="P219" s="1878">
        <f>'3-A. CI Sub-Annex'!Q29</f>
        <v>0</v>
      </c>
      <c r="Q219" s="124"/>
      <c r="R219" s="1880">
        <v>0</v>
      </c>
    </row>
    <row r="220" spans="1:20" s="828" customFormat="1" ht="30" x14ac:dyDescent="0.2">
      <c r="A220" s="4047"/>
      <c r="B220" s="1878" t="str">
        <f>'3-A. CI Sub-Annex'!C30</f>
        <v>B1.1.3.3.4</v>
      </c>
      <c r="C220" s="1879" t="str">
        <f>'3-A. CI Sub-Annex'!D30</f>
        <v>ASHA Incentive under ESB scheme for promoting adoption of limiting method up to two children</v>
      </c>
      <c r="D220" s="1880" t="str">
        <f>'3-A. CI Sub-Annex'!E30</f>
        <v>RCH</v>
      </c>
      <c r="E220" s="1880" t="str">
        <f>'3-A. CI Sub-Annex'!F30</f>
        <v>FP/NHSRC-CP</v>
      </c>
      <c r="F220" s="1880">
        <f>'3-A. CI Sub-Annex'!G30</f>
        <v>0</v>
      </c>
      <c r="G220" s="1880">
        <f>'3-A. CI Sub-Annex'!H30</f>
        <v>0</v>
      </c>
      <c r="H220" s="1880">
        <f>'3-A. CI Sub-Annex'!I30</f>
        <v>0</v>
      </c>
      <c r="I220" s="1880">
        <f>'3-A. CI Sub-Annex'!J30</f>
        <v>0</v>
      </c>
      <c r="J220" s="1880">
        <f>'3-A. CI Sub-Annex'!K30</f>
        <v>0</v>
      </c>
      <c r="K220" s="1880">
        <f>'3-A. CI Sub-Annex'!L30</f>
        <v>0</v>
      </c>
      <c r="L220" s="939">
        <f>'3-A. CI Sub-Annex'!M30</f>
        <v>0</v>
      </c>
      <c r="M220" s="1880">
        <f>'3-A. CI Sub-Annex'!N30</f>
        <v>0</v>
      </c>
      <c r="N220" s="1880">
        <f>'3-A. CI Sub-Annex'!O30</f>
        <v>0</v>
      </c>
      <c r="O220" s="939">
        <f>'3-A. CI Sub-Annex'!P30</f>
        <v>0</v>
      </c>
      <c r="P220" s="1878">
        <f>'3-A. CI Sub-Annex'!Q30</f>
        <v>0</v>
      </c>
      <c r="Q220" s="124"/>
      <c r="R220" s="1880">
        <v>0</v>
      </c>
    </row>
    <row r="221" spans="1:20" s="828" customFormat="1" ht="60" x14ac:dyDescent="0.2">
      <c r="A221" s="4047"/>
      <c r="B221" s="1878" t="str">
        <f>'3-A. CI Sub-Annex'!C31</f>
        <v>A.3.7.3/ 3.1.1.2.8</v>
      </c>
      <c r="C221" s="1879" t="str">
        <f>'3-A. CI Sub-Annex'!D31</f>
        <v>ASHA incentive for accompanying the client for Injectable MPA (Antara Prog) administration ( @Rs 100/dose/beneficiary)- Only for 146 Mission Parivar Vikas districts</v>
      </c>
      <c r="D221" s="1880" t="str">
        <f>'3-A. CI Sub-Annex'!E31</f>
        <v>RCH</v>
      </c>
      <c r="E221" s="1880" t="str">
        <f>'3-A. CI Sub-Annex'!F31</f>
        <v>FP/ RC-CP</v>
      </c>
      <c r="F221" s="1880">
        <f>'3-A. CI Sub-Annex'!G31</f>
        <v>0</v>
      </c>
      <c r="G221" s="1880">
        <f>'3-A. CI Sub-Annex'!H31</f>
        <v>0</v>
      </c>
      <c r="H221" s="1880">
        <f>'3-A. CI Sub-Annex'!I31</f>
        <v>0</v>
      </c>
      <c r="I221" s="1880">
        <f>'3-A. CI Sub-Annex'!J31</f>
        <v>0</v>
      </c>
      <c r="J221" s="1880">
        <f>'3-A. CI Sub-Annex'!K31</f>
        <v>0</v>
      </c>
      <c r="K221" s="1880">
        <f>'3-A. CI Sub-Annex'!L31</f>
        <v>0</v>
      </c>
      <c r="L221" s="939">
        <f>'3-A. CI Sub-Annex'!M31</f>
        <v>0</v>
      </c>
      <c r="M221" s="1880">
        <f>'3-A. CI Sub-Annex'!N31</f>
        <v>0</v>
      </c>
      <c r="N221" s="1880">
        <f>'3-A. CI Sub-Annex'!O31</f>
        <v>0</v>
      </c>
      <c r="O221" s="939">
        <f>'3-A. CI Sub-Annex'!P31</f>
        <v>0</v>
      </c>
      <c r="P221" s="1878">
        <f>'3-A. CI Sub-Annex'!Q31</f>
        <v>0</v>
      </c>
      <c r="Q221" s="124"/>
      <c r="R221" s="1880">
        <v>0</v>
      </c>
    </row>
    <row r="222" spans="1:20" s="828" customFormat="1" x14ac:dyDescent="0.2">
      <c r="A222" s="4047"/>
      <c r="B222" s="1878">
        <f>'3-A. CI Sub-Annex'!C32</f>
        <v>0</v>
      </c>
      <c r="C222" s="1879" t="str">
        <f>'3-A. CI Sub-Annex'!D32</f>
        <v>Any other ASHA incentives (please specify)</v>
      </c>
      <c r="D222" s="1880" t="str">
        <f>'3-A. CI Sub-Annex'!E32</f>
        <v>RCH</v>
      </c>
      <c r="E222" s="1880" t="str">
        <f>'3-A. CI Sub-Annex'!F32</f>
        <v>FP/ RC-CP</v>
      </c>
      <c r="F222" s="1880">
        <f>'3-A. CI Sub-Annex'!G32</f>
        <v>0</v>
      </c>
      <c r="G222" s="1880">
        <f>'3-A. CI Sub-Annex'!H32</f>
        <v>0</v>
      </c>
      <c r="H222" s="1880">
        <f>'3-A. CI Sub-Annex'!I32</f>
        <v>0</v>
      </c>
      <c r="I222" s="1880">
        <f>'3-A. CI Sub-Annex'!J32</f>
        <v>0</v>
      </c>
      <c r="J222" s="1880">
        <f>'3-A. CI Sub-Annex'!K32</f>
        <v>0</v>
      </c>
      <c r="K222" s="1880">
        <f>'3-A. CI Sub-Annex'!L32</f>
        <v>0</v>
      </c>
      <c r="L222" s="939">
        <f>'3-A. CI Sub-Annex'!M32</f>
        <v>0</v>
      </c>
      <c r="M222" s="1880">
        <f>'3-A. CI Sub-Annex'!N32</f>
        <v>0</v>
      </c>
      <c r="N222" s="1880">
        <f>'3-A. CI Sub-Annex'!O32</f>
        <v>0</v>
      </c>
      <c r="O222" s="939">
        <f>'3-A. CI Sub-Annex'!P32</f>
        <v>0</v>
      </c>
      <c r="P222" s="1878">
        <f>'3-A. CI Sub-Annex'!Q32</f>
        <v>0</v>
      </c>
      <c r="Q222" s="124"/>
      <c r="R222" s="1880">
        <v>0</v>
      </c>
    </row>
    <row r="223" spans="1:20" s="828" customFormat="1" ht="45" x14ac:dyDescent="0.2">
      <c r="A223" s="1878" t="str">
        <f>'3.Community Intervention Annexn'!A35</f>
        <v>3.2.1.1</v>
      </c>
      <c r="B223" s="1878" t="str">
        <f>'3-A. CI Sub-Annex'!C89</f>
        <v>A.3.7.5</v>
      </c>
      <c r="C223" s="1879" t="str">
        <f>'3-A. CI Sub-Annex'!D89</f>
        <v>Other activities under Mission Parivar Vikas : Demand Generation (Saarthi, Saas Bahu Sammellan, Creating enabling environment)</v>
      </c>
      <c r="D223" s="1880" t="str">
        <f>'3-A. CI Sub-Annex'!E89</f>
        <v>RCH</v>
      </c>
      <c r="E223" s="1880" t="str">
        <f>'3-A. CI Sub-Annex'!F89</f>
        <v>FP</v>
      </c>
      <c r="F223" s="1880">
        <f>'3-A. CI Sub-Annex'!G89</f>
        <v>0</v>
      </c>
      <c r="G223" s="1880">
        <f>'3-A. CI Sub-Annex'!H89</f>
        <v>0</v>
      </c>
      <c r="H223" s="1880">
        <f>'3-A. CI Sub-Annex'!I89</f>
        <v>0</v>
      </c>
      <c r="I223" s="1880">
        <f>'3-A. CI Sub-Annex'!J89</f>
        <v>0</v>
      </c>
      <c r="J223" s="1880">
        <f>'3-A. CI Sub-Annex'!K89</f>
        <v>0</v>
      </c>
      <c r="K223" s="1880">
        <f>'3-A. CI Sub-Annex'!L89</f>
        <v>0</v>
      </c>
      <c r="L223" s="939">
        <f>'3-A. CI Sub-Annex'!M89</f>
        <v>0</v>
      </c>
      <c r="M223" s="1880">
        <f>'3-A. CI Sub-Annex'!N89</f>
        <v>0</v>
      </c>
      <c r="N223" s="1880">
        <f>'3-A. CI Sub-Annex'!O89</f>
        <v>0</v>
      </c>
      <c r="O223" s="939">
        <f>'3-A. CI Sub-Annex'!P89</f>
        <v>0</v>
      </c>
      <c r="P223" s="1878">
        <f>'3-A. CI Sub-Annex'!Q89</f>
        <v>0</v>
      </c>
      <c r="Q223" s="124"/>
      <c r="R223" s="1880">
        <v>0</v>
      </c>
    </row>
    <row r="224" spans="1:20" s="828" customFormat="1" x14ac:dyDescent="0.2">
      <c r="A224" s="1875">
        <f>'6.Procurement Annex'!A7</f>
        <v>6</v>
      </c>
      <c r="B224" s="1875"/>
      <c r="C224" s="1876" t="str">
        <f>'6.Procurement Annex'!C7</f>
        <v>Procurement</v>
      </c>
      <c r="D224" s="1877"/>
      <c r="E224" s="1877"/>
      <c r="F224" s="1877"/>
      <c r="G224" s="1877"/>
      <c r="H224" s="1877"/>
      <c r="I224" s="1877"/>
      <c r="J224" s="1877"/>
      <c r="K224" s="1877"/>
      <c r="L224" s="969"/>
      <c r="M224" s="1877"/>
      <c r="N224" s="1877"/>
      <c r="O224" s="969">
        <f>SUM(O225:O233)</f>
        <v>0</v>
      </c>
      <c r="P224" s="1875"/>
      <c r="Q224" s="162"/>
      <c r="R224" s="132">
        <f>SUM(R225:R233)</f>
        <v>0</v>
      </c>
      <c r="T224" s="3314"/>
    </row>
    <row r="225" spans="1:20" s="828" customFormat="1" x14ac:dyDescent="0.2">
      <c r="A225" s="4047" t="str">
        <f>'6.Procurement Annex'!A12</f>
        <v>6.1.1.3</v>
      </c>
      <c r="B225" s="1878" t="str">
        <f>'6-A. Proc. Sub-Annex'!C20</f>
        <v>B16.1.3.1</v>
      </c>
      <c r="C225" s="1879" t="str">
        <f>'6-A. Proc. Sub-Annex'!D20</f>
        <v>NSV kits</v>
      </c>
      <c r="D225" s="1880" t="str">
        <f>'6-A. Proc. Sub-Annex'!E20</f>
        <v>RCH</v>
      </c>
      <c r="E225" s="1880" t="str">
        <f>'6-A. Proc. Sub-Annex'!F20</f>
        <v>FP</v>
      </c>
      <c r="F225" s="1880">
        <f>'6-A. Proc. Sub-Annex'!G20</f>
        <v>0</v>
      </c>
      <c r="G225" s="1880">
        <f>'6-A. Proc. Sub-Annex'!H20</f>
        <v>0</v>
      </c>
      <c r="H225" s="1880">
        <f>'6-A. Proc. Sub-Annex'!I20</f>
        <v>0</v>
      </c>
      <c r="I225" s="1880">
        <f>'6-A. Proc. Sub-Annex'!J20</f>
        <v>0</v>
      </c>
      <c r="J225" s="1880">
        <f>'6-A. Proc. Sub-Annex'!K20</f>
        <v>0</v>
      </c>
      <c r="K225" s="1880">
        <f>'6-A. Proc. Sub-Annex'!L20</f>
        <v>0</v>
      </c>
      <c r="L225" s="939">
        <f>'6-A. Proc. Sub-Annex'!M20</f>
        <v>0</v>
      </c>
      <c r="M225" s="1880">
        <f>'6-A. Proc. Sub-Annex'!N20</f>
        <v>0</v>
      </c>
      <c r="N225" s="1880">
        <f>'6-A. Proc. Sub-Annex'!O20</f>
        <v>0</v>
      </c>
      <c r="O225" s="939">
        <f>'6-A. Proc. Sub-Annex'!P20</f>
        <v>0</v>
      </c>
      <c r="P225" s="1878">
        <f>'6-A. Proc. Sub-Annex'!Q20</f>
        <v>0</v>
      </c>
      <c r="Q225" s="3293"/>
      <c r="R225" s="1906"/>
      <c r="T225" s="3314"/>
    </row>
    <row r="226" spans="1:20" s="828" customFormat="1" x14ac:dyDescent="0.2">
      <c r="A226" s="4047"/>
      <c r="B226" s="1878" t="str">
        <f>'6-A. Proc. Sub-Annex'!C21</f>
        <v>B16.1.3.2</v>
      </c>
      <c r="C226" s="1879" t="str">
        <f>'6-A. Proc. Sub-Annex'!D21</f>
        <v>IUCD kits</v>
      </c>
      <c r="D226" s="1880" t="str">
        <f>'6-A. Proc. Sub-Annex'!E21</f>
        <v>RCH</v>
      </c>
      <c r="E226" s="1880" t="str">
        <f>'6-A. Proc. Sub-Annex'!F21</f>
        <v>FP</v>
      </c>
      <c r="F226" s="1880">
        <f>'6-A. Proc. Sub-Annex'!G21</f>
        <v>0</v>
      </c>
      <c r="G226" s="1880">
        <f>'6-A. Proc. Sub-Annex'!H21</f>
        <v>0</v>
      </c>
      <c r="H226" s="1880">
        <f>'6-A. Proc. Sub-Annex'!I21</f>
        <v>0</v>
      </c>
      <c r="I226" s="1880">
        <f>'6-A. Proc. Sub-Annex'!J21</f>
        <v>0</v>
      </c>
      <c r="J226" s="1880">
        <f>'6-A. Proc. Sub-Annex'!K21</f>
        <v>0</v>
      </c>
      <c r="K226" s="1880">
        <f>'6-A. Proc. Sub-Annex'!L21</f>
        <v>0</v>
      </c>
      <c r="L226" s="939">
        <f>'6-A. Proc. Sub-Annex'!M21</f>
        <v>0</v>
      </c>
      <c r="M226" s="1880">
        <f>'6-A. Proc. Sub-Annex'!N21</f>
        <v>0</v>
      </c>
      <c r="N226" s="1880">
        <f>'6-A. Proc. Sub-Annex'!O21</f>
        <v>0</v>
      </c>
      <c r="O226" s="939">
        <f>'6-A. Proc. Sub-Annex'!P21</f>
        <v>0</v>
      </c>
      <c r="P226" s="1878">
        <f>'6-A. Proc. Sub-Annex'!Q21</f>
        <v>0</v>
      </c>
      <c r="Q226" s="3293"/>
      <c r="R226" s="1906"/>
      <c r="T226" s="3314"/>
    </row>
    <row r="227" spans="1:20" s="828" customFormat="1" x14ac:dyDescent="0.2">
      <c r="A227" s="4047"/>
      <c r="B227" s="1878" t="str">
        <f>'6-A. Proc. Sub-Annex'!C22</f>
        <v>B16.1.3.3</v>
      </c>
      <c r="C227" s="1879" t="str">
        <f>'6-A. Proc. Sub-Annex'!D22</f>
        <v>minilap kits</v>
      </c>
      <c r="D227" s="1880" t="str">
        <f>'6-A. Proc. Sub-Annex'!E22</f>
        <v>RCH</v>
      </c>
      <c r="E227" s="1880" t="str">
        <f>'6-A. Proc. Sub-Annex'!F22</f>
        <v>FP</v>
      </c>
      <c r="F227" s="1880">
        <f>'6-A. Proc. Sub-Annex'!G22</f>
        <v>0</v>
      </c>
      <c r="G227" s="1880">
        <f>'6-A. Proc. Sub-Annex'!H22</f>
        <v>0</v>
      </c>
      <c r="H227" s="1880">
        <f>'6-A. Proc. Sub-Annex'!I22</f>
        <v>0</v>
      </c>
      <c r="I227" s="1880">
        <f>'6-A. Proc. Sub-Annex'!J22</f>
        <v>0</v>
      </c>
      <c r="J227" s="1880">
        <f>'6-A. Proc. Sub-Annex'!K22</f>
        <v>0</v>
      </c>
      <c r="K227" s="1880">
        <f>'6-A. Proc. Sub-Annex'!L22</f>
        <v>0</v>
      </c>
      <c r="L227" s="939">
        <f>'6-A. Proc. Sub-Annex'!M22</f>
        <v>0</v>
      </c>
      <c r="M227" s="1880">
        <f>'6-A. Proc. Sub-Annex'!N22</f>
        <v>0</v>
      </c>
      <c r="N227" s="1880">
        <f>'6-A. Proc. Sub-Annex'!O22</f>
        <v>0</v>
      </c>
      <c r="O227" s="939">
        <f>'6-A. Proc. Sub-Annex'!P22</f>
        <v>0</v>
      </c>
      <c r="P227" s="1878">
        <f>'6-A. Proc. Sub-Annex'!Q22</f>
        <v>0</v>
      </c>
      <c r="Q227" s="3293"/>
      <c r="R227" s="1906"/>
      <c r="T227" s="3314"/>
    </row>
    <row r="228" spans="1:20" s="828" customFormat="1" x14ac:dyDescent="0.2">
      <c r="A228" s="4047"/>
      <c r="B228" s="3288" t="str">
        <f>'6-A. Proc. Sub-Annex'!C23</f>
        <v>B16.1.3.4</v>
      </c>
      <c r="C228" s="1879" t="str">
        <f>'6-A. Proc. Sub-Annex'!D23</f>
        <v>laparoscopes</v>
      </c>
      <c r="D228" s="1880" t="str">
        <f>'6-A. Proc. Sub-Annex'!E23</f>
        <v>RCH</v>
      </c>
      <c r="E228" s="1880" t="str">
        <f>'6-A. Proc. Sub-Annex'!F23</f>
        <v>FP</v>
      </c>
      <c r="F228" s="1880">
        <f>'6-A. Proc. Sub-Annex'!G23</f>
        <v>0</v>
      </c>
      <c r="G228" s="1880">
        <f>'6-A. Proc. Sub-Annex'!H23</f>
        <v>0</v>
      </c>
      <c r="H228" s="1880">
        <f>'6-A. Proc. Sub-Annex'!I23</f>
        <v>0</v>
      </c>
      <c r="I228" s="1880">
        <f>'6-A. Proc. Sub-Annex'!J23</f>
        <v>0</v>
      </c>
      <c r="J228" s="1880">
        <f>'6-A. Proc. Sub-Annex'!K23</f>
        <v>0</v>
      </c>
      <c r="K228" s="1880">
        <f>'6-A. Proc. Sub-Annex'!L23</f>
        <v>0</v>
      </c>
      <c r="L228" s="939">
        <f>'6-A. Proc. Sub-Annex'!M23</f>
        <v>0</v>
      </c>
      <c r="M228" s="1880">
        <f>'6-A. Proc. Sub-Annex'!N23</f>
        <v>0</v>
      </c>
      <c r="N228" s="1880">
        <f>'6-A. Proc. Sub-Annex'!O23</f>
        <v>0</v>
      </c>
      <c r="O228" s="939">
        <f>'6-A. Proc. Sub-Annex'!P23</f>
        <v>0</v>
      </c>
      <c r="P228" s="3288">
        <f>'6-A. Proc. Sub-Annex'!Q23</f>
        <v>0</v>
      </c>
      <c r="Q228" s="124"/>
      <c r="R228" s="1906"/>
      <c r="T228" s="3318"/>
    </row>
    <row r="229" spans="1:20" s="828" customFormat="1" x14ac:dyDescent="0.2">
      <c r="A229" s="4047"/>
      <c r="B229" s="1878" t="str">
        <f>'6-A. Proc. Sub-Annex'!C24</f>
        <v>B16.1.3.5</v>
      </c>
      <c r="C229" s="1879" t="str">
        <f>'6-A. Proc. Sub-Annex'!D24</f>
        <v>PPIUCD forceps</v>
      </c>
      <c r="D229" s="1880" t="str">
        <f>'6-A. Proc. Sub-Annex'!E24</f>
        <v>RCH</v>
      </c>
      <c r="E229" s="1880" t="str">
        <f>'6-A. Proc. Sub-Annex'!F24</f>
        <v>FP</v>
      </c>
      <c r="F229" s="1880">
        <f>'6-A. Proc. Sub-Annex'!G24</f>
        <v>0</v>
      </c>
      <c r="G229" s="1880">
        <f>'6-A. Proc. Sub-Annex'!H24</f>
        <v>0</v>
      </c>
      <c r="H229" s="1880">
        <f>'6-A. Proc. Sub-Annex'!I24</f>
        <v>0</v>
      </c>
      <c r="I229" s="1880">
        <f>'6-A. Proc. Sub-Annex'!J24</f>
        <v>0</v>
      </c>
      <c r="J229" s="1880">
        <f>'6-A. Proc. Sub-Annex'!K24</f>
        <v>0</v>
      </c>
      <c r="K229" s="1880">
        <f>'6-A. Proc. Sub-Annex'!L24</f>
        <v>0</v>
      </c>
      <c r="L229" s="939">
        <f>'6-A. Proc. Sub-Annex'!M24</f>
        <v>0</v>
      </c>
      <c r="M229" s="1880">
        <f>'6-A. Proc. Sub-Annex'!N24</f>
        <v>0</v>
      </c>
      <c r="N229" s="1880">
        <f>'6-A. Proc. Sub-Annex'!O24</f>
        <v>0</v>
      </c>
      <c r="O229" s="939">
        <f>'6-A. Proc. Sub-Annex'!P24</f>
        <v>0</v>
      </c>
      <c r="P229" s="1878">
        <f>'6-A. Proc. Sub-Annex'!Q24</f>
        <v>0</v>
      </c>
      <c r="Q229" s="3293"/>
      <c r="R229" s="1906"/>
      <c r="T229" s="3314"/>
    </row>
    <row r="230" spans="1:20" s="828" customFormat="1" x14ac:dyDescent="0.2">
      <c r="A230" s="4047"/>
      <c r="B230" s="1878" t="str">
        <f>'6-A. Proc. Sub-Annex'!C25</f>
        <v>B16.1.3.6</v>
      </c>
      <c r="C230" s="1879" t="str">
        <f>'6-A. Proc. Sub-Annex'!D25</f>
        <v>Any other equipment (please specify)</v>
      </c>
      <c r="D230" s="1880" t="str">
        <f>'6-A. Proc. Sub-Annex'!E25</f>
        <v>RCH</v>
      </c>
      <c r="E230" s="1880" t="str">
        <f>'6-A. Proc. Sub-Annex'!F25</f>
        <v>FP</v>
      </c>
      <c r="F230" s="1880">
        <f>'6-A. Proc. Sub-Annex'!G25</f>
        <v>0</v>
      </c>
      <c r="G230" s="1880">
        <f>'6-A. Proc. Sub-Annex'!H25</f>
        <v>0</v>
      </c>
      <c r="H230" s="1880">
        <f>'6-A. Proc. Sub-Annex'!I25</f>
        <v>0</v>
      </c>
      <c r="I230" s="1880">
        <f>'6-A. Proc. Sub-Annex'!J25</f>
        <v>0</v>
      </c>
      <c r="J230" s="1880">
        <f>'6-A. Proc. Sub-Annex'!K25</f>
        <v>0</v>
      </c>
      <c r="K230" s="1880">
        <f>'6-A. Proc. Sub-Annex'!L25</f>
        <v>0</v>
      </c>
      <c r="L230" s="939">
        <f>'6-A. Proc. Sub-Annex'!M25</f>
        <v>0</v>
      </c>
      <c r="M230" s="1880">
        <f>'6-A. Proc. Sub-Annex'!N25</f>
        <v>0</v>
      </c>
      <c r="N230" s="1880">
        <f>'6-A. Proc. Sub-Annex'!O25</f>
        <v>0</v>
      </c>
      <c r="O230" s="939">
        <f>'6-A. Proc. Sub-Annex'!P25</f>
        <v>0</v>
      </c>
      <c r="P230" s="1878">
        <f>'6-A. Proc. Sub-Annex'!Q25</f>
        <v>0</v>
      </c>
      <c r="Q230" s="124"/>
      <c r="R230" s="1880">
        <v>0</v>
      </c>
    </row>
    <row r="231" spans="1:20" s="828" customFormat="1" x14ac:dyDescent="0.2">
      <c r="A231" s="1878" t="str">
        <f>'6.Procurement Annex'!A47</f>
        <v>6.1.6.1</v>
      </c>
      <c r="B231" s="1889" t="str">
        <f>'6-A. Proc. Sub-Annex'!C137</f>
        <v>A.3.4</v>
      </c>
      <c r="C231" s="1890" t="str">
        <f>'6-A. Proc. Sub-Annex'!D137</f>
        <v>Repairs of Laparoscopes</v>
      </c>
      <c r="D231" s="1891" t="str">
        <f>'6-A. Proc. Sub-Annex'!E137</f>
        <v>RCH</v>
      </c>
      <c r="E231" s="1891" t="str">
        <f>'6-A. Proc. Sub-Annex'!F137</f>
        <v>FP</v>
      </c>
      <c r="F231" s="1891">
        <f>'6-A. Proc. Sub-Annex'!G137</f>
        <v>0</v>
      </c>
      <c r="G231" s="1891">
        <f>'6-A. Proc. Sub-Annex'!H137</f>
        <v>0</v>
      </c>
      <c r="H231" s="1891">
        <f>'6-A. Proc. Sub-Annex'!I137</f>
        <v>0</v>
      </c>
      <c r="I231" s="1891">
        <f>'6-A. Proc. Sub-Annex'!J137</f>
        <v>0</v>
      </c>
      <c r="J231" s="1891">
        <f>'6-A. Proc. Sub-Annex'!K137</f>
        <v>0</v>
      </c>
      <c r="K231" s="1891">
        <f>'6-A. Proc. Sub-Annex'!L137</f>
        <v>0</v>
      </c>
      <c r="L231" s="939">
        <f>'6-A. Proc. Sub-Annex'!M137</f>
        <v>0</v>
      </c>
      <c r="M231" s="1891">
        <f>'6-A. Proc. Sub-Annex'!N137</f>
        <v>0</v>
      </c>
      <c r="N231" s="1891">
        <f>'6-A. Proc. Sub-Annex'!O137</f>
        <v>0</v>
      </c>
      <c r="O231" s="939">
        <f>'6-A. Proc. Sub-Annex'!P137</f>
        <v>0</v>
      </c>
      <c r="P231" s="1889">
        <f>'6-A. Proc. Sub-Annex'!Q137</f>
        <v>0</v>
      </c>
      <c r="Q231" s="124"/>
      <c r="R231" s="1880">
        <v>0</v>
      </c>
    </row>
    <row r="232" spans="1:20" s="828" customFormat="1" x14ac:dyDescent="0.2">
      <c r="A232" s="4047" t="str">
        <f>'6.Procurement Annex'!A58</f>
        <v>6.2.1.3</v>
      </c>
      <c r="B232" s="1889" t="str">
        <f>'6-A. Proc. Sub-Annex'!C174</f>
        <v>A.3.7.2</v>
      </c>
      <c r="C232" s="1890" t="str">
        <f>'6-A. Proc. Sub-Annex'!D174</f>
        <v>Nayi Pehl Kit</v>
      </c>
      <c r="D232" s="1891" t="str">
        <f>'6-A. Proc. Sub-Annex'!E174</f>
        <v>RCH</v>
      </c>
      <c r="E232" s="1891" t="str">
        <f>'6-A. Proc. Sub-Annex'!F174</f>
        <v>FP</v>
      </c>
      <c r="F232" s="1891">
        <f>'6-A. Proc. Sub-Annex'!G174</f>
        <v>0</v>
      </c>
      <c r="G232" s="1891">
        <f>'6-A. Proc. Sub-Annex'!H174</f>
        <v>0</v>
      </c>
      <c r="H232" s="1891">
        <f>'6-A. Proc. Sub-Annex'!I174</f>
        <v>0</v>
      </c>
      <c r="I232" s="1891">
        <f>'6-A. Proc. Sub-Annex'!J174</f>
        <v>0</v>
      </c>
      <c r="J232" s="1891">
        <f>'6-A. Proc. Sub-Annex'!K174</f>
        <v>0</v>
      </c>
      <c r="K232" s="1891">
        <f>'6-A. Proc. Sub-Annex'!L174</f>
        <v>0</v>
      </c>
      <c r="L232" s="939">
        <f>'6-A. Proc. Sub-Annex'!M174</f>
        <v>0</v>
      </c>
      <c r="M232" s="1891">
        <f>'6-A. Proc. Sub-Annex'!N174</f>
        <v>0</v>
      </c>
      <c r="N232" s="1891">
        <f>'6-A. Proc. Sub-Annex'!O174</f>
        <v>0</v>
      </c>
      <c r="O232" s="939">
        <f>'6-A. Proc. Sub-Annex'!P174</f>
        <v>0</v>
      </c>
      <c r="P232" s="1889">
        <f>'6-A. Proc. Sub-Annex'!Q174</f>
        <v>0</v>
      </c>
      <c r="Q232" s="124"/>
      <c r="R232" s="1880">
        <v>0</v>
      </c>
    </row>
    <row r="233" spans="1:20" s="828" customFormat="1" x14ac:dyDescent="0.2">
      <c r="A233" s="4047"/>
      <c r="B233" s="1889" t="str">
        <f>'6-A. Proc. Sub-Annex'!C175</f>
        <v>B.16.2.3.1</v>
      </c>
      <c r="C233" s="1890" t="str">
        <f>'6-A. Proc. Sub-Annex'!D175</f>
        <v>Any other Drugs &amp; Supplies (Please specify)</v>
      </c>
      <c r="D233" s="1891" t="str">
        <f>'6-A. Proc. Sub-Annex'!E175</f>
        <v>RCH</v>
      </c>
      <c r="E233" s="1891" t="str">
        <f>'6-A. Proc. Sub-Annex'!F175</f>
        <v>FP</v>
      </c>
      <c r="F233" s="1891">
        <f>'6-A. Proc. Sub-Annex'!G175</f>
        <v>0</v>
      </c>
      <c r="G233" s="1891">
        <f>'6-A. Proc. Sub-Annex'!H175</f>
        <v>0</v>
      </c>
      <c r="H233" s="1891">
        <f>'6-A. Proc. Sub-Annex'!I175</f>
        <v>0</v>
      </c>
      <c r="I233" s="1891">
        <f>'6-A. Proc. Sub-Annex'!J175</f>
        <v>0</v>
      </c>
      <c r="J233" s="1891">
        <f>'6-A. Proc. Sub-Annex'!K175</f>
        <v>0</v>
      </c>
      <c r="K233" s="1891">
        <f>'6-A. Proc. Sub-Annex'!L175</f>
        <v>0</v>
      </c>
      <c r="L233" s="939">
        <f>'6-A. Proc. Sub-Annex'!M175</f>
        <v>0</v>
      </c>
      <c r="M233" s="1891">
        <f>'6-A. Proc. Sub-Annex'!N175</f>
        <v>0</v>
      </c>
      <c r="N233" s="1891">
        <f>'6-A. Proc. Sub-Annex'!O175</f>
        <v>0</v>
      </c>
      <c r="O233" s="939">
        <f>'6-A. Proc. Sub-Annex'!P175</f>
        <v>0</v>
      </c>
      <c r="P233" s="1889">
        <f>'6-A. Proc. Sub-Annex'!Q175</f>
        <v>0</v>
      </c>
      <c r="Q233" s="124"/>
      <c r="R233" s="1880">
        <v>0</v>
      </c>
    </row>
    <row r="234" spans="1:20" s="828" customFormat="1" x14ac:dyDescent="0.2">
      <c r="A234" s="1875">
        <f>'7.Referral Transport Annex'!A7</f>
        <v>7</v>
      </c>
      <c r="B234" s="1885"/>
      <c r="C234" s="1876" t="str">
        <f>'7.Referral Transport Annex'!C7</f>
        <v>Referral Transport</v>
      </c>
      <c r="D234" s="1877"/>
      <c r="E234" s="1877"/>
      <c r="F234" s="1877"/>
      <c r="G234" s="1877"/>
      <c r="H234" s="969"/>
      <c r="I234" s="1877"/>
      <c r="J234" s="969"/>
      <c r="K234" s="1877"/>
      <c r="L234" s="969"/>
      <c r="M234" s="969"/>
      <c r="N234" s="1886"/>
      <c r="O234" s="1887">
        <f>SUM(O235:O235)</f>
        <v>0</v>
      </c>
      <c r="P234" s="1888"/>
      <c r="Q234" s="1908"/>
      <c r="R234" s="1909">
        <f>SUM(R235:R235)</f>
        <v>0</v>
      </c>
      <c r="T234" s="3314"/>
    </row>
    <row r="235" spans="1:20" s="828" customFormat="1" x14ac:dyDescent="0.2">
      <c r="A235" s="1878">
        <f>'7.Referral Transport Annex'!A10</f>
        <v>7.3</v>
      </c>
      <c r="B235" s="1878" t="str">
        <f>'7.Referral Transport Annex'!B10</f>
        <v>B12.2.9.1</v>
      </c>
      <c r="C235" s="1879" t="str">
        <f>'7.Referral Transport Annex'!C10</f>
        <v>Drop back scheme for sterilization clients</v>
      </c>
      <c r="D235" s="1880" t="str">
        <f>'7.Referral Transport Annex'!D10</f>
        <v>RCH</v>
      </c>
      <c r="E235" s="1880" t="str">
        <f>'7.Referral Transport Annex'!E10</f>
        <v>FP</v>
      </c>
      <c r="F235" s="1880">
        <f>'7.Referral Transport Annex'!F10</f>
        <v>0</v>
      </c>
      <c r="G235" s="1880">
        <f>'7.Referral Transport Annex'!G10</f>
        <v>0</v>
      </c>
      <c r="H235" s="1880">
        <f>'7.Referral Transport Annex'!H10</f>
        <v>0</v>
      </c>
      <c r="I235" s="1880">
        <f>'7.Referral Transport Annex'!I10</f>
        <v>0</v>
      </c>
      <c r="J235" s="1880">
        <f>'7.Referral Transport Annex'!J10</f>
        <v>0</v>
      </c>
      <c r="K235" s="1880">
        <f>'7.Referral Transport Annex'!K10</f>
        <v>0</v>
      </c>
      <c r="L235" s="939">
        <f>'7.Referral Transport Annex'!L10</f>
        <v>0</v>
      </c>
      <c r="M235" s="1880">
        <f>'7.Referral Transport Annex'!M10</f>
        <v>0</v>
      </c>
      <c r="N235" s="1880">
        <f>'7.Referral Transport Annex'!N10</f>
        <v>0</v>
      </c>
      <c r="O235" s="939">
        <f>'7.Referral Transport Annex'!O10</f>
        <v>0</v>
      </c>
      <c r="P235" s="1878">
        <f>'7.Referral Transport Annex'!P10</f>
        <v>0</v>
      </c>
      <c r="Q235" s="3293"/>
      <c r="R235" s="1906"/>
      <c r="T235" s="3314"/>
    </row>
    <row r="236" spans="1:20" s="828" customFormat="1" x14ac:dyDescent="0.2">
      <c r="A236" s="1875">
        <f>'8.Human Resources (SD) Annex'!A7</f>
        <v>8</v>
      </c>
      <c r="B236" s="1875"/>
      <c r="C236" s="1876" t="str">
        <f>'8.Human Resources (SD) Annex'!C7</f>
        <v>Human Resources</v>
      </c>
      <c r="D236" s="1877"/>
      <c r="E236" s="1877"/>
      <c r="F236" s="1877"/>
      <c r="G236" s="1877"/>
      <c r="H236" s="1877"/>
      <c r="I236" s="1877"/>
      <c r="J236" s="1877"/>
      <c r="K236" s="1877"/>
      <c r="L236" s="969"/>
      <c r="M236" s="1877"/>
      <c r="N236" s="1877"/>
      <c r="O236" s="969">
        <f>SUM(O237:O240)</f>
        <v>0</v>
      </c>
      <c r="P236" s="1875"/>
      <c r="Q236" s="678"/>
      <c r="R236" s="132">
        <f>SUM(R237:R240)</f>
        <v>0</v>
      </c>
      <c r="T236" s="3314"/>
    </row>
    <row r="237" spans="1:20" s="828" customFormat="1" x14ac:dyDescent="0.2">
      <c r="A237" s="1878" t="str">
        <f>'8.Human Resources (SD) Annex'!A168</f>
        <v>8.4.5</v>
      </c>
      <c r="B237" s="1878" t="str">
        <f>'8.Human Resources (SD) Annex'!B168</f>
        <v>A.3.5.3</v>
      </c>
      <c r="C237" s="1879" t="str">
        <f>'8.Human Resources (SD) Annex'!C168</f>
        <v>Performance reward if any</v>
      </c>
      <c r="D237" s="1880" t="str">
        <f>'8.Human Resources (SD) Annex'!D168</f>
        <v>RCH</v>
      </c>
      <c r="E237" s="1880" t="str">
        <f>'8.Human Resources (SD) Annex'!E168</f>
        <v>FP</v>
      </c>
      <c r="F237" s="1880">
        <f>'8.Human Resources (SD) Annex'!F168</f>
        <v>0</v>
      </c>
      <c r="G237" s="1880">
        <f>'8.Human Resources (SD) Annex'!G168</f>
        <v>0</v>
      </c>
      <c r="H237" s="1880">
        <f>'8.Human Resources (SD) Annex'!H168</f>
        <v>0</v>
      </c>
      <c r="I237" s="1880">
        <f>'8.Human Resources (SD) Annex'!I168</f>
        <v>0</v>
      </c>
      <c r="J237" s="1880">
        <f>'8.Human Resources (SD) Annex'!J168</f>
        <v>0</v>
      </c>
      <c r="K237" s="1880">
        <f>'8.Human Resources (SD) Annex'!L168</f>
        <v>0</v>
      </c>
      <c r="L237" s="939">
        <f>'8.Human Resources (SD) Annex'!M168</f>
        <v>0</v>
      </c>
      <c r="M237" s="1880">
        <f>'8.Human Resources (SD) Annex'!N168</f>
        <v>0</v>
      </c>
      <c r="N237" s="1880">
        <f>'8.Human Resources (SD) Annex'!O168</f>
        <v>0</v>
      </c>
      <c r="O237" s="939">
        <f>'8.Human Resources (SD) Annex'!P168</f>
        <v>0</v>
      </c>
      <c r="P237" s="1878">
        <f>'8.Human Resources (SD) Annex'!Q168</f>
        <v>0</v>
      </c>
      <c r="Q237" s="3330"/>
      <c r="R237" s="3326"/>
      <c r="T237" s="3314"/>
    </row>
    <row r="238" spans="1:20" s="828" customFormat="1" ht="45" x14ac:dyDescent="0.2">
      <c r="A238" s="1878" t="str">
        <f>'8.Human Resources (SD) Annex'!A169</f>
        <v>8.4.6</v>
      </c>
      <c r="B238" s="1878" t="str">
        <f>'8.Human Resources (SD) Annex'!B169</f>
        <v>A.3.2.2</v>
      </c>
      <c r="C238" s="1879" t="str">
        <f>'8.Human Resources (SD) Annex'!C169</f>
        <v>Incentive to provider for IUCD insertion at health facilities (including fixed day services at SHC and PHC) [Provide breakup: Public Sector]</v>
      </c>
      <c r="D238" s="1880" t="str">
        <f>'8.Human Resources (SD) Annex'!D169</f>
        <v>RCH</v>
      </c>
      <c r="E238" s="1880" t="str">
        <f>'8.Human Resources (SD) Annex'!E169</f>
        <v>FP</v>
      </c>
      <c r="F238" s="1880">
        <f>'8.Human Resources (SD) Annex'!F169</f>
        <v>0</v>
      </c>
      <c r="G238" s="1880">
        <f>'8.Human Resources (SD) Annex'!G169</f>
        <v>0</v>
      </c>
      <c r="H238" s="1880">
        <f>'8.Human Resources (SD) Annex'!H169</f>
        <v>0</v>
      </c>
      <c r="I238" s="1880">
        <f>'8.Human Resources (SD) Annex'!I169</f>
        <v>0</v>
      </c>
      <c r="J238" s="1880">
        <f>'8.Human Resources (SD) Annex'!J169</f>
        <v>0</v>
      </c>
      <c r="K238" s="1880">
        <f>'8.Human Resources (SD) Annex'!L169</f>
        <v>0</v>
      </c>
      <c r="L238" s="939">
        <f>'8.Human Resources (SD) Annex'!M169</f>
        <v>0</v>
      </c>
      <c r="M238" s="1880">
        <f>'8.Human Resources (SD) Annex'!N169</f>
        <v>0</v>
      </c>
      <c r="N238" s="1880">
        <f>'8.Human Resources (SD) Annex'!O169</f>
        <v>0</v>
      </c>
      <c r="O238" s="939">
        <f>'8.Human Resources (SD) Annex'!P169</f>
        <v>0</v>
      </c>
      <c r="P238" s="1878">
        <f>'8.Human Resources (SD) Annex'!Q169</f>
        <v>0</v>
      </c>
      <c r="Q238" s="3293"/>
      <c r="R238" s="1906"/>
      <c r="T238" s="3314"/>
    </row>
    <row r="239" spans="1:20" s="828" customFormat="1" x14ac:dyDescent="0.2">
      <c r="A239" s="1878" t="str">
        <f>'8.Human Resources (SD) Annex'!A170</f>
        <v>8.4.7</v>
      </c>
      <c r="B239" s="1878" t="str">
        <f>'8.Human Resources (SD) Annex'!B170</f>
        <v>A.3.2.3</v>
      </c>
      <c r="C239" s="1879" t="str">
        <f>'8.Human Resources (SD) Annex'!C170</f>
        <v>Incentive to provider for PPIUCD services</v>
      </c>
      <c r="D239" s="1880" t="str">
        <f>'8.Human Resources (SD) Annex'!D170</f>
        <v>RCH</v>
      </c>
      <c r="E239" s="1880" t="str">
        <f>'8.Human Resources (SD) Annex'!E170</f>
        <v>FP</v>
      </c>
      <c r="F239" s="1880">
        <f>'8.Human Resources (SD) Annex'!F170</f>
        <v>0</v>
      </c>
      <c r="G239" s="1880">
        <f>'8.Human Resources (SD) Annex'!G170</f>
        <v>0</v>
      </c>
      <c r="H239" s="1880">
        <f>'8.Human Resources (SD) Annex'!H170</f>
        <v>0</v>
      </c>
      <c r="I239" s="1880">
        <f>'8.Human Resources (SD) Annex'!I170</f>
        <v>0</v>
      </c>
      <c r="J239" s="1880">
        <f>'8.Human Resources (SD) Annex'!J170</f>
        <v>0</v>
      </c>
      <c r="K239" s="1880">
        <f>'8.Human Resources (SD) Annex'!L170</f>
        <v>0</v>
      </c>
      <c r="L239" s="939">
        <f>'8.Human Resources (SD) Annex'!M170</f>
        <v>0</v>
      </c>
      <c r="M239" s="1880">
        <f>'8.Human Resources (SD) Annex'!N170</f>
        <v>0</v>
      </c>
      <c r="N239" s="1880">
        <f>'8.Human Resources (SD) Annex'!O170</f>
        <v>0</v>
      </c>
      <c r="O239" s="939">
        <f>'8.Human Resources (SD) Annex'!P170</f>
        <v>0</v>
      </c>
      <c r="P239" s="1878">
        <f>'8.Human Resources (SD) Annex'!Q170</f>
        <v>0</v>
      </c>
      <c r="Q239" s="3293"/>
      <c r="R239" s="1906"/>
      <c r="T239" s="3314"/>
    </row>
    <row r="240" spans="1:20" s="828" customFormat="1" x14ac:dyDescent="0.2">
      <c r="A240" s="1878" t="str">
        <f>'8.Human Resources (SD) Annex'!A171</f>
        <v>8.4.8</v>
      </c>
      <c r="B240" s="1878" t="str">
        <f>'8.Human Resources (SD) Annex'!B171</f>
        <v>A.3.2.4</v>
      </c>
      <c r="C240" s="1879" t="str">
        <f>'8.Human Resources (SD) Annex'!C171</f>
        <v>Incentive to provider for PAIUCD Services</v>
      </c>
      <c r="D240" s="1880" t="str">
        <f>'8.Human Resources (SD) Annex'!D171</f>
        <v>RCH</v>
      </c>
      <c r="E240" s="1880" t="str">
        <f>'8.Human Resources (SD) Annex'!E171</f>
        <v>FP</v>
      </c>
      <c r="F240" s="1880">
        <f>'8.Human Resources (SD) Annex'!F171</f>
        <v>0</v>
      </c>
      <c r="G240" s="1880">
        <f>'8.Human Resources (SD) Annex'!G171</f>
        <v>0</v>
      </c>
      <c r="H240" s="1880">
        <f>'8.Human Resources (SD) Annex'!H171</f>
        <v>0</v>
      </c>
      <c r="I240" s="1880">
        <f>'8.Human Resources (SD) Annex'!I171</f>
        <v>0</v>
      </c>
      <c r="J240" s="1880">
        <f>'8.Human Resources (SD) Annex'!J171</f>
        <v>0</v>
      </c>
      <c r="K240" s="1880">
        <f>'8.Human Resources (SD) Annex'!L171</f>
        <v>0</v>
      </c>
      <c r="L240" s="939">
        <f>'8.Human Resources (SD) Annex'!M171</f>
        <v>0</v>
      </c>
      <c r="M240" s="1880">
        <f>'8.Human Resources (SD) Annex'!N171</f>
        <v>0</v>
      </c>
      <c r="N240" s="1880">
        <f>'8.Human Resources (SD) Annex'!O171</f>
        <v>0</v>
      </c>
      <c r="O240" s="939">
        <f>'8.Human Resources (SD) Annex'!P171</f>
        <v>0</v>
      </c>
      <c r="P240" s="1878">
        <f>'8.Human Resources (SD) Annex'!Q171</f>
        <v>0</v>
      </c>
      <c r="Q240" s="124"/>
      <c r="R240" s="1880">
        <v>0</v>
      </c>
    </row>
    <row r="241" spans="1:20" s="828" customFormat="1" x14ac:dyDescent="0.2">
      <c r="A241" s="1875">
        <f>'9.Training Annex'!A7</f>
        <v>9</v>
      </c>
      <c r="B241" s="1875"/>
      <c r="C241" s="1876" t="str">
        <f>'9.Training Annex'!C7</f>
        <v>Training and Capacity Building</v>
      </c>
      <c r="D241" s="1877"/>
      <c r="E241" s="1877"/>
      <c r="F241" s="1877"/>
      <c r="G241" s="1877"/>
      <c r="H241" s="1877"/>
      <c r="I241" s="1877"/>
      <c r="J241" s="1877"/>
      <c r="K241" s="1877"/>
      <c r="L241" s="969"/>
      <c r="M241" s="1877"/>
      <c r="N241" s="1877"/>
      <c r="O241" s="969">
        <f>SUM(O242:O269)</f>
        <v>0</v>
      </c>
      <c r="P241" s="1875"/>
      <c r="Q241" s="162"/>
      <c r="R241" s="132">
        <f>SUM(R242:R269)</f>
        <v>0</v>
      </c>
      <c r="T241" s="3314"/>
    </row>
    <row r="242" spans="1:20" s="828" customFormat="1" x14ac:dyDescent="0.2">
      <c r="A242" s="1878" t="str">
        <f>'9.Training Annex'!A23</f>
        <v>9.2.1.3</v>
      </c>
      <c r="B242" s="1878" t="str">
        <f>'9-A.Training Sub-Annex'!C82</f>
        <v>A.9.6.8</v>
      </c>
      <c r="C242" s="1879" t="str">
        <f>'9-A.Training Sub-Annex'!D82</f>
        <v>Training / Orientation technical manuals</v>
      </c>
      <c r="D242" s="1880" t="str">
        <f>'9-A.Training Sub-Annex'!E82</f>
        <v>RCH</v>
      </c>
      <c r="E242" s="1880" t="str">
        <f>'9-A.Training Sub-Annex'!F82</f>
        <v>FP</v>
      </c>
      <c r="F242" s="1880">
        <f>'9-A.Training Sub-Annex'!G82</f>
        <v>0</v>
      </c>
      <c r="G242" s="1880">
        <f>'9-A.Training Sub-Annex'!H82</f>
        <v>0</v>
      </c>
      <c r="H242" s="1880">
        <f>'9-A.Training Sub-Annex'!I82</f>
        <v>0</v>
      </c>
      <c r="I242" s="1880">
        <f>'9-A.Training Sub-Annex'!J82</f>
        <v>0</v>
      </c>
      <c r="J242" s="1880">
        <f>'9-A.Training Sub-Annex'!K82</f>
        <v>0</v>
      </c>
      <c r="K242" s="1880">
        <f>'9-A.Training Sub-Annex'!L82</f>
        <v>0</v>
      </c>
      <c r="L242" s="939">
        <f>'9-A.Training Sub-Annex'!M82</f>
        <v>0</v>
      </c>
      <c r="M242" s="1880">
        <f>'9-A.Training Sub-Annex'!N82</f>
        <v>0</v>
      </c>
      <c r="N242" s="1880">
        <f>'9-A.Training Sub-Annex'!O82</f>
        <v>0</v>
      </c>
      <c r="O242" s="939">
        <f>'9-A.Training Sub-Annex'!P82</f>
        <v>0</v>
      </c>
      <c r="P242" s="1878">
        <f>'9-A.Training Sub-Annex'!Q82</f>
        <v>0</v>
      </c>
      <c r="Q242" s="124"/>
      <c r="R242" s="1880">
        <v>0</v>
      </c>
    </row>
    <row r="243" spans="1:20" s="828" customFormat="1" ht="105" x14ac:dyDescent="0.2">
      <c r="A243" s="1878"/>
      <c r="B243" s="1878" t="str">
        <f>'9-A.Training Sub-Annex'!C83</f>
        <v>A.3.2.6</v>
      </c>
      <c r="C243" s="1879" t="str">
        <f>'9-A.Training Sub-Annex'!D83</f>
        <v xml:space="preserve">Orientation/review  of ANM/AWW (as applicable) for New schemes, FP-LMIS, new contraceptives, Post partum and post abortion Family Planning, Scheme for home delivery of contraceptives (HDC), Ensuring spacing at birth (ESB {wherever applicable}), Pregnancy Testing Kits (PTK) </v>
      </c>
      <c r="D243" s="1880" t="str">
        <f>'9-A.Training Sub-Annex'!E83</f>
        <v>RCH</v>
      </c>
      <c r="E243" s="1880" t="str">
        <f>'9-A.Training Sub-Annex'!F83</f>
        <v>FP</v>
      </c>
      <c r="F243" s="1880">
        <f>'9-A.Training Sub-Annex'!G83</f>
        <v>0</v>
      </c>
      <c r="G243" s="1880">
        <f>'9-A.Training Sub-Annex'!H83</f>
        <v>0</v>
      </c>
      <c r="H243" s="1880">
        <f>'9-A.Training Sub-Annex'!I83</f>
        <v>0</v>
      </c>
      <c r="I243" s="1880">
        <f>'9-A.Training Sub-Annex'!J83</f>
        <v>0</v>
      </c>
      <c r="J243" s="1880">
        <f>'9-A.Training Sub-Annex'!K83</f>
        <v>0</v>
      </c>
      <c r="K243" s="1880">
        <f>'9-A.Training Sub-Annex'!L83</f>
        <v>0</v>
      </c>
      <c r="L243" s="939">
        <f>'9-A.Training Sub-Annex'!M83</f>
        <v>0</v>
      </c>
      <c r="M243" s="1880">
        <f>'9-A.Training Sub-Annex'!N83</f>
        <v>0</v>
      </c>
      <c r="N243" s="1880">
        <f>'9-A.Training Sub-Annex'!O83</f>
        <v>0</v>
      </c>
      <c r="O243" s="939">
        <f>'9-A.Training Sub-Annex'!P83</f>
        <v>0</v>
      </c>
      <c r="P243" s="1878">
        <f>'9-A.Training Sub-Annex'!Q83</f>
        <v>0</v>
      </c>
      <c r="Q243" s="124"/>
      <c r="R243" s="1880">
        <v>0</v>
      </c>
    </row>
    <row r="244" spans="1:20" s="828" customFormat="1" ht="30" x14ac:dyDescent="0.2">
      <c r="A244" s="1878"/>
      <c r="B244" s="1878" t="str">
        <f>'9-A.Training Sub-Annex'!C84</f>
        <v>A.3.2.7</v>
      </c>
      <c r="C244" s="1879" t="str">
        <f>'9-A.Training Sub-Annex'!D84</f>
        <v>Dissemination of FP manuals and guidelines (workshops only)</v>
      </c>
      <c r="D244" s="1880" t="str">
        <f>'9-A.Training Sub-Annex'!E84</f>
        <v>RCH</v>
      </c>
      <c r="E244" s="1880" t="str">
        <f>'9-A.Training Sub-Annex'!F84</f>
        <v>FP</v>
      </c>
      <c r="F244" s="1880">
        <f>'9-A.Training Sub-Annex'!G84</f>
        <v>0</v>
      </c>
      <c r="G244" s="1880">
        <f>'9-A.Training Sub-Annex'!H84</f>
        <v>0</v>
      </c>
      <c r="H244" s="1880">
        <f>'9-A.Training Sub-Annex'!I84</f>
        <v>0</v>
      </c>
      <c r="I244" s="1880">
        <f>'9-A.Training Sub-Annex'!J84</f>
        <v>0</v>
      </c>
      <c r="J244" s="1880">
        <f>'9-A.Training Sub-Annex'!K84</f>
        <v>0</v>
      </c>
      <c r="K244" s="1880">
        <f>'9-A.Training Sub-Annex'!L84</f>
        <v>0</v>
      </c>
      <c r="L244" s="939">
        <f>'9-A.Training Sub-Annex'!M84</f>
        <v>0</v>
      </c>
      <c r="M244" s="1880">
        <f>'9-A.Training Sub-Annex'!N84</f>
        <v>0</v>
      </c>
      <c r="N244" s="1880">
        <f>'9-A.Training Sub-Annex'!O84</f>
        <v>0</v>
      </c>
      <c r="O244" s="939">
        <f>'9-A.Training Sub-Annex'!P84</f>
        <v>0</v>
      </c>
      <c r="P244" s="1878">
        <f>'9-A.Training Sub-Annex'!Q84</f>
        <v>0</v>
      </c>
      <c r="Q244" s="3293"/>
      <c r="R244" s="1906"/>
      <c r="T244" s="3314"/>
    </row>
    <row r="245" spans="1:20" s="828" customFormat="1" x14ac:dyDescent="0.2">
      <c r="A245" s="1878"/>
      <c r="B245" s="1878" t="str">
        <f>'9-A.Training Sub-Annex'!C85</f>
        <v>A.9.6.1.1</v>
      </c>
      <c r="C245" s="1879" t="str">
        <f>'9-A.Training Sub-Annex'!D85</f>
        <v>TOT on laparoscopic sterilization</v>
      </c>
      <c r="D245" s="1880" t="str">
        <f>'9-A.Training Sub-Annex'!E85</f>
        <v>RCH</v>
      </c>
      <c r="E245" s="1880" t="str">
        <f>'9-A.Training Sub-Annex'!F85</f>
        <v>FP</v>
      </c>
      <c r="F245" s="1880">
        <f>'9-A.Training Sub-Annex'!G85</f>
        <v>0</v>
      </c>
      <c r="G245" s="1880">
        <f>'9-A.Training Sub-Annex'!H85</f>
        <v>0</v>
      </c>
      <c r="H245" s="1880">
        <f>'9-A.Training Sub-Annex'!I85</f>
        <v>0</v>
      </c>
      <c r="I245" s="1880">
        <f>'9-A.Training Sub-Annex'!J85</f>
        <v>0</v>
      </c>
      <c r="J245" s="1880">
        <f>'9-A.Training Sub-Annex'!K85</f>
        <v>0</v>
      </c>
      <c r="K245" s="1880">
        <f>'9-A.Training Sub-Annex'!L85</f>
        <v>0</v>
      </c>
      <c r="L245" s="939">
        <f>'9-A.Training Sub-Annex'!M85</f>
        <v>0</v>
      </c>
      <c r="M245" s="1880">
        <f>'9-A.Training Sub-Annex'!N85</f>
        <v>0</v>
      </c>
      <c r="N245" s="1880">
        <f>'9-A.Training Sub-Annex'!O85</f>
        <v>0</v>
      </c>
      <c r="O245" s="939">
        <f>'9-A.Training Sub-Annex'!P85</f>
        <v>0</v>
      </c>
      <c r="P245" s="1878">
        <f>'9-A.Training Sub-Annex'!Q85</f>
        <v>0</v>
      </c>
      <c r="Q245" s="3293"/>
      <c r="R245" s="1906"/>
      <c r="T245" s="3314"/>
    </row>
    <row r="246" spans="1:20" s="828" customFormat="1" ht="30" x14ac:dyDescent="0.2">
      <c r="A246" s="1878"/>
      <c r="B246" s="1878" t="str">
        <f>'9-A.Training Sub-Annex'!C86</f>
        <v>A.9.6.1.2</v>
      </c>
      <c r="C246" s="1879" t="str">
        <f>'9-A.Training Sub-Annex'!D86</f>
        <v>Laparoscopic sterilization training for doctors (teams of doctor, SN and OT assistant)</v>
      </c>
      <c r="D246" s="1880" t="str">
        <f>'9-A.Training Sub-Annex'!E86</f>
        <v>RCH</v>
      </c>
      <c r="E246" s="1880" t="str">
        <f>'9-A.Training Sub-Annex'!F86</f>
        <v>FP</v>
      </c>
      <c r="F246" s="1880">
        <f>'9-A.Training Sub-Annex'!G86</f>
        <v>0</v>
      </c>
      <c r="G246" s="1880">
        <f>'9-A.Training Sub-Annex'!H86</f>
        <v>0</v>
      </c>
      <c r="H246" s="1880">
        <f>'9-A.Training Sub-Annex'!I86</f>
        <v>0</v>
      </c>
      <c r="I246" s="1880">
        <f>'9-A.Training Sub-Annex'!J86</f>
        <v>0</v>
      </c>
      <c r="J246" s="1880">
        <f>'9-A.Training Sub-Annex'!K86</f>
        <v>0</v>
      </c>
      <c r="K246" s="1880">
        <f>'9-A.Training Sub-Annex'!L86</f>
        <v>0</v>
      </c>
      <c r="L246" s="939">
        <f>'9-A.Training Sub-Annex'!M86</f>
        <v>0</v>
      </c>
      <c r="M246" s="1880">
        <f>'9-A.Training Sub-Annex'!N86</f>
        <v>0</v>
      </c>
      <c r="N246" s="1880">
        <f>'9-A.Training Sub-Annex'!O86</f>
        <v>0</v>
      </c>
      <c r="O246" s="939">
        <f>'9-A.Training Sub-Annex'!P86</f>
        <v>0</v>
      </c>
      <c r="P246" s="1878">
        <f>'9-A.Training Sub-Annex'!Q86</f>
        <v>0</v>
      </c>
      <c r="Q246" s="3293"/>
      <c r="R246" s="1906"/>
      <c r="T246" s="3314"/>
    </row>
    <row r="247" spans="1:20" s="828" customFormat="1" x14ac:dyDescent="0.2">
      <c r="A247" s="1878"/>
      <c r="B247" s="1878" t="str">
        <f>'9-A.Training Sub-Annex'!C87</f>
        <v>A.9.6.1.3</v>
      </c>
      <c r="C247" s="1879" t="str">
        <f>'9-A.Training Sub-Annex'!D87</f>
        <v>Refresher training on laparoscopic sterilization</v>
      </c>
      <c r="D247" s="1880" t="str">
        <f>'9-A.Training Sub-Annex'!E87</f>
        <v>RCH</v>
      </c>
      <c r="E247" s="1880" t="str">
        <f>'9-A.Training Sub-Annex'!F87</f>
        <v>FP</v>
      </c>
      <c r="F247" s="1880">
        <f>'9-A.Training Sub-Annex'!G87</f>
        <v>0</v>
      </c>
      <c r="G247" s="1880">
        <f>'9-A.Training Sub-Annex'!H87</f>
        <v>0</v>
      </c>
      <c r="H247" s="1880">
        <f>'9-A.Training Sub-Annex'!I87</f>
        <v>0</v>
      </c>
      <c r="I247" s="1880">
        <f>'9-A.Training Sub-Annex'!J87</f>
        <v>0</v>
      </c>
      <c r="J247" s="1880">
        <f>'9-A.Training Sub-Annex'!K87</f>
        <v>0</v>
      </c>
      <c r="K247" s="1880">
        <f>'9-A.Training Sub-Annex'!L87</f>
        <v>0</v>
      </c>
      <c r="L247" s="939">
        <f>'9-A.Training Sub-Annex'!M87</f>
        <v>0</v>
      </c>
      <c r="M247" s="1880">
        <f>'9-A.Training Sub-Annex'!N87</f>
        <v>0</v>
      </c>
      <c r="N247" s="1880">
        <f>'9-A.Training Sub-Annex'!O87</f>
        <v>0</v>
      </c>
      <c r="O247" s="939">
        <f>'9-A.Training Sub-Annex'!P87</f>
        <v>0</v>
      </c>
      <c r="P247" s="1878">
        <f>'9-A.Training Sub-Annex'!Q87</f>
        <v>0</v>
      </c>
      <c r="Q247" s="3293"/>
      <c r="R247" s="1906"/>
      <c r="T247" s="3314"/>
    </row>
    <row r="248" spans="1:20" s="828" customFormat="1" x14ac:dyDescent="0.2">
      <c r="A248" s="1878"/>
      <c r="B248" s="1878" t="str">
        <f>'9-A.Training Sub-Annex'!C88</f>
        <v>A.9.6.2.1</v>
      </c>
      <c r="C248" s="1879" t="str">
        <f>'9-A.Training Sub-Annex'!D88</f>
        <v>TOT on Minilap</v>
      </c>
      <c r="D248" s="1880" t="str">
        <f>'9-A.Training Sub-Annex'!E88</f>
        <v>RCH</v>
      </c>
      <c r="E248" s="1880" t="str">
        <f>'9-A.Training Sub-Annex'!F88</f>
        <v>FP</v>
      </c>
      <c r="F248" s="1880">
        <f>'9-A.Training Sub-Annex'!G88</f>
        <v>0</v>
      </c>
      <c r="G248" s="1880">
        <f>'9-A.Training Sub-Annex'!H88</f>
        <v>0</v>
      </c>
      <c r="H248" s="1880">
        <f>'9-A.Training Sub-Annex'!I88</f>
        <v>0</v>
      </c>
      <c r="I248" s="1880">
        <f>'9-A.Training Sub-Annex'!J88</f>
        <v>0</v>
      </c>
      <c r="J248" s="1880">
        <f>'9-A.Training Sub-Annex'!K88</f>
        <v>0</v>
      </c>
      <c r="K248" s="1880">
        <f>'9-A.Training Sub-Annex'!L88</f>
        <v>0</v>
      </c>
      <c r="L248" s="939">
        <f>'9-A.Training Sub-Annex'!M88</f>
        <v>0</v>
      </c>
      <c r="M248" s="1880">
        <f>'9-A.Training Sub-Annex'!N88</f>
        <v>0</v>
      </c>
      <c r="N248" s="1880">
        <f>'9-A.Training Sub-Annex'!O88</f>
        <v>0</v>
      </c>
      <c r="O248" s="939">
        <f>'9-A.Training Sub-Annex'!P88</f>
        <v>0</v>
      </c>
      <c r="P248" s="1878">
        <f>'9-A.Training Sub-Annex'!Q88</f>
        <v>0</v>
      </c>
      <c r="Q248" s="3293"/>
      <c r="R248" s="1906"/>
      <c r="T248" s="3314"/>
    </row>
    <row r="249" spans="1:20" s="828" customFormat="1" x14ac:dyDescent="0.2">
      <c r="A249" s="1878"/>
      <c r="B249" s="1878" t="str">
        <f>'9-A.Training Sub-Annex'!C89</f>
        <v>A.9.6.2.2</v>
      </c>
      <c r="C249" s="1879" t="str">
        <f>'9-A.Training Sub-Annex'!D89</f>
        <v>Minilap training for medical officers</v>
      </c>
      <c r="D249" s="1880" t="str">
        <f>'9-A.Training Sub-Annex'!E89</f>
        <v>RCH</v>
      </c>
      <c r="E249" s="1880" t="str">
        <f>'9-A.Training Sub-Annex'!F89</f>
        <v>FP</v>
      </c>
      <c r="F249" s="1880">
        <f>'9-A.Training Sub-Annex'!G89</f>
        <v>0</v>
      </c>
      <c r="G249" s="1880">
        <f>'9-A.Training Sub-Annex'!H89</f>
        <v>0</v>
      </c>
      <c r="H249" s="1880">
        <f>'9-A.Training Sub-Annex'!I89</f>
        <v>0</v>
      </c>
      <c r="I249" s="1880">
        <f>'9-A.Training Sub-Annex'!J89</f>
        <v>0</v>
      </c>
      <c r="J249" s="1880">
        <f>'9-A.Training Sub-Annex'!K89</f>
        <v>0</v>
      </c>
      <c r="K249" s="1880">
        <f>'9-A.Training Sub-Annex'!L89</f>
        <v>0</v>
      </c>
      <c r="L249" s="939">
        <f>'9-A.Training Sub-Annex'!M89</f>
        <v>0</v>
      </c>
      <c r="M249" s="1880">
        <f>'9-A.Training Sub-Annex'!N89</f>
        <v>0</v>
      </c>
      <c r="N249" s="1880">
        <f>'9-A.Training Sub-Annex'!O89</f>
        <v>0</v>
      </c>
      <c r="O249" s="939">
        <f>'9-A.Training Sub-Annex'!P89</f>
        <v>0</v>
      </c>
      <c r="P249" s="1878">
        <f>'9-A.Training Sub-Annex'!Q89</f>
        <v>0</v>
      </c>
      <c r="Q249" s="3293"/>
      <c r="R249" s="1906"/>
      <c r="T249" s="3314"/>
    </row>
    <row r="250" spans="1:20" s="828" customFormat="1" x14ac:dyDescent="0.2">
      <c r="A250" s="1878"/>
      <c r="B250" s="1878" t="str">
        <f>'9-A.Training Sub-Annex'!C90</f>
        <v>A.9.6.2.3</v>
      </c>
      <c r="C250" s="1879" t="str">
        <f>'9-A.Training Sub-Annex'!D90</f>
        <v>Refresher training on Minilap sterilization</v>
      </c>
      <c r="D250" s="1880" t="str">
        <f>'9-A.Training Sub-Annex'!E90</f>
        <v>RCH</v>
      </c>
      <c r="E250" s="1880" t="str">
        <f>'9-A.Training Sub-Annex'!F90</f>
        <v>FP</v>
      </c>
      <c r="F250" s="1880">
        <f>'9-A.Training Sub-Annex'!G90</f>
        <v>0</v>
      </c>
      <c r="G250" s="1880">
        <f>'9-A.Training Sub-Annex'!H90</f>
        <v>0</v>
      </c>
      <c r="H250" s="1880">
        <f>'9-A.Training Sub-Annex'!I90</f>
        <v>0</v>
      </c>
      <c r="I250" s="1880">
        <f>'9-A.Training Sub-Annex'!J90</f>
        <v>0</v>
      </c>
      <c r="J250" s="1880">
        <f>'9-A.Training Sub-Annex'!K90</f>
        <v>0</v>
      </c>
      <c r="K250" s="1880">
        <f>'9-A.Training Sub-Annex'!L90</f>
        <v>0</v>
      </c>
      <c r="L250" s="939">
        <f>'9-A.Training Sub-Annex'!M90</f>
        <v>0</v>
      </c>
      <c r="M250" s="1880">
        <f>'9-A.Training Sub-Annex'!N90</f>
        <v>0</v>
      </c>
      <c r="N250" s="1880">
        <f>'9-A.Training Sub-Annex'!O90</f>
        <v>0</v>
      </c>
      <c r="O250" s="939">
        <f>'9-A.Training Sub-Annex'!P90</f>
        <v>0</v>
      </c>
      <c r="P250" s="1878">
        <f>'9-A.Training Sub-Annex'!Q90</f>
        <v>0</v>
      </c>
      <c r="Q250" s="3293"/>
      <c r="R250" s="1906"/>
      <c r="T250" s="3314"/>
    </row>
    <row r="251" spans="1:20" s="828" customFormat="1" x14ac:dyDescent="0.2">
      <c r="A251" s="1878"/>
      <c r="B251" s="1878" t="str">
        <f>'9-A.Training Sub-Annex'!C91</f>
        <v>A.9.6.3.1</v>
      </c>
      <c r="C251" s="1879" t="str">
        <f>'9-A.Training Sub-Annex'!D91</f>
        <v>TOT on NSV</v>
      </c>
      <c r="D251" s="1880" t="str">
        <f>'9-A.Training Sub-Annex'!E91</f>
        <v>RCH</v>
      </c>
      <c r="E251" s="1880" t="str">
        <f>'9-A.Training Sub-Annex'!F91</f>
        <v>FP</v>
      </c>
      <c r="F251" s="1880">
        <f>'9-A.Training Sub-Annex'!G91</f>
        <v>0</v>
      </c>
      <c r="G251" s="1880">
        <f>'9-A.Training Sub-Annex'!H91</f>
        <v>0</v>
      </c>
      <c r="H251" s="1880">
        <f>'9-A.Training Sub-Annex'!I91</f>
        <v>0</v>
      </c>
      <c r="I251" s="1880">
        <f>'9-A.Training Sub-Annex'!J91</f>
        <v>0</v>
      </c>
      <c r="J251" s="1880">
        <f>'9-A.Training Sub-Annex'!K91</f>
        <v>0</v>
      </c>
      <c r="K251" s="1880">
        <f>'9-A.Training Sub-Annex'!L91</f>
        <v>0</v>
      </c>
      <c r="L251" s="939">
        <f>'9-A.Training Sub-Annex'!M91</f>
        <v>0</v>
      </c>
      <c r="M251" s="1880">
        <f>'9-A.Training Sub-Annex'!N91</f>
        <v>0</v>
      </c>
      <c r="N251" s="1880">
        <f>'9-A.Training Sub-Annex'!O91</f>
        <v>0</v>
      </c>
      <c r="O251" s="939">
        <f>'9-A.Training Sub-Annex'!P91</f>
        <v>0</v>
      </c>
      <c r="P251" s="1878">
        <f>'9-A.Training Sub-Annex'!Q91</f>
        <v>0</v>
      </c>
      <c r="Q251" s="3293"/>
      <c r="R251" s="1906"/>
      <c r="T251" s="3314"/>
    </row>
    <row r="252" spans="1:20" s="828" customFormat="1" x14ac:dyDescent="0.2">
      <c r="A252" s="1878"/>
      <c r="B252" s="1878" t="str">
        <f>'9-A.Training Sub-Annex'!C92</f>
        <v>A.9.6.3.3</v>
      </c>
      <c r="C252" s="1879" t="str">
        <f>'9-A.Training Sub-Annex'!D92</f>
        <v>Refresher training on NSV sterilization</v>
      </c>
      <c r="D252" s="1880" t="str">
        <f>'9-A.Training Sub-Annex'!E92</f>
        <v>RCH</v>
      </c>
      <c r="E252" s="1880" t="str">
        <f>'9-A.Training Sub-Annex'!F92</f>
        <v>FP</v>
      </c>
      <c r="F252" s="1880">
        <f>'9-A.Training Sub-Annex'!G92</f>
        <v>0</v>
      </c>
      <c r="G252" s="1880">
        <f>'9-A.Training Sub-Annex'!H92</f>
        <v>0</v>
      </c>
      <c r="H252" s="1880">
        <f>'9-A.Training Sub-Annex'!I92</f>
        <v>0</v>
      </c>
      <c r="I252" s="1880">
        <f>'9-A.Training Sub-Annex'!J92</f>
        <v>0</v>
      </c>
      <c r="J252" s="1880">
        <f>'9-A.Training Sub-Annex'!K92</f>
        <v>0</v>
      </c>
      <c r="K252" s="1880">
        <f>'9-A.Training Sub-Annex'!L92</f>
        <v>0</v>
      </c>
      <c r="L252" s="939">
        <f>'9-A.Training Sub-Annex'!M92</f>
        <v>0</v>
      </c>
      <c r="M252" s="1880">
        <f>'9-A.Training Sub-Annex'!N92</f>
        <v>0</v>
      </c>
      <c r="N252" s="1880">
        <f>'9-A.Training Sub-Annex'!O92</f>
        <v>0</v>
      </c>
      <c r="O252" s="939">
        <f>'9-A.Training Sub-Annex'!P92</f>
        <v>0</v>
      </c>
      <c r="P252" s="1878">
        <f>'9-A.Training Sub-Annex'!Q92</f>
        <v>0</v>
      </c>
      <c r="Q252" s="3293"/>
      <c r="R252" s="1906"/>
      <c r="T252" s="3314"/>
    </row>
    <row r="253" spans="1:20" s="828" customFormat="1" x14ac:dyDescent="0.2">
      <c r="A253" s="1878"/>
      <c r="B253" s="1878" t="str">
        <f>'9-A.Training Sub-Annex'!C93</f>
        <v>A.9.6.4.1</v>
      </c>
      <c r="C253" s="1879" t="str">
        <f>'9-A.Training Sub-Annex'!D93</f>
        <v>TOT (IUCD insertion training)</v>
      </c>
      <c r="D253" s="1880" t="str">
        <f>'9-A.Training Sub-Annex'!E93</f>
        <v>RCH</v>
      </c>
      <c r="E253" s="1880" t="str">
        <f>'9-A.Training Sub-Annex'!F93</f>
        <v>FP</v>
      </c>
      <c r="F253" s="1880">
        <f>'9-A.Training Sub-Annex'!G93</f>
        <v>0</v>
      </c>
      <c r="G253" s="1880">
        <f>'9-A.Training Sub-Annex'!H93</f>
        <v>0</v>
      </c>
      <c r="H253" s="1880">
        <f>'9-A.Training Sub-Annex'!I93</f>
        <v>0</v>
      </c>
      <c r="I253" s="1880">
        <f>'9-A.Training Sub-Annex'!J93</f>
        <v>0</v>
      </c>
      <c r="J253" s="1880">
        <f>'9-A.Training Sub-Annex'!K93</f>
        <v>0</v>
      </c>
      <c r="K253" s="1880">
        <f>'9-A.Training Sub-Annex'!L93</f>
        <v>0</v>
      </c>
      <c r="L253" s="939">
        <f>'9-A.Training Sub-Annex'!M93</f>
        <v>0</v>
      </c>
      <c r="M253" s="1880">
        <f>'9-A.Training Sub-Annex'!N93</f>
        <v>0</v>
      </c>
      <c r="N253" s="1880">
        <f>'9-A.Training Sub-Annex'!O93</f>
        <v>0</v>
      </c>
      <c r="O253" s="939">
        <f>'9-A.Training Sub-Annex'!P93</f>
        <v>0</v>
      </c>
      <c r="P253" s="1878">
        <f>'9-A.Training Sub-Annex'!Q93</f>
        <v>0</v>
      </c>
      <c r="Q253" s="124"/>
      <c r="R253" s="1906"/>
      <c r="T253" s="3318"/>
    </row>
    <row r="254" spans="1:20" s="828" customFormat="1" ht="30" x14ac:dyDescent="0.2">
      <c r="A254" s="1878"/>
      <c r="B254" s="1878" t="str">
        <f>'9-A.Training Sub-Annex'!C94</f>
        <v>A.9.6.4.2</v>
      </c>
      <c r="C254" s="1879" t="str">
        <f>'9-A.Training Sub-Annex'!D94</f>
        <v>Training of Medical officers  (IUCD insertion training)</v>
      </c>
      <c r="D254" s="1880" t="str">
        <f>'9-A.Training Sub-Annex'!E94</f>
        <v>RCH</v>
      </c>
      <c r="E254" s="1880" t="str">
        <f>'9-A.Training Sub-Annex'!F94</f>
        <v>FP</v>
      </c>
      <c r="F254" s="1880">
        <f>'9-A.Training Sub-Annex'!G94</f>
        <v>0</v>
      </c>
      <c r="G254" s="1880">
        <f>'9-A.Training Sub-Annex'!H94</f>
        <v>0</v>
      </c>
      <c r="H254" s="1880">
        <f>'9-A.Training Sub-Annex'!I94</f>
        <v>0</v>
      </c>
      <c r="I254" s="1880">
        <f>'9-A.Training Sub-Annex'!J94</f>
        <v>0</v>
      </c>
      <c r="J254" s="1880">
        <f>'9-A.Training Sub-Annex'!K94</f>
        <v>0</v>
      </c>
      <c r="K254" s="1880">
        <f>'9-A.Training Sub-Annex'!L94</f>
        <v>0</v>
      </c>
      <c r="L254" s="939">
        <f>'9-A.Training Sub-Annex'!M94</f>
        <v>0</v>
      </c>
      <c r="M254" s="1880">
        <f>'9-A.Training Sub-Annex'!N94</f>
        <v>0</v>
      </c>
      <c r="N254" s="1880">
        <f>'9-A.Training Sub-Annex'!O94</f>
        <v>0</v>
      </c>
      <c r="O254" s="939">
        <f>'9-A.Training Sub-Annex'!P94</f>
        <v>0</v>
      </c>
      <c r="P254" s="1878">
        <f>'9-A.Training Sub-Annex'!Q94</f>
        <v>0</v>
      </c>
      <c r="Q254" s="3293"/>
      <c r="R254" s="1906"/>
      <c r="T254" s="3314"/>
    </row>
    <row r="255" spans="1:20" s="828" customFormat="1" ht="30" x14ac:dyDescent="0.2">
      <c r="A255" s="1878"/>
      <c r="B255" s="1878" t="str">
        <f>'9-A.Training Sub-Annex'!C95</f>
        <v>A.9.6.4.3</v>
      </c>
      <c r="C255" s="1879" t="str">
        <f>'9-A.Training Sub-Annex'!D95</f>
        <v>Training of AYUSH doctors  (IUCD insertion training)</v>
      </c>
      <c r="D255" s="1880" t="str">
        <f>'9-A.Training Sub-Annex'!E95</f>
        <v>RCH</v>
      </c>
      <c r="E255" s="1880" t="str">
        <f>'9-A.Training Sub-Annex'!F95</f>
        <v>FP</v>
      </c>
      <c r="F255" s="1880">
        <f>'9-A.Training Sub-Annex'!G95</f>
        <v>0</v>
      </c>
      <c r="G255" s="1880">
        <f>'9-A.Training Sub-Annex'!H95</f>
        <v>0</v>
      </c>
      <c r="H255" s="1880">
        <f>'9-A.Training Sub-Annex'!I95</f>
        <v>0</v>
      </c>
      <c r="I255" s="1880">
        <f>'9-A.Training Sub-Annex'!J95</f>
        <v>0</v>
      </c>
      <c r="J255" s="1880">
        <f>'9-A.Training Sub-Annex'!K95</f>
        <v>0</v>
      </c>
      <c r="K255" s="1880">
        <f>'9-A.Training Sub-Annex'!L95</f>
        <v>0</v>
      </c>
      <c r="L255" s="939">
        <f>'9-A.Training Sub-Annex'!M95</f>
        <v>0</v>
      </c>
      <c r="M255" s="1880">
        <f>'9-A.Training Sub-Annex'!N95</f>
        <v>0</v>
      </c>
      <c r="N255" s="1880">
        <f>'9-A.Training Sub-Annex'!O95</f>
        <v>0</v>
      </c>
      <c r="O255" s="939">
        <f>'9-A.Training Sub-Annex'!P95</f>
        <v>0</v>
      </c>
      <c r="P255" s="1878">
        <f>'9-A.Training Sub-Annex'!Q95</f>
        <v>0</v>
      </c>
      <c r="Q255" s="124"/>
      <c r="R255" s="1906"/>
      <c r="T255" s="3318"/>
    </row>
    <row r="256" spans="1:20" s="828" customFormat="1" ht="30" x14ac:dyDescent="0.2">
      <c r="A256" s="1878"/>
      <c r="B256" s="1878" t="str">
        <f>'9-A.Training Sub-Annex'!C96</f>
        <v>A.9.6.4.4</v>
      </c>
      <c r="C256" s="1879" t="str">
        <f>'9-A.Training Sub-Annex'!D96</f>
        <v>Training of Nurses (Staff Nurse/LHV/ANM)  (IUCD insertion training)</v>
      </c>
      <c r="D256" s="1880" t="str">
        <f>'9-A.Training Sub-Annex'!E96</f>
        <v>RCH</v>
      </c>
      <c r="E256" s="1880" t="str">
        <f>'9-A.Training Sub-Annex'!F96</f>
        <v>FP</v>
      </c>
      <c r="F256" s="1880">
        <f>'9-A.Training Sub-Annex'!G96</f>
        <v>0</v>
      </c>
      <c r="G256" s="1880">
        <f>'9-A.Training Sub-Annex'!H96</f>
        <v>0</v>
      </c>
      <c r="H256" s="1880">
        <f>'9-A.Training Sub-Annex'!I96</f>
        <v>0</v>
      </c>
      <c r="I256" s="1880">
        <f>'9-A.Training Sub-Annex'!J96</f>
        <v>0</v>
      </c>
      <c r="J256" s="1880">
        <f>'9-A.Training Sub-Annex'!K96</f>
        <v>0</v>
      </c>
      <c r="K256" s="1880">
        <f>'9-A.Training Sub-Annex'!L96</f>
        <v>0</v>
      </c>
      <c r="L256" s="939">
        <f>'9-A.Training Sub-Annex'!M96</f>
        <v>0</v>
      </c>
      <c r="M256" s="1880">
        <f>'9-A.Training Sub-Annex'!N96</f>
        <v>0</v>
      </c>
      <c r="N256" s="1880">
        <f>'9-A.Training Sub-Annex'!O96</f>
        <v>0</v>
      </c>
      <c r="O256" s="939">
        <f>'9-A.Training Sub-Annex'!P96</f>
        <v>0</v>
      </c>
      <c r="P256" s="1878">
        <f>'9-A.Training Sub-Annex'!Q96</f>
        <v>0</v>
      </c>
      <c r="Q256" s="3293"/>
      <c r="R256" s="1906"/>
      <c r="T256" s="3314"/>
    </row>
    <row r="257" spans="1:20" s="828" customFormat="1" x14ac:dyDescent="0.2">
      <c r="A257" s="1878"/>
      <c r="B257" s="1878" t="str">
        <f>'9-A.Training Sub-Annex'!C97</f>
        <v>A.9.6.5.1</v>
      </c>
      <c r="C257" s="1879" t="str">
        <f>'9-A.Training Sub-Annex'!D97</f>
        <v>TOT (PPIUCD insertion training)</v>
      </c>
      <c r="D257" s="1880" t="str">
        <f>'9-A.Training Sub-Annex'!E97</f>
        <v>RCH</v>
      </c>
      <c r="E257" s="1880" t="str">
        <f>'9-A.Training Sub-Annex'!F97</f>
        <v>FP</v>
      </c>
      <c r="F257" s="1880">
        <f>'9-A.Training Sub-Annex'!G97</f>
        <v>0</v>
      </c>
      <c r="G257" s="1880">
        <f>'9-A.Training Sub-Annex'!H97</f>
        <v>0</v>
      </c>
      <c r="H257" s="1880">
        <f>'9-A.Training Sub-Annex'!I97</f>
        <v>0</v>
      </c>
      <c r="I257" s="1880">
        <f>'9-A.Training Sub-Annex'!J97</f>
        <v>0</v>
      </c>
      <c r="J257" s="1880">
        <f>'9-A.Training Sub-Annex'!K97</f>
        <v>0</v>
      </c>
      <c r="K257" s="1880">
        <f>'9-A.Training Sub-Annex'!L97</f>
        <v>0</v>
      </c>
      <c r="L257" s="939">
        <f>'9-A.Training Sub-Annex'!M97</f>
        <v>0</v>
      </c>
      <c r="M257" s="1880">
        <f>'9-A.Training Sub-Annex'!N97</f>
        <v>0</v>
      </c>
      <c r="N257" s="1880">
        <f>'9-A.Training Sub-Annex'!O97</f>
        <v>0</v>
      </c>
      <c r="O257" s="939">
        <f>'9-A.Training Sub-Annex'!P97</f>
        <v>0</v>
      </c>
      <c r="P257" s="1878">
        <f>'9-A.Training Sub-Annex'!Q97</f>
        <v>0</v>
      </c>
      <c r="Q257" s="124"/>
      <c r="R257" s="1880">
        <v>0</v>
      </c>
    </row>
    <row r="258" spans="1:20" s="828" customFormat="1" ht="30" x14ac:dyDescent="0.2">
      <c r="A258" s="1878"/>
      <c r="B258" s="1878" t="str">
        <f>'9-A.Training Sub-Annex'!C98</f>
        <v>A.9.6.5.2</v>
      </c>
      <c r="C258" s="1879" t="str">
        <f>'9-A.Training Sub-Annex'!D98</f>
        <v>Training of Medical officers (PPIUCD insertion training)</v>
      </c>
      <c r="D258" s="1880" t="str">
        <f>'9-A.Training Sub-Annex'!E98</f>
        <v>RCH</v>
      </c>
      <c r="E258" s="1880" t="str">
        <f>'9-A.Training Sub-Annex'!F98</f>
        <v>FP</v>
      </c>
      <c r="F258" s="1880">
        <f>'9-A.Training Sub-Annex'!G98</f>
        <v>0</v>
      </c>
      <c r="G258" s="1880">
        <f>'9-A.Training Sub-Annex'!H98</f>
        <v>0</v>
      </c>
      <c r="H258" s="1880">
        <f>'9-A.Training Sub-Annex'!I98</f>
        <v>0</v>
      </c>
      <c r="I258" s="1880">
        <f>'9-A.Training Sub-Annex'!J98</f>
        <v>0</v>
      </c>
      <c r="J258" s="1880">
        <f>'9-A.Training Sub-Annex'!K98</f>
        <v>0</v>
      </c>
      <c r="K258" s="1880">
        <f>'9-A.Training Sub-Annex'!L98</f>
        <v>0</v>
      </c>
      <c r="L258" s="939">
        <f>'9-A.Training Sub-Annex'!M98</f>
        <v>0</v>
      </c>
      <c r="M258" s="1880">
        <f>'9-A.Training Sub-Annex'!N98</f>
        <v>0</v>
      </c>
      <c r="N258" s="1880">
        <f>'9-A.Training Sub-Annex'!O98</f>
        <v>0</v>
      </c>
      <c r="O258" s="939">
        <f>'9-A.Training Sub-Annex'!P98</f>
        <v>0</v>
      </c>
      <c r="P258" s="1878">
        <f>'9-A.Training Sub-Annex'!Q98</f>
        <v>0</v>
      </c>
      <c r="Q258" s="124"/>
      <c r="R258" s="1880">
        <v>0</v>
      </c>
    </row>
    <row r="259" spans="1:20" s="828" customFormat="1" ht="30" x14ac:dyDescent="0.2">
      <c r="A259" s="1878"/>
      <c r="B259" s="1878" t="str">
        <f>'9-A.Training Sub-Annex'!C99</f>
        <v>A.9.6.5.3</v>
      </c>
      <c r="C259" s="1879" t="str">
        <f>'9-A.Training Sub-Annex'!D99</f>
        <v>Training of AYUSH doctors (PPIUCD insertion training)</v>
      </c>
      <c r="D259" s="1880" t="str">
        <f>'9-A.Training Sub-Annex'!E99</f>
        <v>RCH</v>
      </c>
      <c r="E259" s="1880" t="str">
        <f>'9-A.Training Sub-Annex'!F99</f>
        <v>FP</v>
      </c>
      <c r="F259" s="1880">
        <f>'9-A.Training Sub-Annex'!G99</f>
        <v>0</v>
      </c>
      <c r="G259" s="1880">
        <f>'9-A.Training Sub-Annex'!H99</f>
        <v>0</v>
      </c>
      <c r="H259" s="1880">
        <f>'9-A.Training Sub-Annex'!I99</f>
        <v>0</v>
      </c>
      <c r="I259" s="1880">
        <f>'9-A.Training Sub-Annex'!J99</f>
        <v>0</v>
      </c>
      <c r="J259" s="1880">
        <f>'9-A.Training Sub-Annex'!K99</f>
        <v>0</v>
      </c>
      <c r="K259" s="1880">
        <f>'9-A.Training Sub-Annex'!L99</f>
        <v>0</v>
      </c>
      <c r="L259" s="939">
        <f>'9-A.Training Sub-Annex'!M99</f>
        <v>0</v>
      </c>
      <c r="M259" s="1880">
        <f>'9-A.Training Sub-Annex'!N99</f>
        <v>0</v>
      </c>
      <c r="N259" s="1880">
        <f>'9-A.Training Sub-Annex'!O99</f>
        <v>0</v>
      </c>
      <c r="O259" s="939">
        <f>'9-A.Training Sub-Annex'!P99</f>
        <v>0</v>
      </c>
      <c r="P259" s="1878">
        <f>'9-A.Training Sub-Annex'!Q99</f>
        <v>0</v>
      </c>
      <c r="Q259" s="124"/>
      <c r="R259" s="1880">
        <v>0</v>
      </c>
    </row>
    <row r="260" spans="1:20" s="828" customFormat="1" ht="30" x14ac:dyDescent="0.2">
      <c r="A260" s="1878"/>
      <c r="B260" s="1878" t="str">
        <f>'9-A.Training Sub-Annex'!C100</f>
        <v>A.9.6.5.4</v>
      </c>
      <c r="C260" s="1879" t="str">
        <f>'9-A.Training Sub-Annex'!D100</f>
        <v>Training of Nurses (Staff Nurse/LHV/ANM) (PPIUCD insertion training)</v>
      </c>
      <c r="D260" s="1880" t="str">
        <f>'9-A.Training Sub-Annex'!E100</f>
        <v>RCH</v>
      </c>
      <c r="E260" s="1880" t="str">
        <f>'9-A.Training Sub-Annex'!F100</f>
        <v>FP</v>
      </c>
      <c r="F260" s="1880">
        <f>'9-A.Training Sub-Annex'!G100</f>
        <v>0</v>
      </c>
      <c r="G260" s="1880">
        <f>'9-A.Training Sub-Annex'!H100</f>
        <v>0</v>
      </c>
      <c r="H260" s="1880">
        <f>'9-A.Training Sub-Annex'!I100</f>
        <v>0</v>
      </c>
      <c r="I260" s="1880">
        <f>'9-A.Training Sub-Annex'!J100</f>
        <v>0</v>
      </c>
      <c r="J260" s="1880">
        <f>'9-A.Training Sub-Annex'!K100</f>
        <v>0</v>
      </c>
      <c r="K260" s="1880">
        <f>'9-A.Training Sub-Annex'!L100</f>
        <v>0</v>
      </c>
      <c r="L260" s="939">
        <f>'9-A.Training Sub-Annex'!M100</f>
        <v>0</v>
      </c>
      <c r="M260" s="1880">
        <f>'9-A.Training Sub-Annex'!N100</f>
        <v>0</v>
      </c>
      <c r="N260" s="1880">
        <f>'9-A.Training Sub-Annex'!O100</f>
        <v>0</v>
      </c>
      <c r="O260" s="939">
        <f>'9-A.Training Sub-Annex'!P100</f>
        <v>0</v>
      </c>
      <c r="P260" s="1878">
        <f>'9-A.Training Sub-Annex'!Q100</f>
        <v>0</v>
      </c>
      <c r="Q260" s="124"/>
      <c r="R260" s="1880">
        <v>0</v>
      </c>
    </row>
    <row r="261" spans="1:20" s="828" customFormat="1" x14ac:dyDescent="0.2">
      <c r="A261" s="1878"/>
      <c r="B261" s="1878" t="str">
        <f>'9-A.Training Sub-Annex'!C101</f>
        <v>A.9.6.6.1</v>
      </c>
      <c r="C261" s="1879" t="str">
        <f>'9-A.Training Sub-Annex'!D101</f>
        <v xml:space="preserve">Training for Post abortion Family Planning </v>
      </c>
      <c r="D261" s="1880" t="str">
        <f>'9-A.Training Sub-Annex'!E101</f>
        <v>RCH</v>
      </c>
      <c r="E261" s="1880" t="str">
        <f>'9-A.Training Sub-Annex'!F101</f>
        <v>FP</v>
      </c>
      <c r="F261" s="1880">
        <f>'9-A.Training Sub-Annex'!G101</f>
        <v>0</v>
      </c>
      <c r="G261" s="1880">
        <f>'9-A.Training Sub-Annex'!H101</f>
        <v>0</v>
      </c>
      <c r="H261" s="1880">
        <f>'9-A.Training Sub-Annex'!I101</f>
        <v>0</v>
      </c>
      <c r="I261" s="1880">
        <f>'9-A.Training Sub-Annex'!J101</f>
        <v>0</v>
      </c>
      <c r="J261" s="1880">
        <f>'9-A.Training Sub-Annex'!K101</f>
        <v>0</v>
      </c>
      <c r="K261" s="1880">
        <f>'9-A.Training Sub-Annex'!L101</f>
        <v>0</v>
      </c>
      <c r="L261" s="939">
        <f>'9-A.Training Sub-Annex'!M101</f>
        <v>0</v>
      </c>
      <c r="M261" s="1880">
        <f>'9-A.Training Sub-Annex'!N101</f>
        <v>0</v>
      </c>
      <c r="N261" s="1880">
        <f>'9-A.Training Sub-Annex'!O101</f>
        <v>0</v>
      </c>
      <c r="O261" s="939">
        <f>'9-A.Training Sub-Annex'!P101</f>
        <v>0</v>
      </c>
      <c r="P261" s="1878">
        <f>'9-A.Training Sub-Annex'!Q101</f>
        <v>0</v>
      </c>
      <c r="Q261" s="124"/>
      <c r="R261" s="1880">
        <v>0</v>
      </c>
    </row>
    <row r="262" spans="1:20" s="828" customFormat="1" x14ac:dyDescent="0.2">
      <c r="A262" s="1878"/>
      <c r="B262" s="1878" t="str">
        <f>'9-A.Training Sub-Annex'!C102</f>
        <v>A.9.6.7</v>
      </c>
      <c r="C262" s="1879" t="str">
        <f>'9-A.Training Sub-Annex'!D102</f>
        <v>Training of RMNCH+A/ FP Counsellors</v>
      </c>
      <c r="D262" s="1880" t="str">
        <f>'9-A.Training Sub-Annex'!E102</f>
        <v>RCH</v>
      </c>
      <c r="E262" s="1880" t="str">
        <f>'9-A.Training Sub-Annex'!F102</f>
        <v>FP</v>
      </c>
      <c r="F262" s="1880">
        <f>'9-A.Training Sub-Annex'!G102</f>
        <v>0</v>
      </c>
      <c r="G262" s="1880">
        <f>'9-A.Training Sub-Annex'!H102</f>
        <v>0</v>
      </c>
      <c r="H262" s="1880">
        <f>'9-A.Training Sub-Annex'!I102</f>
        <v>0</v>
      </c>
      <c r="I262" s="1880">
        <f>'9-A.Training Sub-Annex'!J102</f>
        <v>0</v>
      </c>
      <c r="J262" s="1880">
        <f>'9-A.Training Sub-Annex'!K102</f>
        <v>0</v>
      </c>
      <c r="K262" s="1880">
        <f>'9-A.Training Sub-Annex'!L102</f>
        <v>0</v>
      </c>
      <c r="L262" s="939">
        <f>'9-A.Training Sub-Annex'!M102</f>
        <v>0</v>
      </c>
      <c r="M262" s="1880">
        <f>'9-A.Training Sub-Annex'!N102</f>
        <v>0</v>
      </c>
      <c r="N262" s="1880">
        <f>'9-A.Training Sub-Annex'!O102</f>
        <v>0</v>
      </c>
      <c r="O262" s="939">
        <f>'9-A.Training Sub-Annex'!P102</f>
        <v>0</v>
      </c>
      <c r="P262" s="1878">
        <f>'9-A.Training Sub-Annex'!Q102</f>
        <v>0</v>
      </c>
      <c r="Q262" s="124"/>
      <c r="R262" s="1880">
        <v>0</v>
      </c>
    </row>
    <row r="263" spans="1:20" s="828" customFormat="1" x14ac:dyDescent="0.2">
      <c r="A263" s="1878"/>
      <c r="B263" s="1878" t="str">
        <f>'9-A.Training Sub-Annex'!C103</f>
        <v>A.9.6.9.1</v>
      </c>
      <c r="C263" s="1879" t="str">
        <f>'9-A.Training Sub-Annex'!D103</f>
        <v>TOT (Injectable Contraceptive Trainings)</v>
      </c>
      <c r="D263" s="1880" t="str">
        <f>'9-A.Training Sub-Annex'!E103</f>
        <v>RCH</v>
      </c>
      <c r="E263" s="1880" t="str">
        <f>'9-A.Training Sub-Annex'!F103</f>
        <v>FP</v>
      </c>
      <c r="F263" s="1880">
        <f>'9-A.Training Sub-Annex'!G103</f>
        <v>0</v>
      </c>
      <c r="G263" s="1880">
        <f>'9-A.Training Sub-Annex'!H103</f>
        <v>0</v>
      </c>
      <c r="H263" s="1880">
        <f>'9-A.Training Sub-Annex'!I103</f>
        <v>0</v>
      </c>
      <c r="I263" s="1880">
        <f>'9-A.Training Sub-Annex'!J103</f>
        <v>0</v>
      </c>
      <c r="J263" s="1880">
        <f>'9-A.Training Sub-Annex'!K103</f>
        <v>0</v>
      </c>
      <c r="K263" s="1880">
        <f>'9-A.Training Sub-Annex'!L103</f>
        <v>0</v>
      </c>
      <c r="L263" s="939">
        <f>'9-A.Training Sub-Annex'!M103</f>
        <v>0</v>
      </c>
      <c r="M263" s="1880">
        <f>'9-A.Training Sub-Annex'!N103</f>
        <v>0</v>
      </c>
      <c r="N263" s="1880">
        <f>'9-A.Training Sub-Annex'!O103</f>
        <v>0</v>
      </c>
      <c r="O263" s="939">
        <f>'9-A.Training Sub-Annex'!P103</f>
        <v>0</v>
      </c>
      <c r="P263" s="1878">
        <f>'9-A.Training Sub-Annex'!Q103</f>
        <v>0</v>
      </c>
      <c r="Q263" s="124"/>
      <c r="R263" s="1880">
        <v>0</v>
      </c>
    </row>
    <row r="264" spans="1:20" s="828" customFormat="1" ht="30" x14ac:dyDescent="0.2">
      <c r="A264" s="1878"/>
      <c r="B264" s="1878" t="str">
        <f>'9-A.Training Sub-Annex'!C104</f>
        <v>A.9.6.9.2</v>
      </c>
      <c r="C264" s="1879" t="str">
        <f>'9-A.Training Sub-Annex'!D104</f>
        <v>Training of Medical officers (Injectable Contraceptive Trainings)</v>
      </c>
      <c r="D264" s="1880" t="str">
        <f>'9-A.Training Sub-Annex'!E104</f>
        <v>RCH</v>
      </c>
      <c r="E264" s="1880" t="str">
        <f>'9-A.Training Sub-Annex'!F104</f>
        <v>FP</v>
      </c>
      <c r="F264" s="1880">
        <f>'9-A.Training Sub-Annex'!G104</f>
        <v>0</v>
      </c>
      <c r="G264" s="1880">
        <f>'9-A.Training Sub-Annex'!H104</f>
        <v>0</v>
      </c>
      <c r="H264" s="1880">
        <f>'9-A.Training Sub-Annex'!I104</f>
        <v>0</v>
      </c>
      <c r="I264" s="1880">
        <f>'9-A.Training Sub-Annex'!J104</f>
        <v>0</v>
      </c>
      <c r="J264" s="1880">
        <f>'9-A.Training Sub-Annex'!K104</f>
        <v>0</v>
      </c>
      <c r="K264" s="1880">
        <f>'9-A.Training Sub-Annex'!L104</f>
        <v>0</v>
      </c>
      <c r="L264" s="939">
        <f>'9-A.Training Sub-Annex'!M104</f>
        <v>0</v>
      </c>
      <c r="M264" s="1880">
        <f>'9-A.Training Sub-Annex'!N104</f>
        <v>0</v>
      </c>
      <c r="N264" s="1880">
        <f>'9-A.Training Sub-Annex'!O104</f>
        <v>0</v>
      </c>
      <c r="O264" s="939">
        <f>'9-A.Training Sub-Annex'!P104</f>
        <v>0</v>
      </c>
      <c r="P264" s="1878">
        <f>'9-A.Training Sub-Annex'!Q104</f>
        <v>0</v>
      </c>
      <c r="Q264" s="3293"/>
      <c r="R264" s="1906"/>
      <c r="T264" s="3314"/>
    </row>
    <row r="265" spans="1:20" s="828" customFormat="1" ht="30" x14ac:dyDescent="0.2">
      <c r="A265" s="1878"/>
      <c r="B265" s="1878" t="str">
        <f>'9-A.Training Sub-Annex'!C105</f>
        <v>A.9.6.9.3</v>
      </c>
      <c r="C265" s="1879" t="str">
        <f>'9-A.Training Sub-Annex'!D105</f>
        <v>Training of AYUSH doctors (Injectable Contraceptive Trainings)</v>
      </c>
      <c r="D265" s="1880" t="str">
        <f>'9-A.Training Sub-Annex'!E105</f>
        <v>RCH</v>
      </c>
      <c r="E265" s="1880" t="str">
        <f>'9-A.Training Sub-Annex'!F105</f>
        <v>FP</v>
      </c>
      <c r="F265" s="1880">
        <f>'9-A.Training Sub-Annex'!G105</f>
        <v>0</v>
      </c>
      <c r="G265" s="1880">
        <f>'9-A.Training Sub-Annex'!H105</f>
        <v>0</v>
      </c>
      <c r="H265" s="1880">
        <f>'9-A.Training Sub-Annex'!I105</f>
        <v>0</v>
      </c>
      <c r="I265" s="1880">
        <f>'9-A.Training Sub-Annex'!J105</f>
        <v>0</v>
      </c>
      <c r="J265" s="1880">
        <f>'9-A.Training Sub-Annex'!K105</f>
        <v>0</v>
      </c>
      <c r="K265" s="1880">
        <f>'9-A.Training Sub-Annex'!L105</f>
        <v>0</v>
      </c>
      <c r="L265" s="939">
        <f>'9-A.Training Sub-Annex'!M105</f>
        <v>0</v>
      </c>
      <c r="M265" s="1880">
        <f>'9-A.Training Sub-Annex'!N105</f>
        <v>0</v>
      </c>
      <c r="N265" s="1880">
        <f>'9-A.Training Sub-Annex'!O105</f>
        <v>0</v>
      </c>
      <c r="O265" s="939">
        <f>'9-A.Training Sub-Annex'!P105</f>
        <v>0</v>
      </c>
      <c r="P265" s="1878">
        <f>'9-A.Training Sub-Annex'!Q105</f>
        <v>0</v>
      </c>
      <c r="Q265" s="124"/>
      <c r="R265" s="1880"/>
    </row>
    <row r="266" spans="1:20" s="828" customFormat="1" ht="30" x14ac:dyDescent="0.2">
      <c r="A266" s="1878"/>
      <c r="B266" s="1878" t="str">
        <f>'9-A.Training Sub-Annex'!C106</f>
        <v>A.9.6.9.4</v>
      </c>
      <c r="C266" s="1879" t="str">
        <f>'9-A.Training Sub-Annex'!D106</f>
        <v>Training of Nurses (Staff Nurse/LHV/ANM) (Injectable Contraceptive Trainings)</v>
      </c>
      <c r="D266" s="1880" t="str">
        <f>'9-A.Training Sub-Annex'!E106</f>
        <v>RCH</v>
      </c>
      <c r="E266" s="1880" t="str">
        <f>'9-A.Training Sub-Annex'!F106</f>
        <v>FP</v>
      </c>
      <c r="F266" s="1880">
        <f>'9-A.Training Sub-Annex'!G106</f>
        <v>0</v>
      </c>
      <c r="G266" s="1880">
        <f>'9-A.Training Sub-Annex'!H106</f>
        <v>0</v>
      </c>
      <c r="H266" s="1880">
        <f>'9-A.Training Sub-Annex'!I106</f>
        <v>0</v>
      </c>
      <c r="I266" s="1880">
        <f>'9-A.Training Sub-Annex'!J106</f>
        <v>0</v>
      </c>
      <c r="J266" s="1880">
        <f>'9-A.Training Sub-Annex'!K106</f>
        <v>0</v>
      </c>
      <c r="K266" s="1880">
        <f>'9-A.Training Sub-Annex'!L106</f>
        <v>0</v>
      </c>
      <c r="L266" s="939">
        <f>'9-A.Training Sub-Annex'!M106</f>
        <v>0</v>
      </c>
      <c r="M266" s="1880">
        <f>'9-A.Training Sub-Annex'!N106</f>
        <v>0</v>
      </c>
      <c r="N266" s="1880">
        <f>'9-A.Training Sub-Annex'!O106</f>
        <v>0</v>
      </c>
      <c r="O266" s="939">
        <f>'9-A.Training Sub-Annex'!P106</f>
        <v>0</v>
      </c>
      <c r="P266" s="1878">
        <f>'9-A.Training Sub-Annex'!Q106</f>
        <v>0</v>
      </c>
      <c r="Q266" s="3328"/>
      <c r="R266" s="3326"/>
      <c r="S266" s="3331"/>
      <c r="T266" s="3314"/>
    </row>
    <row r="267" spans="1:20" s="828" customFormat="1" x14ac:dyDescent="0.2">
      <c r="A267" s="1878"/>
      <c r="B267" s="1878" t="str">
        <f>'9-A.Training Sub-Annex'!C107</f>
        <v>A.9.6.10</v>
      </c>
      <c r="C267" s="1879" t="str">
        <f>'9-A.Training Sub-Annex'!D107</f>
        <v>Oral Pills Training</v>
      </c>
      <c r="D267" s="1880" t="str">
        <f>'9-A.Training Sub-Annex'!E107</f>
        <v>RCH</v>
      </c>
      <c r="E267" s="1880" t="str">
        <f>'9-A.Training Sub-Annex'!F107</f>
        <v>FP</v>
      </c>
      <c r="F267" s="1880">
        <f>'9-A.Training Sub-Annex'!G107</f>
        <v>0</v>
      </c>
      <c r="G267" s="1880">
        <f>'9-A.Training Sub-Annex'!H107</f>
        <v>0</v>
      </c>
      <c r="H267" s="1880">
        <f>'9-A.Training Sub-Annex'!I107</f>
        <v>0</v>
      </c>
      <c r="I267" s="1880">
        <f>'9-A.Training Sub-Annex'!J107</f>
        <v>0</v>
      </c>
      <c r="J267" s="1880">
        <f>'9-A.Training Sub-Annex'!K107</f>
        <v>0</v>
      </c>
      <c r="K267" s="1880">
        <f>'9-A.Training Sub-Annex'!L107</f>
        <v>0</v>
      </c>
      <c r="L267" s="939">
        <f>'9-A.Training Sub-Annex'!M107</f>
        <v>0</v>
      </c>
      <c r="M267" s="1880">
        <f>'9-A.Training Sub-Annex'!N107</f>
        <v>0</v>
      </c>
      <c r="N267" s="1880">
        <f>'9-A.Training Sub-Annex'!O107</f>
        <v>0</v>
      </c>
      <c r="O267" s="939">
        <f>'9-A.Training Sub-Annex'!P107</f>
        <v>0</v>
      </c>
      <c r="P267" s="1878">
        <f>'9-A.Training Sub-Annex'!Q107</f>
        <v>0</v>
      </c>
      <c r="Q267" s="124"/>
      <c r="R267" s="1880">
        <v>0</v>
      </c>
    </row>
    <row r="268" spans="1:20" s="828" customFormat="1" x14ac:dyDescent="0.2">
      <c r="A268" s="1878"/>
      <c r="B268" s="1878">
        <f>'9-A.Training Sub-Annex'!C108</f>
        <v>0</v>
      </c>
      <c r="C268" s="1879" t="str">
        <f>'9-A.Training Sub-Annex'!D108</f>
        <v>FP-LMIS training</v>
      </c>
      <c r="D268" s="1880" t="str">
        <f>'9-A.Training Sub-Annex'!E108</f>
        <v>RCH</v>
      </c>
      <c r="E268" s="1880" t="str">
        <f>'9-A.Training Sub-Annex'!F108</f>
        <v>FP</v>
      </c>
      <c r="F268" s="1880">
        <f>'9-A.Training Sub-Annex'!G108</f>
        <v>0</v>
      </c>
      <c r="G268" s="1880">
        <f>'9-A.Training Sub-Annex'!H108</f>
        <v>0</v>
      </c>
      <c r="H268" s="1880">
        <f>'9-A.Training Sub-Annex'!I108</f>
        <v>0</v>
      </c>
      <c r="I268" s="1880">
        <f>'9-A.Training Sub-Annex'!J108</f>
        <v>0</v>
      </c>
      <c r="J268" s="1880">
        <f>'9-A.Training Sub-Annex'!K108</f>
        <v>0</v>
      </c>
      <c r="K268" s="1880">
        <f>'9-A.Training Sub-Annex'!L108</f>
        <v>0</v>
      </c>
      <c r="L268" s="939">
        <f>'9-A.Training Sub-Annex'!M108</f>
        <v>0</v>
      </c>
      <c r="M268" s="1880">
        <f>'9-A.Training Sub-Annex'!N108</f>
        <v>0</v>
      </c>
      <c r="N268" s="1880">
        <f>'9-A.Training Sub-Annex'!O108</f>
        <v>0</v>
      </c>
      <c r="O268" s="939">
        <f>'9-A.Training Sub-Annex'!P108</f>
        <v>0</v>
      </c>
      <c r="P268" s="1878">
        <f>'9-A.Training Sub-Annex'!Q108</f>
        <v>0</v>
      </c>
      <c r="Q268" s="124"/>
      <c r="R268" s="1880">
        <v>0</v>
      </c>
    </row>
    <row r="269" spans="1:20" s="828" customFormat="1" x14ac:dyDescent="0.2">
      <c r="A269" s="1878"/>
      <c r="B269" s="1878">
        <f>'9-A.Training Sub-Annex'!C109</f>
        <v>0</v>
      </c>
      <c r="C269" s="1879" t="str">
        <f>'9-A.Training Sub-Annex'!D109</f>
        <v>Other Family Planning trainings (please specify)</v>
      </c>
      <c r="D269" s="1880" t="str">
        <f>'9-A.Training Sub-Annex'!E109</f>
        <v>RCH</v>
      </c>
      <c r="E269" s="1880" t="str">
        <f>'9-A.Training Sub-Annex'!F109</f>
        <v>FP</v>
      </c>
      <c r="F269" s="1880">
        <f>'9-A.Training Sub-Annex'!G109</f>
        <v>0</v>
      </c>
      <c r="G269" s="1880">
        <f>'9-A.Training Sub-Annex'!H109</f>
        <v>0</v>
      </c>
      <c r="H269" s="1880">
        <f>'9-A.Training Sub-Annex'!I109</f>
        <v>0</v>
      </c>
      <c r="I269" s="1880">
        <f>'9-A.Training Sub-Annex'!J109</f>
        <v>0</v>
      </c>
      <c r="J269" s="1880">
        <f>'9-A.Training Sub-Annex'!K109</f>
        <v>0</v>
      </c>
      <c r="K269" s="1880">
        <f>'9-A.Training Sub-Annex'!L109</f>
        <v>0</v>
      </c>
      <c r="L269" s="939">
        <f>'9-A.Training Sub-Annex'!M109</f>
        <v>0</v>
      </c>
      <c r="M269" s="1880">
        <f>'9-A.Training Sub-Annex'!N109</f>
        <v>0</v>
      </c>
      <c r="N269" s="1880">
        <f>'9-A.Training Sub-Annex'!O109</f>
        <v>0</v>
      </c>
      <c r="O269" s="939">
        <f>'9-A.Training Sub-Annex'!P109</f>
        <v>0</v>
      </c>
      <c r="P269" s="1878">
        <f>'9-A.Training Sub-Annex'!Q109</f>
        <v>0</v>
      </c>
      <c r="Q269" s="124"/>
      <c r="R269" s="1880">
        <v>0</v>
      </c>
    </row>
    <row r="270" spans="1:20" s="828" customFormat="1" x14ac:dyDescent="0.2">
      <c r="A270" s="1875">
        <f>'11.IEC-BCC Annex'!A7</f>
        <v>11</v>
      </c>
      <c r="B270" s="1885"/>
      <c r="C270" s="1876" t="str">
        <f>'11.IEC-BCC Annex'!C7</f>
        <v>IEC/BCC</v>
      </c>
      <c r="D270" s="1877"/>
      <c r="E270" s="1877"/>
      <c r="F270" s="1877"/>
      <c r="G270" s="1877"/>
      <c r="H270" s="969"/>
      <c r="I270" s="1877"/>
      <c r="J270" s="969"/>
      <c r="K270" s="1877"/>
      <c r="L270" s="969"/>
      <c r="M270" s="969"/>
      <c r="N270" s="1886"/>
      <c r="O270" s="1887">
        <f>SUM(O271:O276)</f>
        <v>0</v>
      </c>
      <c r="P270" s="1888"/>
      <c r="Q270" s="1908"/>
      <c r="R270" s="1909">
        <f>SUM(R271:R276)</f>
        <v>0</v>
      </c>
      <c r="T270" s="3314"/>
    </row>
    <row r="271" spans="1:20" s="828" customFormat="1" ht="159.6" customHeight="1" x14ac:dyDescent="0.2">
      <c r="A271" s="4047" t="str">
        <f>'11.IEC-BCC Annex'!A11</f>
        <v>11.1.3</v>
      </c>
      <c r="B271" s="1878" t="str">
        <f>'11-A. IEC Sub-Annex'!C16</f>
        <v>B.10.3.3.1</v>
      </c>
      <c r="C271" s="1879" t="str">
        <f>'11-A. IEC Sub-Annex'!D16</f>
        <v>Media Mix of Mid Media/ Mass Media</v>
      </c>
      <c r="D271" s="1880" t="str">
        <f>'11-A. IEC Sub-Annex'!E16</f>
        <v>RCH</v>
      </c>
      <c r="E271" s="1880" t="str">
        <f>'11-A. IEC Sub-Annex'!F16</f>
        <v>FP</v>
      </c>
      <c r="F271" s="1880">
        <f>'11-A. IEC Sub-Annex'!G16</f>
        <v>0</v>
      </c>
      <c r="G271" s="1880">
        <f>'11-A. IEC Sub-Annex'!H16</f>
        <v>0</v>
      </c>
      <c r="H271" s="1880">
        <f>'11-A. IEC Sub-Annex'!I16</f>
        <v>0</v>
      </c>
      <c r="I271" s="1880">
        <f>'11-A. IEC Sub-Annex'!J16</f>
        <v>0</v>
      </c>
      <c r="J271" s="1880">
        <f>'11-A. IEC Sub-Annex'!K16</f>
        <v>0</v>
      </c>
      <c r="K271" s="1880">
        <f>'11-A. IEC Sub-Annex'!L16</f>
        <v>0</v>
      </c>
      <c r="L271" s="939">
        <f>'11-A. IEC Sub-Annex'!M16</f>
        <v>0</v>
      </c>
      <c r="M271" s="1880">
        <f>'11-A. IEC Sub-Annex'!N16</f>
        <v>0</v>
      </c>
      <c r="N271" s="1880">
        <f>'11-A. IEC Sub-Annex'!O16</f>
        <v>0</v>
      </c>
      <c r="O271" s="939">
        <f>'11-A. IEC Sub-Annex'!P16</f>
        <v>0</v>
      </c>
      <c r="P271" s="1878">
        <f>'11-A. IEC Sub-Annex'!Q16</f>
        <v>0</v>
      </c>
      <c r="Q271" s="124"/>
      <c r="R271" s="1906"/>
      <c r="T271" s="3314"/>
    </row>
    <row r="272" spans="1:20" s="828" customFormat="1" ht="72.599999999999994" customHeight="1" x14ac:dyDescent="0.2">
      <c r="A272" s="4047"/>
      <c r="B272" s="1878" t="str">
        <f>'11-A. IEC Sub-Annex'!C17</f>
        <v>B.10.3.3.2</v>
      </c>
      <c r="C272" s="1879" t="str">
        <f>'11-A. IEC Sub-Annex'!D17</f>
        <v>Inter Personal Communication</v>
      </c>
      <c r="D272" s="1880" t="str">
        <f>'11-A. IEC Sub-Annex'!E17</f>
        <v>RCH</v>
      </c>
      <c r="E272" s="1880" t="str">
        <f>'11-A. IEC Sub-Annex'!F17</f>
        <v>FP</v>
      </c>
      <c r="F272" s="1880">
        <f>'11-A. IEC Sub-Annex'!G17</f>
        <v>0</v>
      </c>
      <c r="G272" s="1880">
        <f>'11-A. IEC Sub-Annex'!H17</f>
        <v>0</v>
      </c>
      <c r="H272" s="1880">
        <f>'11-A. IEC Sub-Annex'!I17</f>
        <v>0</v>
      </c>
      <c r="I272" s="1880">
        <f>'11-A. IEC Sub-Annex'!J17</f>
        <v>0</v>
      </c>
      <c r="J272" s="1880">
        <f>'11-A. IEC Sub-Annex'!K17</f>
        <v>0</v>
      </c>
      <c r="K272" s="1880">
        <f>'11-A. IEC Sub-Annex'!L17</f>
        <v>0</v>
      </c>
      <c r="L272" s="939">
        <f>'11-A. IEC Sub-Annex'!M17</f>
        <v>0</v>
      </c>
      <c r="M272" s="1880">
        <f>'11-A. IEC Sub-Annex'!N17</f>
        <v>0</v>
      </c>
      <c r="N272" s="1880">
        <f>'11-A. IEC Sub-Annex'!O17</f>
        <v>0</v>
      </c>
      <c r="O272" s="939">
        <f>'11-A. IEC Sub-Annex'!P17</f>
        <v>0</v>
      </c>
      <c r="P272" s="1878">
        <f>'11-A. IEC Sub-Annex'!Q17</f>
        <v>0</v>
      </c>
      <c r="Q272" s="124"/>
      <c r="R272" s="1880"/>
    </row>
    <row r="273" spans="1:20" s="828" customFormat="1" ht="30" x14ac:dyDescent="0.2">
      <c r="A273" s="4047"/>
      <c r="B273" s="1878" t="str">
        <f>'11-A. IEC Sub-Annex'!C18</f>
        <v>A.3.5.4</v>
      </c>
      <c r="C273" s="1879" t="str">
        <f>'11-A. IEC Sub-Annex'!D18</f>
        <v>IEC &amp; promotional activities for World Population Day celebration</v>
      </c>
      <c r="D273" s="1880" t="str">
        <f>'11-A. IEC Sub-Annex'!E18</f>
        <v>RCH</v>
      </c>
      <c r="E273" s="1880" t="str">
        <f>'11-A. IEC Sub-Annex'!F18</f>
        <v>FP</v>
      </c>
      <c r="F273" s="1880">
        <f>'11-A. IEC Sub-Annex'!G18</f>
        <v>0</v>
      </c>
      <c r="G273" s="1880">
        <f>'11-A. IEC Sub-Annex'!H18</f>
        <v>0</v>
      </c>
      <c r="H273" s="1880">
        <f>'11-A. IEC Sub-Annex'!I18</f>
        <v>0</v>
      </c>
      <c r="I273" s="1880">
        <f>'11-A. IEC Sub-Annex'!J18</f>
        <v>0</v>
      </c>
      <c r="J273" s="1880">
        <f>'11-A. IEC Sub-Annex'!K18</f>
        <v>0</v>
      </c>
      <c r="K273" s="1880">
        <f>'11-A. IEC Sub-Annex'!L18</f>
        <v>0</v>
      </c>
      <c r="L273" s="939">
        <f>'11-A. IEC Sub-Annex'!M18</f>
        <v>0</v>
      </c>
      <c r="M273" s="1880">
        <f>'11-A. IEC Sub-Annex'!N18</f>
        <v>0</v>
      </c>
      <c r="N273" s="1880">
        <f>'11-A. IEC Sub-Annex'!O18</f>
        <v>0</v>
      </c>
      <c r="O273" s="939">
        <f>'11-A. IEC Sub-Annex'!P18</f>
        <v>0</v>
      </c>
      <c r="P273" s="1878">
        <f>'11-A. IEC Sub-Annex'!Q18</f>
        <v>0</v>
      </c>
      <c r="Q273" s="3293"/>
      <c r="R273" s="1906"/>
      <c r="T273" s="3314"/>
    </row>
    <row r="274" spans="1:20" s="828" customFormat="1" ht="30" x14ac:dyDescent="0.2">
      <c r="A274" s="4047"/>
      <c r="B274" s="1878" t="str">
        <f>'11-A. IEC Sub-Annex'!C19</f>
        <v>A.3.5.5</v>
      </c>
      <c r="C274" s="1879" t="str">
        <f>'11-A. IEC Sub-Annex'!D19</f>
        <v xml:space="preserve">IEC &amp; promotional activities for Vasectomy Fortnight celebration </v>
      </c>
      <c r="D274" s="1880" t="str">
        <f>'11-A. IEC Sub-Annex'!E19</f>
        <v>RCH</v>
      </c>
      <c r="E274" s="1880" t="str">
        <f>'11-A. IEC Sub-Annex'!F19</f>
        <v>FP</v>
      </c>
      <c r="F274" s="1880">
        <f>'11-A. IEC Sub-Annex'!G19</f>
        <v>0</v>
      </c>
      <c r="G274" s="1880">
        <f>'11-A. IEC Sub-Annex'!H19</f>
        <v>0</v>
      </c>
      <c r="H274" s="1880">
        <f>'11-A. IEC Sub-Annex'!I19</f>
        <v>0</v>
      </c>
      <c r="I274" s="1880">
        <f>'11-A. IEC Sub-Annex'!J19</f>
        <v>0</v>
      </c>
      <c r="J274" s="1880">
        <f>'11-A. IEC Sub-Annex'!K19</f>
        <v>0</v>
      </c>
      <c r="K274" s="1880">
        <f>'11-A. IEC Sub-Annex'!L19</f>
        <v>0</v>
      </c>
      <c r="L274" s="939">
        <f>'11-A. IEC Sub-Annex'!M19</f>
        <v>0</v>
      </c>
      <c r="M274" s="1880">
        <f>'11-A. IEC Sub-Annex'!N19</f>
        <v>0</v>
      </c>
      <c r="N274" s="1880">
        <f>'11-A. IEC Sub-Annex'!O19</f>
        <v>0</v>
      </c>
      <c r="O274" s="939">
        <f>'11-A. IEC Sub-Annex'!P19</f>
        <v>0</v>
      </c>
      <c r="P274" s="1878">
        <f>'11-A. IEC Sub-Annex'!Q19</f>
        <v>0</v>
      </c>
      <c r="Q274" s="3293"/>
      <c r="R274" s="1906"/>
      <c r="T274" s="3314"/>
    </row>
    <row r="275" spans="1:20" s="828" customFormat="1" ht="30" x14ac:dyDescent="0.2">
      <c r="A275" s="4047"/>
      <c r="B275" s="1878" t="str">
        <f>'11-A. IEC Sub-Annex'!C20</f>
        <v>A.3.7.4</v>
      </c>
      <c r="C275" s="1879" t="str">
        <f>'11-A. IEC Sub-Annex'!D20</f>
        <v>IEC activities for Mission Parivar Vikas Campaign (Frequency-at least 4/year)</v>
      </c>
      <c r="D275" s="1880" t="str">
        <f>'11-A. IEC Sub-Annex'!E20</f>
        <v>RCH</v>
      </c>
      <c r="E275" s="1880" t="str">
        <f>'11-A. IEC Sub-Annex'!F20</f>
        <v>FP</v>
      </c>
      <c r="F275" s="1880">
        <f>'11-A. IEC Sub-Annex'!G20</f>
        <v>0</v>
      </c>
      <c r="G275" s="1880">
        <f>'11-A. IEC Sub-Annex'!H20</f>
        <v>0</v>
      </c>
      <c r="H275" s="1880">
        <f>'11-A. IEC Sub-Annex'!I20</f>
        <v>0</v>
      </c>
      <c r="I275" s="1880">
        <f>'11-A. IEC Sub-Annex'!J20</f>
        <v>0</v>
      </c>
      <c r="J275" s="1880">
        <f>'11-A. IEC Sub-Annex'!K20</f>
        <v>0</v>
      </c>
      <c r="K275" s="1880">
        <f>'11-A. IEC Sub-Annex'!L20</f>
        <v>0</v>
      </c>
      <c r="L275" s="939">
        <f>'11-A. IEC Sub-Annex'!M20</f>
        <v>0</v>
      </c>
      <c r="M275" s="1880">
        <f>'11-A. IEC Sub-Annex'!N20</f>
        <v>0</v>
      </c>
      <c r="N275" s="1880">
        <f>'11-A. IEC Sub-Annex'!O20</f>
        <v>0</v>
      </c>
      <c r="O275" s="939">
        <f>'11-A. IEC Sub-Annex'!P20</f>
        <v>0</v>
      </c>
      <c r="P275" s="1878">
        <f>'11-A. IEC Sub-Annex'!Q20</f>
        <v>0</v>
      </c>
      <c r="Q275" s="124"/>
      <c r="R275" s="1880">
        <v>0</v>
      </c>
    </row>
    <row r="276" spans="1:20" s="828" customFormat="1" ht="98.25" customHeight="1" x14ac:dyDescent="0.2">
      <c r="A276" s="4047"/>
      <c r="B276" s="1878">
        <f>'11-A. IEC Sub-Annex'!C21</f>
        <v>0</v>
      </c>
      <c r="C276" s="1879" t="str">
        <f>'11-A. IEC Sub-Annex'!D21</f>
        <v>Any other IEC/BCC activities (please specify)</v>
      </c>
      <c r="D276" s="1880" t="str">
        <f>'11-A. IEC Sub-Annex'!E21</f>
        <v>RCH</v>
      </c>
      <c r="E276" s="1880" t="str">
        <f>'11-A. IEC Sub-Annex'!F21</f>
        <v>FP</v>
      </c>
      <c r="F276" s="1880">
        <f>'11-A. IEC Sub-Annex'!G21</f>
        <v>0</v>
      </c>
      <c r="G276" s="1880">
        <f>'11-A. IEC Sub-Annex'!H21</f>
        <v>0</v>
      </c>
      <c r="H276" s="1880">
        <f>'11-A. IEC Sub-Annex'!I21</f>
        <v>0</v>
      </c>
      <c r="I276" s="1880">
        <f>'11-A. IEC Sub-Annex'!J21</f>
        <v>0</v>
      </c>
      <c r="J276" s="1880">
        <f>'11-A. IEC Sub-Annex'!K21</f>
        <v>0</v>
      </c>
      <c r="K276" s="1880">
        <f>'11-A. IEC Sub-Annex'!L21</f>
        <v>0</v>
      </c>
      <c r="L276" s="939">
        <f>'11-A. IEC Sub-Annex'!M21</f>
        <v>0</v>
      </c>
      <c r="M276" s="1880">
        <f>'11-A. IEC Sub-Annex'!N21</f>
        <v>0</v>
      </c>
      <c r="N276" s="1880">
        <f>'11-A. IEC Sub-Annex'!O21</f>
        <v>0</v>
      </c>
      <c r="O276" s="939">
        <f>'11-A. IEC Sub-Annex'!P21</f>
        <v>0</v>
      </c>
      <c r="P276" s="1878">
        <f>'11-A. IEC Sub-Annex'!Q21</f>
        <v>0</v>
      </c>
      <c r="Q276" s="124"/>
      <c r="R276" s="1880">
        <v>0</v>
      </c>
    </row>
    <row r="277" spans="1:20" s="828" customFormat="1" x14ac:dyDescent="0.2">
      <c r="A277" s="1875">
        <f>'12.Printing Annex'!A7</f>
        <v>12</v>
      </c>
      <c r="B277" s="1885"/>
      <c r="C277" s="1876" t="str">
        <f>'12.Printing Annex'!C7</f>
        <v>Printing</v>
      </c>
      <c r="D277" s="1877"/>
      <c r="E277" s="1877"/>
      <c r="F277" s="1877"/>
      <c r="G277" s="1877"/>
      <c r="H277" s="969"/>
      <c r="I277" s="1877"/>
      <c r="J277" s="969"/>
      <c r="K277" s="1877"/>
      <c r="L277" s="969"/>
      <c r="M277" s="969"/>
      <c r="N277" s="1886"/>
      <c r="O277" s="1887">
        <f>SUM(O278:O282)</f>
        <v>0</v>
      </c>
      <c r="P277" s="1888"/>
      <c r="Q277" s="1908"/>
      <c r="R277" s="1909">
        <f>SUM(R278:R282)</f>
        <v>0</v>
      </c>
      <c r="T277" s="3314"/>
    </row>
    <row r="278" spans="1:20" s="828" customFormat="1" x14ac:dyDescent="0.2">
      <c r="A278" s="4047" t="str">
        <f>'12.Printing Annex'!A11</f>
        <v>12.1.3</v>
      </c>
      <c r="B278" s="1878" t="str">
        <f>'12-A. Print Sub-Annex'!C28</f>
        <v>A.3.2.7</v>
      </c>
      <c r="C278" s="1879" t="str">
        <f>'12-A. Print Sub-Annex'!D28</f>
        <v>Dissemination of FP manuals and guidelines</v>
      </c>
      <c r="D278" s="1880" t="str">
        <f>'12-A. Print Sub-Annex'!E28</f>
        <v>RCH</v>
      </c>
      <c r="E278" s="1880" t="str">
        <f>'12-A. Print Sub-Annex'!F28</f>
        <v>FP</v>
      </c>
      <c r="F278" s="1880">
        <f>'12-A. Print Sub-Annex'!G28</f>
        <v>0</v>
      </c>
      <c r="G278" s="1880">
        <f>'12-A. Print Sub-Annex'!H28</f>
        <v>0</v>
      </c>
      <c r="H278" s="1880">
        <f>'12-A. Print Sub-Annex'!I28</f>
        <v>0</v>
      </c>
      <c r="I278" s="1880">
        <f>'12-A. Print Sub-Annex'!J28</f>
        <v>0</v>
      </c>
      <c r="J278" s="1880">
        <f>'12-A. Print Sub-Annex'!K28</f>
        <v>0</v>
      </c>
      <c r="K278" s="1880">
        <f>'12-A. Print Sub-Annex'!L28</f>
        <v>0</v>
      </c>
      <c r="L278" s="939">
        <f>'12-A. Print Sub-Annex'!M28</f>
        <v>0</v>
      </c>
      <c r="M278" s="1880">
        <f>'12-A. Print Sub-Annex'!N28</f>
        <v>0</v>
      </c>
      <c r="N278" s="1880">
        <f>'12-A. Print Sub-Annex'!O28</f>
        <v>0</v>
      </c>
      <c r="O278" s="939">
        <f>'12-A. Print Sub-Annex'!P28</f>
        <v>0</v>
      </c>
      <c r="P278" s="1878">
        <f>'12-A. Print Sub-Annex'!Q28</f>
        <v>0</v>
      </c>
      <c r="Q278" s="124"/>
      <c r="R278" s="1880">
        <v>0</v>
      </c>
    </row>
    <row r="279" spans="1:20" s="828" customFormat="1" x14ac:dyDescent="0.2">
      <c r="A279" s="4047"/>
      <c r="B279" s="1878" t="str">
        <f>'12-A. Print Sub-Annex'!C29</f>
        <v>A.3.7.4</v>
      </c>
      <c r="C279" s="1879" t="str">
        <f>'12-A. Print Sub-Annex'!D29</f>
        <v xml:space="preserve">Printing for Mission Parivar Vikas Campaign </v>
      </c>
      <c r="D279" s="1880" t="str">
        <f>'12-A. Print Sub-Annex'!E29</f>
        <v>RCH</v>
      </c>
      <c r="E279" s="1880" t="str">
        <f>'12-A. Print Sub-Annex'!F29</f>
        <v>FP</v>
      </c>
      <c r="F279" s="1880">
        <f>'12-A. Print Sub-Annex'!G29</f>
        <v>0</v>
      </c>
      <c r="G279" s="1880">
        <f>'12-A. Print Sub-Annex'!H29</f>
        <v>0</v>
      </c>
      <c r="H279" s="1880">
        <f>'12-A. Print Sub-Annex'!I29</f>
        <v>0</v>
      </c>
      <c r="I279" s="1880">
        <f>'12-A. Print Sub-Annex'!J29</f>
        <v>0</v>
      </c>
      <c r="J279" s="1880">
        <f>'12-A. Print Sub-Annex'!K29</f>
        <v>0</v>
      </c>
      <c r="K279" s="1880">
        <f>'12-A. Print Sub-Annex'!L29</f>
        <v>0</v>
      </c>
      <c r="L279" s="939">
        <f>'12-A. Print Sub-Annex'!M29</f>
        <v>0</v>
      </c>
      <c r="M279" s="1880">
        <f>'12-A. Print Sub-Annex'!N29</f>
        <v>0</v>
      </c>
      <c r="N279" s="1880">
        <f>'12-A. Print Sub-Annex'!O29</f>
        <v>0</v>
      </c>
      <c r="O279" s="939">
        <f>'12-A. Print Sub-Annex'!P29</f>
        <v>0</v>
      </c>
      <c r="P279" s="1878">
        <f>'12-A. Print Sub-Annex'!Q29</f>
        <v>0</v>
      </c>
      <c r="Q279" s="124"/>
      <c r="R279" s="1880">
        <v>0</v>
      </c>
    </row>
    <row r="280" spans="1:20" s="828" customFormat="1" x14ac:dyDescent="0.2">
      <c r="A280" s="4047"/>
      <c r="B280" s="1878" t="str">
        <f>'12-A. Print Sub-Annex'!C30</f>
        <v>A.3.5.6.1</v>
      </c>
      <c r="C280" s="1879" t="str">
        <f>'12-A. Print Sub-Annex'!D30</f>
        <v>Printing of FP Manuals, Guidelines, etc.</v>
      </c>
      <c r="D280" s="1880" t="str">
        <f>'12-A. Print Sub-Annex'!E30</f>
        <v>RCH</v>
      </c>
      <c r="E280" s="1880" t="str">
        <f>'12-A. Print Sub-Annex'!F30</f>
        <v>FP</v>
      </c>
      <c r="F280" s="1880">
        <f>'12-A. Print Sub-Annex'!G30</f>
        <v>0</v>
      </c>
      <c r="G280" s="1880">
        <f>'12-A. Print Sub-Annex'!H30</f>
        <v>0</v>
      </c>
      <c r="H280" s="1880">
        <f>'12-A. Print Sub-Annex'!I30</f>
        <v>0</v>
      </c>
      <c r="I280" s="1880">
        <f>'12-A. Print Sub-Annex'!J30</f>
        <v>0</v>
      </c>
      <c r="J280" s="1880">
        <f>'12-A. Print Sub-Annex'!K30</f>
        <v>0</v>
      </c>
      <c r="K280" s="1880">
        <f>'12-A. Print Sub-Annex'!L30</f>
        <v>0</v>
      </c>
      <c r="L280" s="939">
        <f>'12-A. Print Sub-Annex'!M30</f>
        <v>0</v>
      </c>
      <c r="M280" s="1880">
        <f>'12-A. Print Sub-Annex'!N30</f>
        <v>0</v>
      </c>
      <c r="N280" s="1880">
        <f>'12-A. Print Sub-Annex'!O30</f>
        <v>0</v>
      </c>
      <c r="O280" s="939">
        <f>'12-A. Print Sub-Annex'!P30</f>
        <v>0</v>
      </c>
      <c r="P280" s="1878">
        <f>'12-A. Print Sub-Annex'!Q30</f>
        <v>0</v>
      </c>
      <c r="Q280" s="124"/>
      <c r="R280" s="1880">
        <v>0</v>
      </c>
    </row>
    <row r="281" spans="1:20" s="828" customFormat="1" ht="30" x14ac:dyDescent="0.2">
      <c r="A281" s="4047"/>
      <c r="B281" s="1878" t="str">
        <f>'12-A. Print Sub-Annex'!C31</f>
        <v>B.10.7.3</v>
      </c>
      <c r="C281" s="1879" t="str">
        <f>'12-A. Print Sub-Annex'!D31</f>
        <v>Printing of IUCD cards, MPA Card, FP manuals, guidelines etc.</v>
      </c>
      <c r="D281" s="1880" t="str">
        <f>'12-A. Print Sub-Annex'!E31</f>
        <v>RCH</v>
      </c>
      <c r="E281" s="1880" t="str">
        <f>'12-A. Print Sub-Annex'!F31</f>
        <v>FP</v>
      </c>
      <c r="F281" s="1880">
        <f>'12-A. Print Sub-Annex'!G31</f>
        <v>0</v>
      </c>
      <c r="G281" s="1880">
        <f>'12-A. Print Sub-Annex'!H31</f>
        <v>0</v>
      </c>
      <c r="H281" s="1880">
        <f>'12-A. Print Sub-Annex'!I31</f>
        <v>0</v>
      </c>
      <c r="I281" s="1880">
        <f>'12-A. Print Sub-Annex'!J31</f>
        <v>0</v>
      </c>
      <c r="J281" s="1880">
        <f>'12-A. Print Sub-Annex'!K31</f>
        <v>0</v>
      </c>
      <c r="K281" s="1880">
        <f>'12-A. Print Sub-Annex'!L31</f>
        <v>0</v>
      </c>
      <c r="L281" s="939">
        <f>'12-A. Print Sub-Annex'!M31</f>
        <v>0</v>
      </c>
      <c r="M281" s="1880">
        <f>'12-A. Print Sub-Annex'!N31</f>
        <v>0</v>
      </c>
      <c r="N281" s="1880">
        <f>'12-A. Print Sub-Annex'!O31</f>
        <v>0</v>
      </c>
      <c r="O281" s="939">
        <f>'12-A. Print Sub-Annex'!P31</f>
        <v>0</v>
      </c>
      <c r="P281" s="1878">
        <f>'12-A. Print Sub-Annex'!Q31</f>
        <v>0</v>
      </c>
      <c r="Q281" s="3293"/>
      <c r="R281" s="1906"/>
      <c r="T281" s="3314"/>
    </row>
    <row r="282" spans="1:20" s="828" customFormat="1" x14ac:dyDescent="0.2">
      <c r="A282" s="4047"/>
      <c r="B282" s="1878">
        <f>'12-A. Print Sub-Annex'!C32</f>
        <v>0</v>
      </c>
      <c r="C282" s="1879" t="str">
        <f>'12-A. Print Sub-Annex'!D32</f>
        <v>Any other (please specify)</v>
      </c>
      <c r="D282" s="1880" t="str">
        <f>'12-A. Print Sub-Annex'!E32</f>
        <v>RCH</v>
      </c>
      <c r="E282" s="1880" t="str">
        <f>'12-A. Print Sub-Annex'!F32</f>
        <v>FP</v>
      </c>
      <c r="F282" s="1880">
        <f>'12-A. Print Sub-Annex'!G32</f>
        <v>0</v>
      </c>
      <c r="G282" s="1880">
        <f>'12-A. Print Sub-Annex'!H32</f>
        <v>0</v>
      </c>
      <c r="H282" s="1880">
        <f>'12-A. Print Sub-Annex'!I32</f>
        <v>0</v>
      </c>
      <c r="I282" s="1880">
        <f>'12-A. Print Sub-Annex'!J32</f>
        <v>0</v>
      </c>
      <c r="J282" s="1880">
        <f>'12-A. Print Sub-Annex'!K32</f>
        <v>0</v>
      </c>
      <c r="K282" s="1880">
        <f>'12-A. Print Sub-Annex'!L32</f>
        <v>0</v>
      </c>
      <c r="L282" s="939">
        <f>'12-A. Print Sub-Annex'!M32</f>
        <v>0</v>
      </c>
      <c r="M282" s="1880">
        <f>'12-A. Print Sub-Annex'!N32</f>
        <v>0</v>
      </c>
      <c r="N282" s="1880">
        <f>'12-A. Print Sub-Annex'!O32</f>
        <v>0</v>
      </c>
      <c r="O282" s="939">
        <f>'12-A. Print Sub-Annex'!P32</f>
        <v>0</v>
      </c>
      <c r="P282" s="1878">
        <f>'12-A. Print Sub-Annex'!Q32</f>
        <v>0</v>
      </c>
      <c r="Q282" s="3293"/>
      <c r="R282" s="3297"/>
      <c r="T282" s="3315"/>
    </row>
    <row r="283" spans="1:20" s="828" customFormat="1" x14ac:dyDescent="0.2">
      <c r="A283" s="1875">
        <f>'14.Drug warehouse &amp;Logistic Anx'!A7</f>
        <v>14</v>
      </c>
      <c r="B283" s="1885"/>
      <c r="C283" s="1876" t="str">
        <f>'14.Drug warehouse &amp;Logistic Anx'!C7</f>
        <v>Drug Warehousing and Logistics</v>
      </c>
      <c r="D283" s="1877"/>
      <c r="E283" s="1877"/>
      <c r="F283" s="1877"/>
      <c r="G283" s="1877"/>
      <c r="H283" s="969"/>
      <c r="I283" s="1877"/>
      <c r="J283" s="969"/>
      <c r="K283" s="1877"/>
      <c r="L283" s="969"/>
      <c r="M283" s="969"/>
      <c r="N283" s="1886"/>
      <c r="O283" s="1887">
        <f>SUM(O284)</f>
        <v>0</v>
      </c>
      <c r="P283" s="1888"/>
      <c r="Q283" s="1908"/>
      <c r="R283" s="1909">
        <f>SUM(R284)</f>
        <v>0</v>
      </c>
      <c r="T283" s="3314"/>
    </row>
    <row r="284" spans="1:20" s="828" customFormat="1" x14ac:dyDescent="0.2">
      <c r="A284" s="1878" t="str">
        <f>'14.Drug warehouse &amp;Logistic Anx'!A19</f>
        <v>14.2.3</v>
      </c>
      <c r="B284" s="1878">
        <f>'14.Drug warehouse &amp;Logistic Anx'!B19</f>
        <v>0</v>
      </c>
      <c r="C284" s="1879" t="str">
        <f>'14.Drug warehouse &amp;Logistic Anx'!C19</f>
        <v>Implementation of FP-LMIS</v>
      </c>
      <c r="D284" s="1880" t="str">
        <f>'14.Drug warehouse &amp;Logistic Anx'!D19</f>
        <v>RCH</v>
      </c>
      <c r="E284" s="1880" t="str">
        <f>'14.Drug warehouse &amp;Logistic Anx'!E19</f>
        <v>FP</v>
      </c>
      <c r="F284" s="1880">
        <f>'14.Drug warehouse &amp;Logistic Anx'!F19</f>
        <v>0</v>
      </c>
      <c r="G284" s="1880">
        <f>'14.Drug warehouse &amp;Logistic Anx'!G19</f>
        <v>0</v>
      </c>
      <c r="H284" s="1880">
        <f>'14.Drug warehouse &amp;Logistic Anx'!H19</f>
        <v>0</v>
      </c>
      <c r="I284" s="1880">
        <f>'14.Drug warehouse &amp;Logistic Anx'!I19</f>
        <v>0</v>
      </c>
      <c r="J284" s="1880">
        <f>'14.Drug warehouse &amp;Logistic Anx'!J19</f>
        <v>0</v>
      </c>
      <c r="K284" s="1880">
        <f>'14.Drug warehouse &amp;Logistic Anx'!K19</f>
        <v>0</v>
      </c>
      <c r="L284" s="939">
        <f>'14.Drug warehouse &amp;Logistic Anx'!L19</f>
        <v>0</v>
      </c>
      <c r="M284" s="1880">
        <f>'14.Drug warehouse &amp;Logistic Anx'!M19</f>
        <v>0</v>
      </c>
      <c r="N284" s="1880">
        <f>'14.Drug warehouse &amp;Logistic Anx'!N19</f>
        <v>0</v>
      </c>
      <c r="O284" s="939">
        <f>'14.Drug warehouse &amp;Logistic Anx'!O19</f>
        <v>0</v>
      </c>
      <c r="P284" s="1878">
        <f>'14.Drug warehouse &amp;Logistic Anx'!P19</f>
        <v>0</v>
      </c>
      <c r="Q284" s="124"/>
      <c r="R284" s="1880">
        <v>0</v>
      </c>
    </row>
    <row r="285" spans="1:20" s="828" customFormat="1" x14ac:dyDescent="0.2">
      <c r="A285" s="1898">
        <f>'15.PPP Annex'!A7</f>
        <v>15</v>
      </c>
      <c r="B285" s="1898"/>
      <c r="C285" s="1899" t="str">
        <f>'15.PPP Annex'!C7</f>
        <v>PPP</v>
      </c>
      <c r="D285" s="1900"/>
      <c r="E285" s="1900"/>
      <c r="F285" s="1900"/>
      <c r="G285" s="1900"/>
      <c r="H285" s="1900"/>
      <c r="I285" s="1900"/>
      <c r="J285" s="1900"/>
      <c r="K285" s="1900"/>
      <c r="L285" s="969"/>
      <c r="M285" s="969"/>
      <c r="N285" s="1900"/>
      <c r="O285" s="969">
        <f>SUM(O286:O287)</f>
        <v>0</v>
      </c>
      <c r="P285" s="1898"/>
      <c r="Q285" s="676"/>
      <c r="R285" s="132">
        <f>SUM(R286:R287)</f>
        <v>0</v>
      </c>
      <c r="T285" s="3314"/>
    </row>
    <row r="286" spans="1:20" s="828" customFormat="1" ht="45" x14ac:dyDescent="0.2">
      <c r="A286" s="1878" t="str">
        <f>'15.PPP Annex'!A9</f>
        <v>15.1.1</v>
      </c>
      <c r="B286" s="1878" t="str">
        <f>'15.PPP Annex'!B9</f>
        <v>A.3.1.5</v>
      </c>
      <c r="C286" s="1879" t="str">
        <f>'15.PPP Annex'!C9</f>
        <v xml:space="preserve">Processing accreditation/empanelment for private facilities/providers to provide sterilization services </v>
      </c>
      <c r="D286" s="1880" t="str">
        <f>'15.PPP Annex'!D9</f>
        <v xml:space="preserve">RCH </v>
      </c>
      <c r="E286" s="1880" t="str">
        <f>'15.PPP Annex'!E9</f>
        <v>FP</v>
      </c>
      <c r="F286" s="1880">
        <f>'15.PPP Annex'!F9</f>
        <v>0</v>
      </c>
      <c r="G286" s="1880">
        <f>'15.PPP Annex'!G9</f>
        <v>0</v>
      </c>
      <c r="H286" s="1880">
        <f>'15.PPP Annex'!H9</f>
        <v>0</v>
      </c>
      <c r="I286" s="1880">
        <f>'15.PPP Annex'!I9</f>
        <v>0</v>
      </c>
      <c r="J286" s="1880">
        <f>'15.PPP Annex'!J9</f>
        <v>0</v>
      </c>
      <c r="K286" s="1880">
        <f>'15.PPP Annex'!K9</f>
        <v>0</v>
      </c>
      <c r="L286" s="939">
        <f>'15.PPP Annex'!L9</f>
        <v>0</v>
      </c>
      <c r="M286" s="1880">
        <f>'15.PPP Annex'!M9</f>
        <v>0</v>
      </c>
      <c r="N286" s="1880">
        <f>'15.PPP Annex'!N9</f>
        <v>0</v>
      </c>
      <c r="O286" s="939">
        <f>'15.PPP Annex'!O9</f>
        <v>0</v>
      </c>
      <c r="P286" s="1878">
        <f>'15.PPP Annex'!P9</f>
        <v>0</v>
      </c>
      <c r="Q286" s="124"/>
      <c r="R286" s="1880">
        <v>0</v>
      </c>
    </row>
    <row r="287" spans="1:20" s="828" customFormat="1" x14ac:dyDescent="0.2">
      <c r="A287" s="1878" t="str">
        <f>'15.PPP Annex'!A10</f>
        <v>15.1.2</v>
      </c>
      <c r="B287" s="1878">
        <f>'15.PPP Annex'!B10</f>
        <v>0</v>
      </c>
      <c r="C287" s="1879" t="str">
        <f>'15.PPP Annex'!C10</f>
        <v>Any other (please specify)</v>
      </c>
      <c r="D287" s="1880" t="str">
        <f>'15.PPP Annex'!D10</f>
        <v xml:space="preserve">RCH </v>
      </c>
      <c r="E287" s="1880" t="str">
        <f>'15.PPP Annex'!E10</f>
        <v>FP</v>
      </c>
      <c r="F287" s="1880">
        <f>'15.PPP Annex'!F10</f>
        <v>0</v>
      </c>
      <c r="G287" s="1880">
        <f>'15.PPP Annex'!G10</f>
        <v>0</v>
      </c>
      <c r="H287" s="1880">
        <f>'15.PPP Annex'!H10</f>
        <v>0</v>
      </c>
      <c r="I287" s="1880">
        <f>'15.PPP Annex'!I10</f>
        <v>0</v>
      </c>
      <c r="J287" s="1880">
        <f>'15.PPP Annex'!J10</f>
        <v>0</v>
      </c>
      <c r="K287" s="1880">
        <f>'15.PPP Annex'!K10</f>
        <v>0</v>
      </c>
      <c r="L287" s="939">
        <f>'15.PPP Annex'!L10</f>
        <v>0</v>
      </c>
      <c r="M287" s="1880">
        <f>'15.PPP Annex'!M10</f>
        <v>0</v>
      </c>
      <c r="N287" s="1880">
        <f>'15.PPP Annex'!N10</f>
        <v>0</v>
      </c>
      <c r="O287" s="939">
        <f>'15.PPP Annex'!O10</f>
        <v>0</v>
      </c>
      <c r="P287" s="1878">
        <f>'15.PPP Annex'!P10</f>
        <v>0</v>
      </c>
      <c r="Q287" s="124"/>
      <c r="R287" s="1880">
        <v>0</v>
      </c>
    </row>
    <row r="288" spans="1:20" s="828" customFormat="1" x14ac:dyDescent="0.2">
      <c r="A288" s="1869" t="s">
        <v>4363</v>
      </c>
      <c r="B288" s="1869"/>
      <c r="C288" s="1870" t="s">
        <v>5375</v>
      </c>
      <c r="D288" s="1871"/>
      <c r="E288" s="1871"/>
      <c r="F288" s="1871"/>
      <c r="G288" s="1871"/>
      <c r="H288" s="1872"/>
      <c r="I288" s="1871"/>
      <c r="J288" s="1872"/>
      <c r="K288" s="1871"/>
      <c r="L288" s="1872"/>
      <c r="M288" s="1872"/>
      <c r="N288" s="1895"/>
      <c r="O288" s="1896">
        <f>O289+O294+O298+O302+O304+O311+O313+O330+O334</f>
        <v>0</v>
      </c>
      <c r="P288" s="1897"/>
      <c r="Q288" s="1910"/>
      <c r="R288" s="1911">
        <f>R289+R294+R298+R302+R304+R311+R313+R330+R334</f>
        <v>0</v>
      </c>
      <c r="T288" s="3314"/>
    </row>
    <row r="289" spans="1:20" s="858" customFormat="1" x14ac:dyDescent="0.2">
      <c r="A289" s="1875">
        <f>'1.SD Facility Based Annex'!A7</f>
        <v>1</v>
      </c>
      <c r="B289" s="1875">
        <f>'1.SD Facility Based Annex'!B7</f>
        <v>0</v>
      </c>
      <c r="C289" s="1876" t="str">
        <f>'1.SD Facility Based Annex'!C7</f>
        <v>Service Delivery - Facility Based</v>
      </c>
      <c r="D289" s="1877"/>
      <c r="E289" s="1877"/>
      <c r="F289" s="1877"/>
      <c r="G289" s="1877"/>
      <c r="H289" s="1877"/>
      <c r="I289" s="1877"/>
      <c r="J289" s="1877"/>
      <c r="K289" s="1877"/>
      <c r="L289" s="969"/>
      <c r="M289" s="1877"/>
      <c r="N289" s="1877"/>
      <c r="O289" s="969">
        <f>SUM(O290:O293)</f>
        <v>0</v>
      </c>
      <c r="P289" s="1875"/>
      <c r="Q289" s="678"/>
      <c r="R289" s="132">
        <f>SUM(R290:R293)</f>
        <v>0</v>
      </c>
      <c r="T289" s="3316"/>
    </row>
    <row r="290" spans="1:20" s="828" customFormat="1" x14ac:dyDescent="0.2">
      <c r="A290" s="1878" t="str">
        <f>'1.SD Facility Based Annex'!A30</f>
        <v>1.1.4.1</v>
      </c>
      <c r="B290" s="1878">
        <f>'1.SD Facility Based Annex'!B30</f>
        <v>0</v>
      </c>
      <c r="C290" s="1879" t="str">
        <f>'1.SD Facility Based Annex'!C30</f>
        <v>Activity for Strengthening AH Services</v>
      </c>
      <c r="D290" s="1880" t="str">
        <f>'1.SD Facility Based Annex'!D30</f>
        <v>RCH</v>
      </c>
      <c r="E290" s="1880" t="str">
        <f>'1.SD Facility Based Annex'!E30</f>
        <v>AH</v>
      </c>
      <c r="F290" s="1880">
        <f>'1.SD Facility Based Annex'!F30</f>
        <v>0</v>
      </c>
      <c r="G290" s="1880">
        <f>'1.SD Facility Based Annex'!G30</f>
        <v>0</v>
      </c>
      <c r="H290" s="1880">
        <f>'1.SD Facility Based Annex'!H30</f>
        <v>0</v>
      </c>
      <c r="I290" s="1880">
        <f>'1.SD Facility Based Annex'!I30</f>
        <v>0</v>
      </c>
      <c r="J290" s="1880">
        <f>'1.SD Facility Based Annex'!J30</f>
        <v>0</v>
      </c>
      <c r="K290" s="1880">
        <f>'1.SD Facility Based Annex'!K30</f>
        <v>0</v>
      </c>
      <c r="L290" s="939">
        <f>'1.SD Facility Based Annex'!L30</f>
        <v>0</v>
      </c>
      <c r="M290" s="1880">
        <f>'1.SD Facility Based Annex'!M30</f>
        <v>0</v>
      </c>
      <c r="N290" s="1880">
        <f>'1.SD Facility Based Annex'!N30</f>
        <v>0</v>
      </c>
      <c r="O290" s="939">
        <f>'1.SD Facility Based Annex'!O30</f>
        <v>0</v>
      </c>
      <c r="P290" s="1878">
        <f>'1.SD Facility Based Annex'!P30</f>
        <v>0</v>
      </c>
      <c r="Q290" s="124"/>
      <c r="R290" s="1880">
        <v>0</v>
      </c>
    </row>
    <row r="291" spans="1:20" s="828" customFormat="1" x14ac:dyDescent="0.2">
      <c r="A291" s="1878" t="str">
        <f>'1.SD Facility Based Annex'!A31</f>
        <v>1.1.4.2</v>
      </c>
      <c r="B291" s="1878">
        <f>'1.SD Facility Based Annex'!B31</f>
        <v>0</v>
      </c>
      <c r="C291" s="1879" t="str">
        <f>'1.SD Facility Based Annex'!C31</f>
        <v>Any other (please specify)</v>
      </c>
      <c r="D291" s="1880" t="str">
        <f>'1.SD Facility Based Annex'!D31</f>
        <v>RCH</v>
      </c>
      <c r="E291" s="1880" t="str">
        <f>'1.SD Facility Based Annex'!E31</f>
        <v>AH</v>
      </c>
      <c r="F291" s="1880">
        <f>'1.SD Facility Based Annex'!F31</f>
        <v>0</v>
      </c>
      <c r="G291" s="1880">
        <f>'1.SD Facility Based Annex'!G31</f>
        <v>0</v>
      </c>
      <c r="H291" s="1880">
        <f>'1.SD Facility Based Annex'!H31</f>
        <v>0</v>
      </c>
      <c r="I291" s="1880">
        <f>'1.SD Facility Based Annex'!I31</f>
        <v>0</v>
      </c>
      <c r="J291" s="1880">
        <f>'1.SD Facility Based Annex'!J31</f>
        <v>0</v>
      </c>
      <c r="K291" s="1880">
        <f>'1.SD Facility Based Annex'!K31</f>
        <v>0</v>
      </c>
      <c r="L291" s="939">
        <f>'1.SD Facility Based Annex'!L31</f>
        <v>0</v>
      </c>
      <c r="M291" s="1880">
        <f>'1.SD Facility Based Annex'!M31</f>
        <v>0</v>
      </c>
      <c r="N291" s="1880">
        <f>'1.SD Facility Based Annex'!N31</f>
        <v>0</v>
      </c>
      <c r="O291" s="939">
        <f>'1.SD Facility Based Annex'!O31</f>
        <v>0</v>
      </c>
      <c r="P291" s="1878">
        <f>'1.SD Facility Based Annex'!P31</f>
        <v>0</v>
      </c>
      <c r="Q291" s="124"/>
      <c r="R291" s="1880">
        <v>0</v>
      </c>
    </row>
    <row r="292" spans="1:20" s="828" customFormat="1" ht="50.25" customHeight="1" x14ac:dyDescent="0.2">
      <c r="A292" s="1878" t="str">
        <f>'1.SD Facility Based Annex'!A90</f>
        <v>1.3.1.6</v>
      </c>
      <c r="B292" s="1878" t="str">
        <f>'1.SD Facility Based Annex'!B90</f>
        <v>A.4.1.3</v>
      </c>
      <c r="C292" s="1879" t="str">
        <f>'1.SD Facility Based Annex'!C90</f>
        <v>Operating expenses for AH/ RKSK Clinics</v>
      </c>
      <c r="D292" s="1880" t="str">
        <f>'1.SD Facility Based Annex'!D90</f>
        <v>RCH</v>
      </c>
      <c r="E292" s="1880" t="str">
        <f>'1.SD Facility Based Annex'!E90</f>
        <v>AH</v>
      </c>
      <c r="F292" s="1880">
        <f>'1.SD Facility Based Annex'!F90</f>
        <v>0</v>
      </c>
      <c r="G292" s="1880">
        <f>'1.SD Facility Based Annex'!G90</f>
        <v>0</v>
      </c>
      <c r="H292" s="1880">
        <f>'1.SD Facility Based Annex'!H90</f>
        <v>0</v>
      </c>
      <c r="I292" s="1880">
        <f>'1.SD Facility Based Annex'!I90</f>
        <v>0</v>
      </c>
      <c r="J292" s="1880">
        <f>'1.SD Facility Based Annex'!J90</f>
        <v>0</v>
      </c>
      <c r="K292" s="1880">
        <f>'1.SD Facility Based Annex'!K90</f>
        <v>0</v>
      </c>
      <c r="L292" s="939">
        <f>'1.SD Facility Based Annex'!L90</f>
        <v>0</v>
      </c>
      <c r="M292" s="1880">
        <f>'1.SD Facility Based Annex'!M90</f>
        <v>0</v>
      </c>
      <c r="N292" s="1880">
        <f>'1.SD Facility Based Annex'!N90</f>
        <v>0</v>
      </c>
      <c r="O292" s="939">
        <f>'1.SD Facility Based Annex'!O90</f>
        <v>0</v>
      </c>
      <c r="P292" s="1878">
        <f>'1.SD Facility Based Annex'!P90</f>
        <v>0</v>
      </c>
      <c r="Q292" s="124"/>
      <c r="R292" s="1906"/>
      <c r="T292" s="3314"/>
    </row>
    <row r="293" spans="1:20" s="828" customFormat="1" ht="30" x14ac:dyDescent="0.2">
      <c r="A293" s="1878" t="str">
        <f>'1.SD Facility Based Annex'!A107</f>
        <v>1.3.1.19</v>
      </c>
      <c r="B293" s="1878">
        <f>'1.SD Facility Based Annex'!B107</f>
        <v>0</v>
      </c>
      <c r="C293" s="1879" t="str">
        <f>'1.SD Facility Based Annex'!C107</f>
        <v>Establishment of District level Adolescent Friendly Health Resource Centre (AFHRC)</v>
      </c>
      <c r="D293" s="1880" t="str">
        <f>'1.SD Facility Based Annex'!D107</f>
        <v>RCH</v>
      </c>
      <c r="E293" s="1880" t="str">
        <f>'1.SD Facility Based Annex'!E107</f>
        <v>AH</v>
      </c>
      <c r="F293" s="1880">
        <f>'1.SD Facility Based Annex'!F107</f>
        <v>0</v>
      </c>
      <c r="G293" s="1880">
        <f>'1.SD Facility Based Annex'!G107</f>
        <v>0</v>
      </c>
      <c r="H293" s="1880">
        <f>'1.SD Facility Based Annex'!H107</f>
        <v>0</v>
      </c>
      <c r="I293" s="1880">
        <f>'1.SD Facility Based Annex'!I107</f>
        <v>0</v>
      </c>
      <c r="J293" s="1880">
        <f>'1.SD Facility Based Annex'!J107</f>
        <v>0</v>
      </c>
      <c r="K293" s="1880">
        <f>'1.SD Facility Based Annex'!K107</f>
        <v>0</v>
      </c>
      <c r="L293" s="939">
        <f>'1.SD Facility Based Annex'!L107</f>
        <v>0</v>
      </c>
      <c r="M293" s="1880">
        <f>'1.SD Facility Based Annex'!M107</f>
        <v>0</v>
      </c>
      <c r="N293" s="1880">
        <f>'1.SD Facility Based Annex'!N107</f>
        <v>0</v>
      </c>
      <c r="O293" s="939">
        <f>'1.SD Facility Based Annex'!O107</f>
        <v>0</v>
      </c>
      <c r="P293" s="1878">
        <f>'1.SD Facility Based Annex'!P107</f>
        <v>0</v>
      </c>
      <c r="Q293" s="124"/>
      <c r="R293" s="1880">
        <v>0</v>
      </c>
    </row>
    <row r="294" spans="1:20" s="828" customFormat="1" x14ac:dyDescent="0.2">
      <c r="A294" s="1875">
        <f>'2.SD Community Based Annex'!A7</f>
        <v>2</v>
      </c>
      <c r="B294" s="1875">
        <f>'2.SD Community Based Annex'!B7</f>
        <v>0</v>
      </c>
      <c r="C294" s="1876" t="str">
        <f>'2.SD Community Based Annex'!C7</f>
        <v>Service Delivery - Community Based</v>
      </c>
      <c r="D294" s="1877"/>
      <c r="E294" s="1877"/>
      <c r="F294" s="1877"/>
      <c r="G294" s="1877"/>
      <c r="H294" s="1877"/>
      <c r="I294" s="1877"/>
      <c r="J294" s="1877"/>
      <c r="K294" s="1877"/>
      <c r="L294" s="969"/>
      <c r="M294" s="1877"/>
      <c r="N294" s="1877"/>
      <c r="O294" s="969">
        <f>SUM(O295:O297)</f>
        <v>0</v>
      </c>
      <c r="P294" s="1875"/>
      <c r="Q294" s="678"/>
      <c r="R294" s="132">
        <f>SUM(R295:R297)</f>
        <v>0</v>
      </c>
      <c r="T294" s="3314"/>
    </row>
    <row r="295" spans="1:20" s="828" customFormat="1" ht="30" x14ac:dyDescent="0.2">
      <c r="A295" s="1878" t="str">
        <f>'2.SD Community Based Annex'!A21</f>
        <v>2.2.2</v>
      </c>
      <c r="B295" s="1878" t="str">
        <f>'2.SD Community Based Annex'!B21</f>
        <v>A.4.1.4</v>
      </c>
      <c r="C295" s="1879" t="str">
        <f>'2.SD Community Based Annex'!C21</f>
        <v>Mobility &amp; Communication support for AH counsellors</v>
      </c>
      <c r="D295" s="1880" t="str">
        <f>'2.SD Community Based Annex'!D21</f>
        <v>RCH</v>
      </c>
      <c r="E295" s="1880" t="str">
        <f>'2.SD Community Based Annex'!E21</f>
        <v>AH</v>
      </c>
      <c r="F295" s="1880">
        <f>'2.SD Community Based Annex'!F21</f>
        <v>0</v>
      </c>
      <c r="G295" s="1880">
        <f>'2.SD Community Based Annex'!G21</f>
        <v>0</v>
      </c>
      <c r="H295" s="1880">
        <f>'2.SD Community Based Annex'!H21</f>
        <v>0</v>
      </c>
      <c r="I295" s="1880">
        <f>'2.SD Community Based Annex'!I21</f>
        <v>0</v>
      </c>
      <c r="J295" s="1880">
        <f>'2.SD Community Based Annex'!J21</f>
        <v>0</v>
      </c>
      <c r="K295" s="1880">
        <f>'2.SD Community Based Annex'!K21</f>
        <v>0</v>
      </c>
      <c r="L295" s="939">
        <f>'2.SD Community Based Annex'!L21</f>
        <v>0</v>
      </c>
      <c r="M295" s="1880">
        <f>'2.SD Community Based Annex'!M21</f>
        <v>0</v>
      </c>
      <c r="N295" s="1880">
        <f>'2.SD Community Based Annex'!N21</f>
        <v>0</v>
      </c>
      <c r="O295" s="939">
        <f>'2.SD Community Based Annex'!O21</f>
        <v>0</v>
      </c>
      <c r="P295" s="1878">
        <f>'2.SD Community Based Annex'!P21</f>
        <v>0</v>
      </c>
      <c r="Q295" s="124"/>
      <c r="R295" s="1907"/>
      <c r="T295" s="3314"/>
    </row>
    <row r="296" spans="1:20" s="828" customFormat="1" x14ac:dyDescent="0.2">
      <c r="A296" s="1878" t="str">
        <f>'2.SD Community Based Annex'!A39</f>
        <v>2.3.1.5</v>
      </c>
      <c r="B296" s="1878" t="str">
        <f>'2.SD Community Based Annex'!B39</f>
        <v>A.4.2.2</v>
      </c>
      <c r="C296" s="1879" t="str">
        <f>'2.SD Community Based Annex'!C39</f>
        <v>Organizing Adolescent Health day</v>
      </c>
      <c r="D296" s="1880" t="str">
        <f>'2.SD Community Based Annex'!D39</f>
        <v>RCH</v>
      </c>
      <c r="E296" s="1880" t="str">
        <f>'2.SD Community Based Annex'!E39</f>
        <v>AH</v>
      </c>
      <c r="F296" s="1880">
        <f>'2.SD Community Based Annex'!F39</f>
        <v>0</v>
      </c>
      <c r="G296" s="1880">
        <f>'2.SD Community Based Annex'!G39</f>
        <v>0</v>
      </c>
      <c r="H296" s="1880">
        <f>'2.SD Community Based Annex'!H39</f>
        <v>0</v>
      </c>
      <c r="I296" s="1880">
        <f>'2.SD Community Based Annex'!I39</f>
        <v>0</v>
      </c>
      <c r="J296" s="1880">
        <f>'2.SD Community Based Annex'!J39</f>
        <v>0</v>
      </c>
      <c r="K296" s="1880">
        <f>'2.SD Community Based Annex'!K39</f>
        <v>0</v>
      </c>
      <c r="L296" s="939">
        <f>'2.SD Community Based Annex'!L39</f>
        <v>0</v>
      </c>
      <c r="M296" s="1880">
        <f>'2.SD Community Based Annex'!M39</f>
        <v>0</v>
      </c>
      <c r="N296" s="1880">
        <f>'2.SD Community Based Annex'!N39</f>
        <v>0</v>
      </c>
      <c r="O296" s="939">
        <f>'2.SD Community Based Annex'!O39</f>
        <v>0</v>
      </c>
      <c r="P296" s="1878">
        <f>'2.SD Community Based Annex'!P39</f>
        <v>0</v>
      </c>
      <c r="Q296" s="124"/>
      <c r="R296" s="1907"/>
      <c r="T296" s="3314"/>
    </row>
    <row r="297" spans="1:20" s="828" customFormat="1" ht="30" x14ac:dyDescent="0.2">
      <c r="A297" s="1878" t="str">
        <f>'2.SD Community Based Annex'!A40</f>
        <v>2.3.1.6</v>
      </c>
      <c r="B297" s="1878" t="str">
        <f>'2.SD Community Based Annex'!B40</f>
        <v>A.4.2.3</v>
      </c>
      <c r="C297" s="1879" t="str">
        <f>'2.SD Community Based Annex'!C40</f>
        <v xml:space="preserve">Organising Adolescent Friendly Club  meetings at subcentre level </v>
      </c>
      <c r="D297" s="1880" t="str">
        <f>'2.SD Community Based Annex'!D40</f>
        <v>RCH</v>
      </c>
      <c r="E297" s="1880" t="str">
        <f>'2.SD Community Based Annex'!E40</f>
        <v>AH</v>
      </c>
      <c r="F297" s="1880">
        <f>'2.SD Community Based Annex'!F40</f>
        <v>0</v>
      </c>
      <c r="G297" s="1880">
        <f>'2.SD Community Based Annex'!G40</f>
        <v>0</v>
      </c>
      <c r="H297" s="1880">
        <f>'2.SD Community Based Annex'!H40</f>
        <v>0</v>
      </c>
      <c r="I297" s="1880">
        <f>'2.SD Community Based Annex'!I40</f>
        <v>0</v>
      </c>
      <c r="J297" s="1880">
        <f>'2.SD Community Based Annex'!J40</f>
        <v>0</v>
      </c>
      <c r="K297" s="1880">
        <f>'2.SD Community Based Annex'!K40</f>
        <v>0</v>
      </c>
      <c r="L297" s="939">
        <f>'2.SD Community Based Annex'!L40</f>
        <v>0</v>
      </c>
      <c r="M297" s="1880">
        <f>'2.SD Community Based Annex'!M40</f>
        <v>0</v>
      </c>
      <c r="N297" s="1880">
        <f>'2.SD Community Based Annex'!N40</f>
        <v>0</v>
      </c>
      <c r="O297" s="939">
        <f>'2.SD Community Based Annex'!O40</f>
        <v>0</v>
      </c>
      <c r="P297" s="1878">
        <f>'2.SD Community Based Annex'!P40</f>
        <v>0</v>
      </c>
      <c r="Q297" s="124"/>
      <c r="R297" s="1907"/>
      <c r="T297" s="3314"/>
    </row>
    <row r="298" spans="1:20" s="828" customFormat="1" x14ac:dyDescent="0.2">
      <c r="A298" s="1875">
        <f>'3.Community Intervention Annexn'!A7</f>
        <v>3</v>
      </c>
      <c r="B298" s="1875"/>
      <c r="C298" s="1876" t="str">
        <f>'3.Community Intervention Annexn'!C7</f>
        <v>Community Interventions</v>
      </c>
      <c r="D298" s="1877"/>
      <c r="E298" s="1877"/>
      <c r="F298" s="1877"/>
      <c r="G298" s="1877"/>
      <c r="H298" s="969"/>
      <c r="I298" s="1877"/>
      <c r="J298" s="969"/>
      <c r="K298" s="1877"/>
      <c r="L298" s="969"/>
      <c r="M298" s="969"/>
      <c r="N298" s="1886"/>
      <c r="O298" s="1887">
        <f>SUM(O299:O301)</f>
        <v>0</v>
      </c>
      <c r="P298" s="1888"/>
      <c r="Q298" s="1908"/>
      <c r="R298" s="1909">
        <f>SUM(R299:R301)</f>
        <v>0</v>
      </c>
      <c r="T298" s="3314"/>
    </row>
    <row r="299" spans="1:20" s="828" customFormat="1" x14ac:dyDescent="0.2">
      <c r="A299" s="4047" t="str">
        <f>'3.Community Intervention Annexn'!A15</f>
        <v>3.1.1.1.5</v>
      </c>
      <c r="B299" s="1878" t="str">
        <f>'3-A. CI Sub-Annex'!C34</f>
        <v>B.1.1.3.4.1</v>
      </c>
      <c r="C299" s="1879" t="str">
        <f>'3-A. CI Sub-Annex'!D34</f>
        <v>Incentive for support to Peer Educator</v>
      </c>
      <c r="D299" s="1880" t="str">
        <f>'3-A. CI Sub-Annex'!E34</f>
        <v>HSS</v>
      </c>
      <c r="E299" s="1880" t="str">
        <f>'3-A. CI Sub-Annex'!F34</f>
        <v>AH/NHSRC-CP</v>
      </c>
      <c r="F299" s="1880">
        <f>'3-A. CI Sub-Annex'!G34</f>
        <v>0</v>
      </c>
      <c r="G299" s="1880">
        <f>'3-A. CI Sub-Annex'!H34</f>
        <v>0</v>
      </c>
      <c r="H299" s="1880">
        <f>'3-A. CI Sub-Annex'!I34</f>
        <v>0</v>
      </c>
      <c r="I299" s="1880">
        <f>'3-A. CI Sub-Annex'!J34</f>
        <v>0</v>
      </c>
      <c r="J299" s="1880">
        <f>'3-A. CI Sub-Annex'!K34</f>
        <v>0</v>
      </c>
      <c r="K299" s="1880">
        <f>'3-A. CI Sub-Annex'!L34</f>
        <v>0</v>
      </c>
      <c r="L299" s="939">
        <f>'3-A. CI Sub-Annex'!M34</f>
        <v>0</v>
      </c>
      <c r="M299" s="1880">
        <f>'3-A. CI Sub-Annex'!N34</f>
        <v>0</v>
      </c>
      <c r="N299" s="1880">
        <f>'3-A. CI Sub-Annex'!O34</f>
        <v>0</v>
      </c>
      <c r="O299" s="939">
        <f>'3-A. CI Sub-Annex'!P34</f>
        <v>0</v>
      </c>
      <c r="P299" s="1878">
        <f>'3-A. CI Sub-Annex'!Q34</f>
        <v>0</v>
      </c>
      <c r="Q299" s="124"/>
      <c r="R299" s="1880">
        <v>0</v>
      </c>
    </row>
    <row r="300" spans="1:20" s="828" customFormat="1" ht="30" x14ac:dyDescent="0.2">
      <c r="A300" s="4047"/>
      <c r="B300" s="1878" t="str">
        <f>'3-A. CI Sub-Annex'!C35</f>
        <v>B.1.1.3.4.2</v>
      </c>
      <c r="C300" s="1879" t="str">
        <f>'3-A. CI Sub-Annex'!D35</f>
        <v>Incentive for mobilizing adolescents  and community for AHD</v>
      </c>
      <c r="D300" s="1880" t="str">
        <f>'3-A. CI Sub-Annex'!E35</f>
        <v>HSS</v>
      </c>
      <c r="E300" s="1880" t="str">
        <f>'3-A. CI Sub-Annex'!F35</f>
        <v>AH/NHSRC-CP</v>
      </c>
      <c r="F300" s="1880">
        <f>'3-A. CI Sub-Annex'!G35</f>
        <v>0</v>
      </c>
      <c r="G300" s="1880">
        <f>'3-A. CI Sub-Annex'!H35</f>
        <v>0</v>
      </c>
      <c r="H300" s="1880">
        <f>'3-A. CI Sub-Annex'!I35</f>
        <v>0</v>
      </c>
      <c r="I300" s="1880">
        <f>'3-A. CI Sub-Annex'!J35</f>
        <v>0</v>
      </c>
      <c r="J300" s="1880">
        <f>'3-A. CI Sub-Annex'!K35</f>
        <v>0</v>
      </c>
      <c r="K300" s="1880">
        <f>'3-A. CI Sub-Annex'!L35</f>
        <v>0</v>
      </c>
      <c r="L300" s="939">
        <f>'3-A. CI Sub-Annex'!M35</f>
        <v>0</v>
      </c>
      <c r="M300" s="1880">
        <f>'3-A. CI Sub-Annex'!N35</f>
        <v>0</v>
      </c>
      <c r="N300" s="1880">
        <f>'3-A. CI Sub-Annex'!O35</f>
        <v>0</v>
      </c>
      <c r="O300" s="939">
        <f>'3-A. CI Sub-Annex'!P35</f>
        <v>0</v>
      </c>
      <c r="P300" s="1878">
        <f>'3-A. CI Sub-Annex'!Q35</f>
        <v>0</v>
      </c>
      <c r="Q300" s="124"/>
      <c r="R300" s="1906"/>
      <c r="T300" s="3314"/>
    </row>
    <row r="301" spans="1:20" s="828" customFormat="1" ht="53.25" customHeight="1" x14ac:dyDescent="0.2">
      <c r="A301" s="1878" t="str">
        <f>'3.Community Intervention Annexn'!A36</f>
        <v>3.2.1.2</v>
      </c>
      <c r="B301" s="1878" t="str">
        <f>'3-A. CI Sub-Annex'!C91</f>
        <v>A.4.2.1</v>
      </c>
      <c r="C301" s="1879" t="str">
        <f>'3-A. CI Sub-Annex'!D91</f>
        <v>Incentives for Peer Educators</v>
      </c>
      <c r="D301" s="1880" t="str">
        <f>'3-A. CI Sub-Annex'!E91</f>
        <v>RCH</v>
      </c>
      <c r="E301" s="1880" t="str">
        <f>'3-A. CI Sub-Annex'!F91</f>
        <v>AH</v>
      </c>
      <c r="F301" s="1880">
        <f>'3-A. CI Sub-Annex'!G91</f>
        <v>0</v>
      </c>
      <c r="G301" s="1880">
        <f>'3-A. CI Sub-Annex'!H91</f>
        <v>0</v>
      </c>
      <c r="H301" s="1880">
        <f>'3-A. CI Sub-Annex'!I91</f>
        <v>0</v>
      </c>
      <c r="I301" s="1880">
        <f>'3-A. CI Sub-Annex'!J91</f>
        <v>0</v>
      </c>
      <c r="J301" s="1880">
        <f>'3-A. CI Sub-Annex'!K91</f>
        <v>0</v>
      </c>
      <c r="K301" s="1880">
        <f>'3-A. CI Sub-Annex'!L91</f>
        <v>0</v>
      </c>
      <c r="L301" s="939">
        <f>'3-A. CI Sub-Annex'!M91</f>
        <v>0</v>
      </c>
      <c r="M301" s="1880">
        <f>'3-A. CI Sub-Annex'!N91</f>
        <v>0</v>
      </c>
      <c r="N301" s="1880">
        <f>'3-A. CI Sub-Annex'!O91</f>
        <v>0</v>
      </c>
      <c r="O301" s="939">
        <f>'3-A. CI Sub-Annex'!P91</f>
        <v>0</v>
      </c>
      <c r="P301" s="1878">
        <f>'3-A. CI Sub-Annex'!Q91</f>
        <v>0</v>
      </c>
      <c r="Q301" s="124"/>
      <c r="R301" s="1906"/>
      <c r="T301" s="3314"/>
    </row>
    <row r="302" spans="1:20" s="828" customFormat="1" x14ac:dyDescent="0.2">
      <c r="A302" s="1875">
        <f>'5.Infrastructure Annex'!A7</f>
        <v>5</v>
      </c>
      <c r="B302" s="1875"/>
      <c r="C302" s="1876" t="str">
        <f>'5.Infrastructure Annex'!C7</f>
        <v>Infrastructure</v>
      </c>
      <c r="D302" s="1877"/>
      <c r="E302" s="1877"/>
      <c r="F302" s="1877"/>
      <c r="G302" s="1877"/>
      <c r="H302" s="969"/>
      <c r="I302" s="1877"/>
      <c r="J302" s="969"/>
      <c r="K302" s="1877"/>
      <c r="L302" s="969"/>
      <c r="M302" s="969"/>
      <c r="N302" s="1886"/>
      <c r="O302" s="1887">
        <f>O303</f>
        <v>0</v>
      </c>
      <c r="P302" s="1888"/>
      <c r="Q302" s="1908"/>
      <c r="R302" s="1909">
        <f>R303</f>
        <v>0</v>
      </c>
      <c r="T302" s="3314"/>
    </row>
    <row r="303" spans="1:20" s="828" customFormat="1" x14ac:dyDescent="0.2">
      <c r="A303" s="1878" t="str">
        <f>'5.Infrastructure Annex'!A65</f>
        <v>5.2.1.9</v>
      </c>
      <c r="B303" s="1878" t="str">
        <f>'5.Infrastructure Annex'!B65</f>
        <v>A.4.1.2</v>
      </c>
      <c r="C303" s="1879" t="str">
        <f>'5.Infrastructure Annex'!C65</f>
        <v xml:space="preserve">AFHCs at Medical college/ DH/CHC/PHC level  </v>
      </c>
      <c r="D303" s="1880" t="str">
        <f>'5.Infrastructure Annex'!D65</f>
        <v>RCH</v>
      </c>
      <c r="E303" s="1880" t="str">
        <f>'5.Infrastructure Annex'!E65</f>
        <v>AH</v>
      </c>
      <c r="F303" s="1880">
        <f>'5.Infrastructure Annex'!F65</f>
        <v>0</v>
      </c>
      <c r="G303" s="1880">
        <f>'5.Infrastructure Annex'!G65</f>
        <v>0</v>
      </c>
      <c r="H303" s="1880">
        <f>'5.Infrastructure Annex'!H65</f>
        <v>0</v>
      </c>
      <c r="I303" s="1880">
        <f>'5.Infrastructure Annex'!I65</f>
        <v>0</v>
      </c>
      <c r="J303" s="1880">
        <f>'5.Infrastructure Annex'!J65</f>
        <v>0</v>
      </c>
      <c r="K303" s="1880">
        <f>'5.Infrastructure Annex'!K65</f>
        <v>0</v>
      </c>
      <c r="L303" s="939">
        <f>'5.Infrastructure Annex'!L65</f>
        <v>0</v>
      </c>
      <c r="M303" s="1880">
        <f>'5.Infrastructure Annex'!M65</f>
        <v>0</v>
      </c>
      <c r="N303" s="1880">
        <f>'5.Infrastructure Annex'!N65</f>
        <v>0</v>
      </c>
      <c r="O303" s="939">
        <f>'5.Infrastructure Annex'!O65</f>
        <v>0</v>
      </c>
      <c r="P303" s="1878">
        <f>'5.Infrastructure Annex'!P65</f>
        <v>0</v>
      </c>
      <c r="Q303" s="124"/>
      <c r="R303" s="1880">
        <v>0</v>
      </c>
    </row>
    <row r="304" spans="1:20" s="828" customFormat="1" x14ac:dyDescent="0.2">
      <c r="A304" s="1875">
        <f>'6.Procurement Annex'!A7</f>
        <v>6</v>
      </c>
      <c r="B304" s="1875"/>
      <c r="C304" s="1876" t="str">
        <f>'6.Procurement Annex'!C7</f>
        <v>Procurement</v>
      </c>
      <c r="D304" s="1877"/>
      <c r="E304" s="1877"/>
      <c r="F304" s="1877"/>
      <c r="G304" s="1877"/>
      <c r="H304" s="969"/>
      <c r="I304" s="1877"/>
      <c r="J304" s="969"/>
      <c r="K304" s="1877"/>
      <c r="L304" s="969"/>
      <c r="M304" s="969"/>
      <c r="N304" s="1886"/>
      <c r="O304" s="1887">
        <f>SUM(O305:O310)</f>
        <v>0</v>
      </c>
      <c r="P304" s="1888"/>
      <c r="Q304" s="1908"/>
      <c r="R304" s="1909">
        <f>SUM(R305:R310)</f>
        <v>0</v>
      </c>
      <c r="T304" s="3314"/>
    </row>
    <row r="305" spans="1:20" s="828" customFormat="1" x14ac:dyDescent="0.2">
      <c r="A305" s="4047" t="str">
        <f>'6.Procurement Annex'!A13</f>
        <v>6.1.1.4</v>
      </c>
      <c r="B305" s="1878" t="str">
        <f>'6-A. Proc. Sub-Annex'!C27</f>
        <v>B16.1.6.1</v>
      </c>
      <c r="C305" s="1879" t="str">
        <f>'6-A. Proc. Sub-Annex'!D27</f>
        <v>Equipment for AFHCs</v>
      </c>
      <c r="D305" s="1880" t="str">
        <f>'6-A. Proc. Sub-Annex'!E27</f>
        <v>RCH</v>
      </c>
      <c r="E305" s="1880" t="str">
        <f>'6-A. Proc. Sub-Annex'!F27</f>
        <v>AH</v>
      </c>
      <c r="F305" s="1880">
        <f>'6-A. Proc. Sub-Annex'!G27</f>
        <v>0</v>
      </c>
      <c r="G305" s="1880">
        <f>'6-A. Proc. Sub-Annex'!H27</f>
        <v>0</v>
      </c>
      <c r="H305" s="1880">
        <f>'6-A. Proc. Sub-Annex'!I27</f>
        <v>0</v>
      </c>
      <c r="I305" s="1880">
        <f>'6-A. Proc. Sub-Annex'!J27</f>
        <v>0</v>
      </c>
      <c r="J305" s="1880">
        <f>'6-A. Proc. Sub-Annex'!K27</f>
        <v>0</v>
      </c>
      <c r="K305" s="1880">
        <f>'6-A. Proc. Sub-Annex'!L27</f>
        <v>0</v>
      </c>
      <c r="L305" s="939">
        <f>'6-A. Proc. Sub-Annex'!M27</f>
        <v>0</v>
      </c>
      <c r="M305" s="1880">
        <f>'6-A. Proc. Sub-Annex'!N27</f>
        <v>0</v>
      </c>
      <c r="N305" s="1880">
        <f>'6-A. Proc. Sub-Annex'!O27</f>
        <v>0</v>
      </c>
      <c r="O305" s="939">
        <f>'6-A. Proc. Sub-Annex'!P27</f>
        <v>0</v>
      </c>
      <c r="P305" s="1878">
        <f>'6-A. Proc. Sub-Annex'!Q27</f>
        <v>0</v>
      </c>
      <c r="Q305" s="124"/>
      <c r="R305" s="1880">
        <v>0</v>
      </c>
    </row>
    <row r="306" spans="1:20" s="828" customFormat="1" x14ac:dyDescent="0.2">
      <c r="A306" s="4047"/>
      <c r="B306" s="1878" t="str">
        <f>'6-A. Proc. Sub-Annex'!C28</f>
        <v>B16.1.6.2</v>
      </c>
      <c r="C306" s="1879" t="str">
        <f>'6-A. Proc. Sub-Annex'!D28</f>
        <v>Any other equipment (please specify)</v>
      </c>
      <c r="D306" s="1880" t="str">
        <f>'6-A. Proc. Sub-Annex'!E28</f>
        <v>RCH</v>
      </c>
      <c r="E306" s="1880" t="str">
        <f>'6-A. Proc. Sub-Annex'!F28</f>
        <v>AH</v>
      </c>
      <c r="F306" s="1880">
        <f>'6-A. Proc. Sub-Annex'!G28</f>
        <v>0</v>
      </c>
      <c r="G306" s="1880">
        <f>'6-A. Proc. Sub-Annex'!H28</f>
        <v>0</v>
      </c>
      <c r="H306" s="1880">
        <f>'6-A. Proc. Sub-Annex'!I28</f>
        <v>0</v>
      </c>
      <c r="I306" s="1880">
        <f>'6-A. Proc. Sub-Annex'!J28</f>
        <v>0</v>
      </c>
      <c r="J306" s="1880">
        <f>'6-A. Proc. Sub-Annex'!K28</f>
        <v>0</v>
      </c>
      <c r="K306" s="1880">
        <f>'6-A. Proc. Sub-Annex'!L28</f>
        <v>0</v>
      </c>
      <c r="L306" s="939">
        <f>'6-A. Proc. Sub-Annex'!M28</f>
        <v>0</v>
      </c>
      <c r="M306" s="1880">
        <f>'6-A. Proc. Sub-Annex'!N28</f>
        <v>0</v>
      </c>
      <c r="N306" s="1880">
        <f>'6-A. Proc. Sub-Annex'!O28</f>
        <v>0</v>
      </c>
      <c r="O306" s="939">
        <f>'6-A. Proc. Sub-Annex'!P28</f>
        <v>0</v>
      </c>
      <c r="P306" s="1878">
        <f>'6-A. Proc. Sub-Annex'!Q28</f>
        <v>0</v>
      </c>
      <c r="Q306" s="124"/>
      <c r="R306" s="1880">
        <v>0</v>
      </c>
    </row>
    <row r="307" spans="1:20" s="828" customFormat="1" x14ac:dyDescent="0.2">
      <c r="A307" s="4047" t="str">
        <f>'6.Procurement Annex'!A59</f>
        <v>6.2.1.4</v>
      </c>
      <c r="B307" s="1878" t="str">
        <f>'6-A. Proc. Sub-Annex'!C177</f>
        <v>B.16.2.6.3.a</v>
      </c>
      <c r="C307" s="1879" t="str">
        <f>'6-A. Proc. Sub-Annex'!D177</f>
        <v>IFA tablets under WIFS (10-19 yrs.)</v>
      </c>
      <c r="D307" s="1880" t="str">
        <f>'6-A. Proc. Sub-Annex'!E177</f>
        <v>RCH</v>
      </c>
      <c r="E307" s="1880" t="str">
        <f>'6-A. Proc. Sub-Annex'!F177</f>
        <v>AH</v>
      </c>
      <c r="F307" s="1880">
        <f>'6-A. Proc. Sub-Annex'!G177</f>
        <v>0</v>
      </c>
      <c r="G307" s="1880">
        <f>'6-A. Proc. Sub-Annex'!H177</f>
        <v>0</v>
      </c>
      <c r="H307" s="1880">
        <f>'6-A. Proc. Sub-Annex'!I177</f>
        <v>0</v>
      </c>
      <c r="I307" s="1880">
        <f>'6-A. Proc. Sub-Annex'!J177</f>
        <v>0</v>
      </c>
      <c r="J307" s="1880">
        <f>'6-A. Proc. Sub-Annex'!K177</f>
        <v>0</v>
      </c>
      <c r="K307" s="1880">
        <f>'6-A. Proc. Sub-Annex'!L177</f>
        <v>0</v>
      </c>
      <c r="L307" s="939">
        <f>'6-A. Proc. Sub-Annex'!M177</f>
        <v>0</v>
      </c>
      <c r="M307" s="1880">
        <f>'6-A. Proc. Sub-Annex'!N177</f>
        <v>0</v>
      </c>
      <c r="N307" s="1880">
        <f>'6-A. Proc. Sub-Annex'!O177</f>
        <v>0</v>
      </c>
      <c r="O307" s="939">
        <f>'6-A. Proc. Sub-Annex'!P177</f>
        <v>0</v>
      </c>
      <c r="P307" s="1878">
        <f>'6-A. Proc. Sub-Annex'!Q177</f>
        <v>0</v>
      </c>
      <c r="Q307" s="124"/>
      <c r="R307" s="1906"/>
      <c r="T307" s="3314"/>
    </row>
    <row r="308" spans="1:20" s="828" customFormat="1" ht="66" customHeight="1" x14ac:dyDescent="0.2">
      <c r="A308" s="4047"/>
      <c r="B308" s="1878" t="str">
        <f>'6-A. Proc. Sub-Annex'!C178</f>
        <v>B.16.2.6.3.b</v>
      </c>
      <c r="C308" s="1879" t="str">
        <f>'6-A. Proc. Sub-Annex'!D178</f>
        <v>Albendazole Tablets under WIFS (10-19 yrs.)</v>
      </c>
      <c r="D308" s="1880" t="str">
        <f>'6-A. Proc. Sub-Annex'!E178</f>
        <v>RCH</v>
      </c>
      <c r="E308" s="1880" t="str">
        <f>'6-A. Proc. Sub-Annex'!F178</f>
        <v>AH</v>
      </c>
      <c r="F308" s="1880">
        <f>'6-A. Proc. Sub-Annex'!G178</f>
        <v>0</v>
      </c>
      <c r="G308" s="1880">
        <f>'6-A. Proc. Sub-Annex'!H178</f>
        <v>0</v>
      </c>
      <c r="H308" s="1880">
        <f>'6-A. Proc. Sub-Annex'!I178</f>
        <v>0</v>
      </c>
      <c r="I308" s="1880">
        <f>'6-A. Proc. Sub-Annex'!J178</f>
        <v>0</v>
      </c>
      <c r="J308" s="1880">
        <f>'6-A. Proc. Sub-Annex'!K178</f>
        <v>0</v>
      </c>
      <c r="K308" s="1880">
        <f>'6-A. Proc. Sub-Annex'!L178</f>
        <v>0</v>
      </c>
      <c r="L308" s="939">
        <f>'6-A. Proc. Sub-Annex'!M178</f>
        <v>0</v>
      </c>
      <c r="M308" s="1880">
        <f>'6-A. Proc. Sub-Annex'!N178</f>
        <v>0</v>
      </c>
      <c r="N308" s="1880">
        <f>'6-A. Proc. Sub-Annex'!O178</f>
        <v>0</v>
      </c>
      <c r="O308" s="939">
        <f>'6-A. Proc. Sub-Annex'!P178</f>
        <v>0</v>
      </c>
      <c r="P308" s="1878">
        <f>'6-A. Proc. Sub-Annex'!Q178</f>
        <v>0</v>
      </c>
      <c r="Q308" s="2804"/>
      <c r="R308" s="3300"/>
      <c r="T308" s="3315"/>
    </row>
    <row r="309" spans="1:20" s="828" customFormat="1" x14ac:dyDescent="0.2">
      <c r="A309" s="4047"/>
      <c r="B309" s="1878" t="str">
        <f>'6-A. Proc. Sub-Annex'!C179</f>
        <v>B.16.2.9.1</v>
      </c>
      <c r="C309" s="1879" t="str">
        <f>'6-A. Proc. Sub-Annex'!D179</f>
        <v>Sanitary napkins procurement</v>
      </c>
      <c r="D309" s="1880" t="str">
        <f>'6-A. Proc. Sub-Annex'!E179</f>
        <v>RCH</v>
      </c>
      <c r="E309" s="1880" t="str">
        <f>'6-A. Proc. Sub-Annex'!F179</f>
        <v>AH</v>
      </c>
      <c r="F309" s="1880">
        <f>'6-A. Proc. Sub-Annex'!G179</f>
        <v>0</v>
      </c>
      <c r="G309" s="1880">
        <f>'6-A. Proc. Sub-Annex'!H179</f>
        <v>0</v>
      </c>
      <c r="H309" s="1880">
        <f>'6-A. Proc. Sub-Annex'!I179</f>
        <v>0</v>
      </c>
      <c r="I309" s="1880">
        <f>'6-A. Proc. Sub-Annex'!J179</f>
        <v>0</v>
      </c>
      <c r="J309" s="1880">
        <f>'6-A. Proc. Sub-Annex'!K179</f>
        <v>0</v>
      </c>
      <c r="K309" s="1880">
        <f>'6-A. Proc. Sub-Annex'!L179</f>
        <v>0</v>
      </c>
      <c r="L309" s="939">
        <f>'6-A. Proc. Sub-Annex'!M179</f>
        <v>0</v>
      </c>
      <c r="M309" s="1880">
        <f>'6-A. Proc. Sub-Annex'!N179</f>
        <v>0</v>
      </c>
      <c r="N309" s="1880">
        <f>'6-A. Proc. Sub-Annex'!O179</f>
        <v>0</v>
      </c>
      <c r="O309" s="939">
        <f>'6-A. Proc. Sub-Annex'!P179</f>
        <v>0</v>
      </c>
      <c r="P309" s="1878">
        <f>'6-A. Proc. Sub-Annex'!Q179</f>
        <v>0</v>
      </c>
      <c r="Q309" s="124"/>
      <c r="R309" s="1880">
        <v>0</v>
      </c>
    </row>
    <row r="310" spans="1:20" s="828" customFormat="1" x14ac:dyDescent="0.2">
      <c r="A310" s="4047"/>
      <c r="B310" s="1878">
        <f>'6-A. Proc. Sub-Annex'!C180</f>
        <v>0</v>
      </c>
      <c r="C310" s="1879" t="str">
        <f>'6-A. Proc. Sub-Annex'!D180</f>
        <v>Any other Drugs &amp; Supplies (Please specify)</v>
      </c>
      <c r="D310" s="1880" t="str">
        <f>'6-A. Proc. Sub-Annex'!E180</f>
        <v>RCH</v>
      </c>
      <c r="E310" s="1880" t="str">
        <f>'6-A. Proc. Sub-Annex'!F180</f>
        <v>AH</v>
      </c>
      <c r="F310" s="1880">
        <f>'6-A. Proc. Sub-Annex'!G180</f>
        <v>0</v>
      </c>
      <c r="G310" s="1880">
        <f>'6-A. Proc. Sub-Annex'!H180</f>
        <v>0</v>
      </c>
      <c r="H310" s="1880">
        <f>'6-A. Proc. Sub-Annex'!I180</f>
        <v>0</v>
      </c>
      <c r="I310" s="1880">
        <f>'6-A. Proc. Sub-Annex'!J180</f>
        <v>0</v>
      </c>
      <c r="J310" s="1880">
        <f>'6-A. Proc. Sub-Annex'!K180</f>
        <v>0</v>
      </c>
      <c r="K310" s="1880">
        <f>'6-A. Proc. Sub-Annex'!L180</f>
        <v>0</v>
      </c>
      <c r="L310" s="939">
        <f>'6-A. Proc. Sub-Annex'!M180</f>
        <v>0</v>
      </c>
      <c r="M310" s="1880">
        <f>'6-A. Proc. Sub-Annex'!N180</f>
        <v>0</v>
      </c>
      <c r="N310" s="1880">
        <f>'6-A. Proc. Sub-Annex'!O180</f>
        <v>0</v>
      </c>
      <c r="O310" s="939">
        <f>'6-A. Proc. Sub-Annex'!P180</f>
        <v>0</v>
      </c>
      <c r="P310" s="1878">
        <f>'6-A. Proc. Sub-Annex'!Q180</f>
        <v>0</v>
      </c>
      <c r="Q310" s="124"/>
      <c r="R310" s="1880">
        <v>0</v>
      </c>
    </row>
    <row r="311" spans="1:20" s="828" customFormat="1" x14ac:dyDescent="0.2">
      <c r="A311" s="1875">
        <f>'8.Human Resources (SD) Annex'!A7</f>
        <v>8</v>
      </c>
      <c r="B311" s="1875"/>
      <c r="C311" s="1876" t="str">
        <f>'8.Human Resources (SD) Annex'!C7</f>
        <v>Human Resources</v>
      </c>
      <c r="D311" s="1877"/>
      <c r="E311" s="1877"/>
      <c r="F311" s="1877"/>
      <c r="G311" s="1877"/>
      <c r="H311" s="1877"/>
      <c r="I311" s="1877"/>
      <c r="J311" s="1877"/>
      <c r="K311" s="1877"/>
      <c r="L311" s="969"/>
      <c r="M311" s="1877"/>
      <c r="N311" s="1877"/>
      <c r="O311" s="969">
        <f>O312</f>
        <v>0</v>
      </c>
      <c r="P311" s="1875"/>
      <c r="Q311" s="678"/>
      <c r="R311" s="132">
        <f>R312</f>
        <v>0</v>
      </c>
      <c r="T311" s="3314"/>
    </row>
    <row r="312" spans="1:20" s="828" customFormat="1" ht="30" x14ac:dyDescent="0.2">
      <c r="A312" s="1878" t="str">
        <f>'8.Human Resources (SD) Annex'!A167</f>
        <v>8.4.4</v>
      </c>
      <c r="B312" s="1878" t="str">
        <f>'8.Human Resources (SD) Annex'!B167</f>
        <v>B.30.17.1</v>
      </c>
      <c r="C312" s="1879" t="str">
        <f>'8.Human Resources (SD) Annex'!C167</f>
        <v>Honorarium to ICTC and other Counsellors for outreach AH activities</v>
      </c>
      <c r="D312" s="1880" t="str">
        <f>'8.Human Resources (SD) Annex'!D167</f>
        <v>RCH</v>
      </c>
      <c r="E312" s="1880" t="str">
        <f>'8.Human Resources (SD) Annex'!E167</f>
        <v>AH</v>
      </c>
      <c r="F312" s="1880">
        <f>'8.Human Resources (SD) Annex'!F167</f>
        <v>0</v>
      </c>
      <c r="G312" s="1880">
        <f>'8.Human Resources (SD) Annex'!G167</f>
        <v>0</v>
      </c>
      <c r="H312" s="1880">
        <f>'8.Human Resources (SD) Annex'!H167</f>
        <v>0</v>
      </c>
      <c r="I312" s="1880">
        <f>'8.Human Resources (SD) Annex'!I167</f>
        <v>0</v>
      </c>
      <c r="J312" s="1880">
        <f>'8.Human Resources (SD) Annex'!J167</f>
        <v>0</v>
      </c>
      <c r="K312" s="1880">
        <f>'8.Human Resources (SD) Annex'!L167</f>
        <v>0</v>
      </c>
      <c r="L312" s="939">
        <f>'8.Human Resources (SD) Annex'!M167</f>
        <v>0</v>
      </c>
      <c r="M312" s="1880">
        <f>'8.Human Resources (SD) Annex'!N167</f>
        <v>0</v>
      </c>
      <c r="N312" s="1880">
        <f>'8.Human Resources (SD) Annex'!O167</f>
        <v>0</v>
      </c>
      <c r="O312" s="939">
        <f>'8.Human Resources (SD) Annex'!P167</f>
        <v>0</v>
      </c>
      <c r="P312" s="1878">
        <f>'8.Human Resources (SD) Annex'!Q167</f>
        <v>0</v>
      </c>
      <c r="Q312" s="1912"/>
      <c r="R312" s="1880">
        <v>0</v>
      </c>
    </row>
    <row r="313" spans="1:20" s="828" customFormat="1" x14ac:dyDescent="0.2">
      <c r="A313" s="1875">
        <f>'9.Training Annex'!A7</f>
        <v>9</v>
      </c>
      <c r="B313" s="1875"/>
      <c r="C313" s="1876" t="str">
        <f>'9.Training Annex'!C7</f>
        <v>Training and Capacity Building</v>
      </c>
      <c r="D313" s="1877"/>
      <c r="E313" s="1877"/>
      <c r="F313" s="1877"/>
      <c r="G313" s="1877"/>
      <c r="H313" s="1877"/>
      <c r="I313" s="1877"/>
      <c r="J313" s="1877"/>
      <c r="K313" s="1877"/>
      <c r="L313" s="969"/>
      <c r="M313" s="1877"/>
      <c r="N313" s="1877"/>
      <c r="O313" s="969">
        <f>SUM(O314:O329)</f>
        <v>0</v>
      </c>
      <c r="P313" s="1875"/>
      <c r="Q313" s="678"/>
      <c r="R313" s="132">
        <f>SUM(R314:R329)</f>
        <v>0</v>
      </c>
      <c r="T313" s="3314"/>
    </row>
    <row r="314" spans="1:20" s="828" customFormat="1" x14ac:dyDescent="0.2">
      <c r="A314" s="4047" t="str">
        <f>'9.Training Annex'!A24</f>
        <v>9.2.1.4</v>
      </c>
      <c r="B314" s="1878" t="str">
        <f>'9-A.Training Sub-Annex'!C111</f>
        <v>A.4.1.1</v>
      </c>
      <c r="C314" s="1879" t="str">
        <f>'9-A.Training Sub-Annex'!D111</f>
        <v xml:space="preserve">Dissemination workshops under RKSK </v>
      </c>
      <c r="D314" s="1880" t="str">
        <f>'9-A.Training Sub-Annex'!E111</f>
        <v>RCH</v>
      </c>
      <c r="E314" s="1880" t="str">
        <f>'9-A.Training Sub-Annex'!F111</f>
        <v>AH</v>
      </c>
      <c r="F314" s="1880">
        <f>'9-A.Training Sub-Annex'!G111</f>
        <v>0</v>
      </c>
      <c r="G314" s="1880">
        <f>'9-A.Training Sub-Annex'!H111</f>
        <v>0</v>
      </c>
      <c r="H314" s="1880">
        <f>'9-A.Training Sub-Annex'!I111</f>
        <v>0</v>
      </c>
      <c r="I314" s="1880">
        <f>'9-A.Training Sub-Annex'!J111</f>
        <v>0</v>
      </c>
      <c r="J314" s="1880">
        <f>'9-A.Training Sub-Annex'!K111</f>
        <v>0</v>
      </c>
      <c r="K314" s="1880">
        <f>'9-A.Training Sub-Annex'!L111</f>
        <v>0</v>
      </c>
      <c r="L314" s="939">
        <f>'9-A.Training Sub-Annex'!M111</f>
        <v>0</v>
      </c>
      <c r="M314" s="1880">
        <f>'9-A.Training Sub-Annex'!N111</f>
        <v>0</v>
      </c>
      <c r="N314" s="1880">
        <f>'9-A.Training Sub-Annex'!O111</f>
        <v>0</v>
      </c>
      <c r="O314" s="939">
        <f>'9-A.Training Sub-Annex'!P111</f>
        <v>0</v>
      </c>
      <c r="P314" s="1878">
        <f>'9-A.Training Sub-Annex'!Q111</f>
        <v>0</v>
      </c>
      <c r="Q314" s="1912"/>
      <c r="R314" s="1880">
        <v>0</v>
      </c>
    </row>
    <row r="315" spans="1:20" s="828" customFormat="1" ht="30" x14ac:dyDescent="0.2">
      <c r="A315" s="4047"/>
      <c r="B315" s="1878" t="str">
        <f>'9-A.Training Sub-Annex'!C112</f>
        <v>A.9.7.1.1</v>
      </c>
      <c r="C315" s="1879" t="str">
        <f>'9-A.Training Sub-Annex'!D112</f>
        <v xml:space="preserve">TOT for Adolescent Friendly Health Service training </v>
      </c>
      <c r="D315" s="1880" t="str">
        <f>'9-A.Training Sub-Annex'!E112</f>
        <v>RCH</v>
      </c>
      <c r="E315" s="1880" t="str">
        <f>'9-A.Training Sub-Annex'!F112</f>
        <v>AH</v>
      </c>
      <c r="F315" s="1880">
        <f>'9-A.Training Sub-Annex'!G112</f>
        <v>0</v>
      </c>
      <c r="G315" s="1880">
        <f>'9-A.Training Sub-Annex'!H112</f>
        <v>0</v>
      </c>
      <c r="H315" s="1880">
        <f>'9-A.Training Sub-Annex'!I112</f>
        <v>0</v>
      </c>
      <c r="I315" s="1880">
        <f>'9-A.Training Sub-Annex'!J112</f>
        <v>0</v>
      </c>
      <c r="J315" s="1880">
        <f>'9-A.Training Sub-Annex'!K112</f>
        <v>0</v>
      </c>
      <c r="K315" s="1880">
        <f>'9-A.Training Sub-Annex'!L112</f>
        <v>0</v>
      </c>
      <c r="L315" s="939">
        <f>'9-A.Training Sub-Annex'!M112</f>
        <v>0</v>
      </c>
      <c r="M315" s="1880">
        <f>'9-A.Training Sub-Annex'!N112</f>
        <v>0</v>
      </c>
      <c r="N315" s="1880">
        <f>'9-A.Training Sub-Annex'!O112</f>
        <v>0</v>
      </c>
      <c r="O315" s="939">
        <f>'9-A.Training Sub-Annex'!P112</f>
        <v>0</v>
      </c>
      <c r="P315" s="1878">
        <f>'9-A.Training Sub-Annex'!Q112</f>
        <v>0</v>
      </c>
      <c r="Q315" s="1912"/>
      <c r="R315" s="1880">
        <v>0</v>
      </c>
    </row>
    <row r="316" spans="1:20" s="828" customFormat="1" x14ac:dyDescent="0.2">
      <c r="A316" s="4047"/>
      <c r="B316" s="1878" t="str">
        <f>'9-A.Training Sub-Annex'!C113</f>
        <v>A.9.7.1.2</v>
      </c>
      <c r="C316" s="1879" t="str">
        <f>'9-A.Training Sub-Annex'!D113</f>
        <v xml:space="preserve">AFHS training of Medical Officers </v>
      </c>
      <c r="D316" s="1880" t="str">
        <f>'9-A.Training Sub-Annex'!E113</f>
        <v>RCH</v>
      </c>
      <c r="E316" s="1880" t="str">
        <f>'9-A.Training Sub-Annex'!F113</f>
        <v>AH</v>
      </c>
      <c r="F316" s="1880">
        <f>'9-A.Training Sub-Annex'!G113</f>
        <v>0</v>
      </c>
      <c r="G316" s="1880">
        <f>'9-A.Training Sub-Annex'!H113</f>
        <v>0</v>
      </c>
      <c r="H316" s="1880">
        <f>'9-A.Training Sub-Annex'!I113</f>
        <v>0</v>
      </c>
      <c r="I316" s="1880">
        <f>'9-A.Training Sub-Annex'!J113</f>
        <v>0</v>
      </c>
      <c r="J316" s="1880">
        <f>'9-A.Training Sub-Annex'!K113</f>
        <v>0</v>
      </c>
      <c r="K316" s="1880">
        <f>'9-A.Training Sub-Annex'!L113</f>
        <v>0</v>
      </c>
      <c r="L316" s="939">
        <f>'9-A.Training Sub-Annex'!M113</f>
        <v>0</v>
      </c>
      <c r="M316" s="1880">
        <f>'9-A.Training Sub-Annex'!N113</f>
        <v>0</v>
      </c>
      <c r="N316" s="1880">
        <f>'9-A.Training Sub-Annex'!O113</f>
        <v>0</v>
      </c>
      <c r="O316" s="939">
        <f>'9-A.Training Sub-Annex'!P113</f>
        <v>0</v>
      </c>
      <c r="P316" s="1878">
        <f>'9-A.Training Sub-Annex'!Q113</f>
        <v>0</v>
      </c>
      <c r="Q316" s="1912"/>
      <c r="R316" s="1880">
        <v>0</v>
      </c>
    </row>
    <row r="317" spans="1:20" s="828" customFormat="1" x14ac:dyDescent="0.2">
      <c r="A317" s="4047"/>
      <c r="B317" s="1878" t="str">
        <f>'9-A.Training Sub-Annex'!C114</f>
        <v>A.9.7.1.3</v>
      </c>
      <c r="C317" s="1879" t="str">
        <f>'9-A.Training Sub-Annex'!D114</f>
        <v>AFHS training of ANM/LHV/MPW</v>
      </c>
      <c r="D317" s="1880" t="str">
        <f>'9-A.Training Sub-Annex'!E114</f>
        <v>RCH</v>
      </c>
      <c r="E317" s="1880" t="str">
        <f>'9-A.Training Sub-Annex'!F114</f>
        <v>AH</v>
      </c>
      <c r="F317" s="1880">
        <f>'9-A.Training Sub-Annex'!G114</f>
        <v>0</v>
      </c>
      <c r="G317" s="1880">
        <f>'9-A.Training Sub-Annex'!H114</f>
        <v>0</v>
      </c>
      <c r="H317" s="1880">
        <f>'9-A.Training Sub-Annex'!I114</f>
        <v>0</v>
      </c>
      <c r="I317" s="1880">
        <f>'9-A.Training Sub-Annex'!J114</f>
        <v>0</v>
      </c>
      <c r="J317" s="1880">
        <f>'9-A.Training Sub-Annex'!K114</f>
        <v>0</v>
      </c>
      <c r="K317" s="1880">
        <f>'9-A.Training Sub-Annex'!L114</f>
        <v>0</v>
      </c>
      <c r="L317" s="939">
        <f>'9-A.Training Sub-Annex'!M114</f>
        <v>0</v>
      </c>
      <c r="M317" s="1880">
        <f>'9-A.Training Sub-Annex'!N114</f>
        <v>0</v>
      </c>
      <c r="N317" s="1880">
        <f>'9-A.Training Sub-Annex'!O114</f>
        <v>0</v>
      </c>
      <c r="O317" s="939">
        <f>'9-A.Training Sub-Annex'!P114</f>
        <v>0</v>
      </c>
      <c r="P317" s="1878">
        <f>'9-A.Training Sub-Annex'!Q114</f>
        <v>0</v>
      </c>
      <c r="Q317" s="1912"/>
      <c r="R317" s="1880">
        <v>0</v>
      </c>
    </row>
    <row r="318" spans="1:20" s="828" customFormat="1" x14ac:dyDescent="0.2">
      <c r="A318" s="4047"/>
      <c r="B318" s="1878" t="str">
        <f>'9-A.Training Sub-Annex'!C115</f>
        <v>A.9.7.1.5</v>
      </c>
      <c r="C318" s="1879" t="str">
        <f>'9-A.Training Sub-Annex'!D115</f>
        <v>Training of AH counsellors</v>
      </c>
      <c r="D318" s="1880" t="str">
        <f>'9-A.Training Sub-Annex'!E115</f>
        <v>RCH</v>
      </c>
      <c r="E318" s="1880" t="str">
        <f>'9-A.Training Sub-Annex'!F115</f>
        <v>AH</v>
      </c>
      <c r="F318" s="1880">
        <f>'9-A.Training Sub-Annex'!G115</f>
        <v>0</v>
      </c>
      <c r="G318" s="1880">
        <f>'9-A.Training Sub-Annex'!H115</f>
        <v>0</v>
      </c>
      <c r="H318" s="1880">
        <f>'9-A.Training Sub-Annex'!I115</f>
        <v>0</v>
      </c>
      <c r="I318" s="1880">
        <f>'9-A.Training Sub-Annex'!J115</f>
        <v>0</v>
      </c>
      <c r="J318" s="1880">
        <f>'9-A.Training Sub-Annex'!K115</f>
        <v>0</v>
      </c>
      <c r="K318" s="1880">
        <f>'9-A.Training Sub-Annex'!L115</f>
        <v>0</v>
      </c>
      <c r="L318" s="939">
        <f>'9-A.Training Sub-Annex'!M115</f>
        <v>0</v>
      </c>
      <c r="M318" s="1880">
        <f>'9-A.Training Sub-Annex'!N115</f>
        <v>0</v>
      </c>
      <c r="N318" s="1880">
        <f>'9-A.Training Sub-Annex'!O115</f>
        <v>0</v>
      </c>
      <c r="O318" s="939">
        <f>'9-A.Training Sub-Annex'!P115</f>
        <v>0</v>
      </c>
      <c r="P318" s="1878">
        <f>'9-A.Training Sub-Annex'!Q115</f>
        <v>0</v>
      </c>
      <c r="Q318" s="1912"/>
      <c r="R318" s="1880">
        <v>0</v>
      </c>
    </row>
    <row r="319" spans="1:20" s="828" customFormat="1" x14ac:dyDescent="0.2">
      <c r="A319" s="4047"/>
      <c r="B319" s="1878" t="str">
        <f>'9-A.Training Sub-Annex'!C116</f>
        <v>A.9.7.2.1</v>
      </c>
      <c r="C319" s="1879" t="str">
        <f>'9-A.Training Sub-Annex'!D116</f>
        <v>Training of Peer Educator (District level)</v>
      </c>
      <c r="D319" s="1880" t="str">
        <f>'9-A.Training Sub-Annex'!E116</f>
        <v>RCH</v>
      </c>
      <c r="E319" s="1880" t="str">
        <f>'9-A.Training Sub-Annex'!F116</f>
        <v>AH</v>
      </c>
      <c r="F319" s="1880">
        <f>'9-A.Training Sub-Annex'!G116</f>
        <v>0</v>
      </c>
      <c r="G319" s="1880">
        <f>'9-A.Training Sub-Annex'!H116</f>
        <v>0</v>
      </c>
      <c r="H319" s="1880">
        <f>'9-A.Training Sub-Annex'!I116</f>
        <v>0</v>
      </c>
      <c r="I319" s="1880">
        <f>'9-A.Training Sub-Annex'!J116</f>
        <v>0</v>
      </c>
      <c r="J319" s="1880">
        <f>'9-A.Training Sub-Annex'!K116</f>
        <v>0</v>
      </c>
      <c r="K319" s="1880">
        <f>'9-A.Training Sub-Annex'!L116</f>
        <v>0</v>
      </c>
      <c r="L319" s="939">
        <f>'9-A.Training Sub-Annex'!M116</f>
        <v>0</v>
      </c>
      <c r="M319" s="1880">
        <f>'9-A.Training Sub-Annex'!N116</f>
        <v>0</v>
      </c>
      <c r="N319" s="1880">
        <f>'9-A.Training Sub-Annex'!O116</f>
        <v>0</v>
      </c>
      <c r="O319" s="939">
        <f>'9-A.Training Sub-Annex'!P116</f>
        <v>0</v>
      </c>
      <c r="P319" s="1878">
        <f>'9-A.Training Sub-Annex'!Q116</f>
        <v>0</v>
      </c>
      <c r="Q319" s="1912"/>
      <c r="R319" s="1880">
        <v>0</v>
      </c>
    </row>
    <row r="320" spans="1:20" s="828" customFormat="1" x14ac:dyDescent="0.2">
      <c r="A320" s="4047"/>
      <c r="B320" s="1878" t="str">
        <f>'9-A.Training Sub-Annex'!C117</f>
        <v>A.9.7.2.2</v>
      </c>
      <c r="C320" s="1879" t="str">
        <f>'9-A.Training Sub-Annex'!D117</f>
        <v>Training of Peer Educator (Block Level)</v>
      </c>
      <c r="D320" s="1880" t="str">
        <f>'9-A.Training Sub-Annex'!E117</f>
        <v>RCH</v>
      </c>
      <c r="E320" s="1880" t="str">
        <f>'9-A.Training Sub-Annex'!F117</f>
        <v>AH</v>
      </c>
      <c r="F320" s="1880">
        <f>'9-A.Training Sub-Annex'!G117</f>
        <v>0</v>
      </c>
      <c r="G320" s="1880">
        <f>'9-A.Training Sub-Annex'!H117</f>
        <v>0</v>
      </c>
      <c r="H320" s="1880">
        <f>'9-A.Training Sub-Annex'!I117</f>
        <v>0</v>
      </c>
      <c r="I320" s="1880">
        <f>'9-A.Training Sub-Annex'!J117</f>
        <v>0</v>
      </c>
      <c r="J320" s="1880">
        <f>'9-A.Training Sub-Annex'!K117</f>
        <v>0</v>
      </c>
      <c r="K320" s="1880">
        <f>'9-A.Training Sub-Annex'!L117</f>
        <v>0</v>
      </c>
      <c r="L320" s="939">
        <f>'9-A.Training Sub-Annex'!M117</f>
        <v>0</v>
      </c>
      <c r="M320" s="1880">
        <f>'9-A.Training Sub-Annex'!N117</f>
        <v>0</v>
      </c>
      <c r="N320" s="1880">
        <f>'9-A.Training Sub-Annex'!O117</f>
        <v>0</v>
      </c>
      <c r="O320" s="939">
        <f>'9-A.Training Sub-Annex'!P117</f>
        <v>0</v>
      </c>
      <c r="P320" s="1878">
        <f>'9-A.Training Sub-Annex'!Q117</f>
        <v>0</v>
      </c>
      <c r="Q320" s="1912"/>
      <c r="R320" s="1880">
        <v>0</v>
      </c>
    </row>
    <row r="321" spans="1:20" s="828" customFormat="1" x14ac:dyDescent="0.2">
      <c r="A321" s="4047"/>
      <c r="B321" s="1878" t="str">
        <f>'9-A.Training Sub-Annex'!C118</f>
        <v>A.9.7.2.3</v>
      </c>
      <c r="C321" s="1879" t="str">
        <f>'9-A.Training Sub-Annex'!D118</f>
        <v>Training of Peer Educator (Sub block level)</v>
      </c>
      <c r="D321" s="1880" t="str">
        <f>'9-A.Training Sub-Annex'!E118</f>
        <v>RCH</v>
      </c>
      <c r="E321" s="1880" t="str">
        <f>'9-A.Training Sub-Annex'!F118</f>
        <v>AH</v>
      </c>
      <c r="F321" s="1880">
        <f>'9-A.Training Sub-Annex'!G118</f>
        <v>0</v>
      </c>
      <c r="G321" s="1880">
        <f>'9-A.Training Sub-Annex'!H118</f>
        <v>0</v>
      </c>
      <c r="H321" s="1880">
        <f>'9-A.Training Sub-Annex'!I118</f>
        <v>0</v>
      </c>
      <c r="I321" s="1880">
        <f>'9-A.Training Sub-Annex'!J118</f>
        <v>0</v>
      </c>
      <c r="J321" s="1880">
        <f>'9-A.Training Sub-Annex'!K118</f>
        <v>0</v>
      </c>
      <c r="K321" s="1880">
        <f>'9-A.Training Sub-Annex'!L118</f>
        <v>0</v>
      </c>
      <c r="L321" s="939">
        <f>'9-A.Training Sub-Annex'!M118</f>
        <v>0</v>
      </c>
      <c r="M321" s="1880">
        <f>'9-A.Training Sub-Annex'!N118</f>
        <v>0</v>
      </c>
      <c r="N321" s="1880">
        <f>'9-A.Training Sub-Annex'!O118</f>
        <v>0</v>
      </c>
      <c r="O321" s="939">
        <f>'9-A.Training Sub-Annex'!P118</f>
        <v>0</v>
      </c>
      <c r="P321" s="1878">
        <f>'9-A.Training Sub-Annex'!Q118</f>
        <v>0</v>
      </c>
      <c r="Q321" s="1912"/>
      <c r="R321" s="1880">
        <v>0</v>
      </c>
    </row>
    <row r="322" spans="1:20" s="828" customFormat="1" x14ac:dyDescent="0.2">
      <c r="A322" s="4047"/>
      <c r="B322" s="1878" t="str">
        <f>'9-A.Training Sub-Annex'!C119</f>
        <v>A.9.7.3.1</v>
      </c>
      <c r="C322" s="1879" t="str">
        <f>'9-A.Training Sub-Annex'!D119</f>
        <v>WIFS trainings (District)</v>
      </c>
      <c r="D322" s="1880" t="str">
        <f>'9-A.Training Sub-Annex'!E119</f>
        <v>RCH</v>
      </c>
      <c r="E322" s="1880" t="str">
        <f>'9-A.Training Sub-Annex'!F119</f>
        <v>AH</v>
      </c>
      <c r="F322" s="1880">
        <f>'9-A.Training Sub-Annex'!G119</f>
        <v>0</v>
      </c>
      <c r="G322" s="1880">
        <f>'9-A.Training Sub-Annex'!H119</f>
        <v>0</v>
      </c>
      <c r="H322" s="1880">
        <f>'9-A.Training Sub-Annex'!I119</f>
        <v>0</v>
      </c>
      <c r="I322" s="1880">
        <f>'9-A.Training Sub-Annex'!J119</f>
        <v>0</v>
      </c>
      <c r="J322" s="1880">
        <f>'9-A.Training Sub-Annex'!K119</f>
        <v>0</v>
      </c>
      <c r="K322" s="1880">
        <f>'9-A.Training Sub-Annex'!L119</f>
        <v>0</v>
      </c>
      <c r="L322" s="939">
        <f>'9-A.Training Sub-Annex'!M119</f>
        <v>0</v>
      </c>
      <c r="M322" s="1880">
        <f>'9-A.Training Sub-Annex'!N119</f>
        <v>0</v>
      </c>
      <c r="N322" s="1880">
        <f>'9-A.Training Sub-Annex'!O119</f>
        <v>0</v>
      </c>
      <c r="O322" s="939">
        <f>'9-A.Training Sub-Annex'!P119</f>
        <v>0</v>
      </c>
      <c r="P322" s="1878">
        <f>'9-A.Training Sub-Annex'!Q119</f>
        <v>0</v>
      </c>
      <c r="Q322" s="1912"/>
      <c r="R322" s="1880">
        <v>0</v>
      </c>
    </row>
    <row r="323" spans="1:20" s="828" customFormat="1" x14ac:dyDescent="0.2">
      <c r="A323" s="4047"/>
      <c r="B323" s="1878" t="str">
        <f>'9-A.Training Sub-Annex'!C120</f>
        <v>A.9.7.3.2</v>
      </c>
      <c r="C323" s="1879" t="str">
        <f>'9-A.Training Sub-Annex'!D120</f>
        <v>WIFS trainings (Block)</v>
      </c>
      <c r="D323" s="1880" t="str">
        <f>'9-A.Training Sub-Annex'!E120</f>
        <v>RCH</v>
      </c>
      <c r="E323" s="1880" t="str">
        <f>'9-A.Training Sub-Annex'!F120</f>
        <v>AH</v>
      </c>
      <c r="F323" s="1880">
        <f>'9-A.Training Sub-Annex'!G120</f>
        <v>0</v>
      </c>
      <c r="G323" s="1880">
        <f>'9-A.Training Sub-Annex'!H120</f>
        <v>0</v>
      </c>
      <c r="H323" s="1880">
        <f>'9-A.Training Sub-Annex'!I120</f>
        <v>0</v>
      </c>
      <c r="I323" s="1880">
        <f>'9-A.Training Sub-Annex'!J120</f>
        <v>0</v>
      </c>
      <c r="J323" s="1880">
        <f>'9-A.Training Sub-Annex'!K120</f>
        <v>0</v>
      </c>
      <c r="K323" s="1880">
        <f>'9-A.Training Sub-Annex'!L120</f>
        <v>0</v>
      </c>
      <c r="L323" s="939">
        <f>'9-A.Training Sub-Annex'!M120</f>
        <v>0</v>
      </c>
      <c r="M323" s="1880">
        <f>'9-A.Training Sub-Annex'!N120</f>
        <v>0</v>
      </c>
      <c r="N323" s="1880">
        <f>'9-A.Training Sub-Annex'!O120</f>
        <v>0</v>
      </c>
      <c r="O323" s="939">
        <f>'9-A.Training Sub-Annex'!P120</f>
        <v>0</v>
      </c>
      <c r="P323" s="1878">
        <f>'9-A.Training Sub-Annex'!Q120</f>
        <v>0</v>
      </c>
      <c r="Q323" s="1912"/>
      <c r="R323" s="1880">
        <v>0</v>
      </c>
    </row>
    <row r="324" spans="1:20" s="828" customFormat="1" x14ac:dyDescent="0.2">
      <c r="A324" s="4047"/>
      <c r="B324" s="1878" t="str">
        <f>'9-A.Training Sub-Annex'!C121</f>
        <v>A.9.7.4.1</v>
      </c>
      <c r="C324" s="1879" t="str">
        <f>'9-A.Training Sub-Annex'!D121</f>
        <v>MHS Trainings (District)</v>
      </c>
      <c r="D324" s="1880" t="str">
        <f>'9-A.Training Sub-Annex'!E121</f>
        <v>RCH</v>
      </c>
      <c r="E324" s="1880" t="str">
        <f>'9-A.Training Sub-Annex'!F121</f>
        <v>AH</v>
      </c>
      <c r="F324" s="1880">
        <f>'9-A.Training Sub-Annex'!G121</f>
        <v>0</v>
      </c>
      <c r="G324" s="1880">
        <f>'9-A.Training Sub-Annex'!H121</f>
        <v>0</v>
      </c>
      <c r="H324" s="1880">
        <f>'9-A.Training Sub-Annex'!I121</f>
        <v>0</v>
      </c>
      <c r="I324" s="1880">
        <f>'9-A.Training Sub-Annex'!J121</f>
        <v>0</v>
      </c>
      <c r="J324" s="1880">
        <f>'9-A.Training Sub-Annex'!K121</f>
        <v>0</v>
      </c>
      <c r="K324" s="1880">
        <f>'9-A.Training Sub-Annex'!L121</f>
        <v>0</v>
      </c>
      <c r="L324" s="939">
        <f>'9-A.Training Sub-Annex'!M121</f>
        <v>0</v>
      </c>
      <c r="M324" s="1880">
        <f>'9-A.Training Sub-Annex'!N121</f>
        <v>0</v>
      </c>
      <c r="N324" s="1880">
        <f>'9-A.Training Sub-Annex'!O121</f>
        <v>0</v>
      </c>
      <c r="O324" s="939">
        <f>'9-A.Training Sub-Annex'!P121</f>
        <v>0</v>
      </c>
      <c r="P324" s="1878">
        <f>'9-A.Training Sub-Annex'!Q121</f>
        <v>0</v>
      </c>
      <c r="Q324" s="1912"/>
      <c r="R324" s="1880">
        <v>0</v>
      </c>
    </row>
    <row r="325" spans="1:20" s="828" customFormat="1" x14ac:dyDescent="0.2">
      <c r="A325" s="4047"/>
      <c r="B325" s="1878" t="str">
        <f>'9-A.Training Sub-Annex'!C122</f>
        <v>A.9.7.4.2</v>
      </c>
      <c r="C325" s="1879" t="str">
        <f>'9-A.Training Sub-Annex'!D122</f>
        <v>MHS Trainings (Block)</v>
      </c>
      <c r="D325" s="1880" t="str">
        <f>'9-A.Training Sub-Annex'!E122</f>
        <v>RCH</v>
      </c>
      <c r="E325" s="1880" t="str">
        <f>'9-A.Training Sub-Annex'!F122</f>
        <v>AH</v>
      </c>
      <c r="F325" s="1880">
        <f>'9-A.Training Sub-Annex'!G122</f>
        <v>0</v>
      </c>
      <c r="G325" s="1880">
        <f>'9-A.Training Sub-Annex'!H122</f>
        <v>0</v>
      </c>
      <c r="H325" s="1880">
        <f>'9-A.Training Sub-Annex'!I122</f>
        <v>0</v>
      </c>
      <c r="I325" s="1880">
        <f>'9-A.Training Sub-Annex'!J122</f>
        <v>0</v>
      </c>
      <c r="J325" s="1880">
        <f>'9-A.Training Sub-Annex'!K122</f>
        <v>0</v>
      </c>
      <c r="K325" s="1880">
        <f>'9-A.Training Sub-Annex'!L122</f>
        <v>0</v>
      </c>
      <c r="L325" s="939">
        <f>'9-A.Training Sub-Annex'!M122</f>
        <v>0</v>
      </c>
      <c r="M325" s="1880">
        <f>'9-A.Training Sub-Annex'!N122</f>
        <v>0</v>
      </c>
      <c r="N325" s="1880">
        <f>'9-A.Training Sub-Annex'!O122</f>
        <v>0</v>
      </c>
      <c r="O325" s="939">
        <f>'9-A.Training Sub-Annex'!P122</f>
        <v>0</v>
      </c>
      <c r="P325" s="1878">
        <f>'9-A.Training Sub-Annex'!Q122</f>
        <v>0</v>
      </c>
      <c r="Q325" s="1912"/>
      <c r="R325" s="1880">
        <v>0</v>
      </c>
    </row>
    <row r="326" spans="1:20" s="828" customFormat="1" ht="30" x14ac:dyDescent="0.2">
      <c r="A326" s="4047"/>
      <c r="B326" s="1878" t="str">
        <f>'9-A.Training Sub-Annex'!C124</f>
        <v>A.9.12.6.1</v>
      </c>
      <c r="C326" s="1879" t="str">
        <f>'9-A.Training Sub-Annex'!D124</f>
        <v xml:space="preserve">Training of master trainers at State, district and block level </v>
      </c>
      <c r="D326" s="1880" t="str">
        <f>'9-A.Training Sub-Annex'!E124</f>
        <v>RCH</v>
      </c>
      <c r="E326" s="1880" t="str">
        <f>'9-A.Training Sub-Annex'!F124</f>
        <v>AH</v>
      </c>
      <c r="F326" s="1880">
        <f>'9-A.Training Sub-Annex'!G124</f>
        <v>0</v>
      </c>
      <c r="G326" s="1880">
        <f>'9-A.Training Sub-Annex'!H124</f>
        <v>0</v>
      </c>
      <c r="H326" s="1880">
        <f>'9-A.Training Sub-Annex'!I124</f>
        <v>0</v>
      </c>
      <c r="I326" s="1880">
        <f>'9-A.Training Sub-Annex'!J124</f>
        <v>0</v>
      </c>
      <c r="J326" s="1880">
        <f>'9-A.Training Sub-Annex'!K124</f>
        <v>0</v>
      </c>
      <c r="K326" s="1880">
        <f>'9-A.Training Sub-Annex'!L124</f>
        <v>0</v>
      </c>
      <c r="L326" s="939">
        <f>'9-A.Training Sub-Annex'!M124</f>
        <v>0</v>
      </c>
      <c r="M326" s="1880">
        <f>'9-A.Training Sub-Annex'!N124</f>
        <v>0</v>
      </c>
      <c r="N326" s="1880">
        <f>'9-A.Training Sub-Annex'!O124</f>
        <v>0</v>
      </c>
      <c r="O326" s="939">
        <f>'9-A.Training Sub-Annex'!P124</f>
        <v>0</v>
      </c>
      <c r="P326" s="1878">
        <f>'9-A.Training Sub-Annex'!Q124</f>
        <v>0</v>
      </c>
      <c r="Q326" s="1912"/>
      <c r="R326" s="1880">
        <v>0</v>
      </c>
    </row>
    <row r="327" spans="1:20" s="828" customFormat="1" x14ac:dyDescent="0.2">
      <c r="A327" s="4047"/>
      <c r="B327" s="1878" t="str">
        <f>'9-A.Training Sub-Annex'!C125</f>
        <v>A.9.12.6.2</v>
      </c>
      <c r="C327" s="1879" t="str">
        <f>'9-A.Training Sub-Annex'!D125</f>
        <v xml:space="preserve">Training of two nodal teachers per school </v>
      </c>
      <c r="D327" s="1880" t="str">
        <f>'9-A.Training Sub-Annex'!E125</f>
        <v>RCH</v>
      </c>
      <c r="E327" s="1880" t="str">
        <f>'9-A.Training Sub-Annex'!F125</f>
        <v>AH</v>
      </c>
      <c r="F327" s="1880">
        <f>'9-A.Training Sub-Annex'!G125</f>
        <v>0</v>
      </c>
      <c r="G327" s="1880">
        <f>'9-A.Training Sub-Annex'!H125</f>
        <v>0</v>
      </c>
      <c r="H327" s="1880">
        <f>'9-A.Training Sub-Annex'!I125</f>
        <v>0</v>
      </c>
      <c r="I327" s="1880">
        <f>'9-A.Training Sub-Annex'!J125</f>
        <v>0</v>
      </c>
      <c r="J327" s="1880">
        <f>'9-A.Training Sub-Annex'!K125</f>
        <v>0</v>
      </c>
      <c r="K327" s="1880">
        <f>'9-A.Training Sub-Annex'!L125</f>
        <v>0</v>
      </c>
      <c r="L327" s="939">
        <f>'9-A.Training Sub-Annex'!M125</f>
        <v>0</v>
      </c>
      <c r="M327" s="1880">
        <f>'9-A.Training Sub-Annex'!N125</f>
        <v>0</v>
      </c>
      <c r="N327" s="1880">
        <f>'9-A.Training Sub-Annex'!O125</f>
        <v>0</v>
      </c>
      <c r="O327" s="939">
        <f>'9-A.Training Sub-Annex'!P125</f>
        <v>0</v>
      </c>
      <c r="P327" s="1878">
        <f>'9-A.Training Sub-Annex'!Q125</f>
        <v>0</v>
      </c>
      <c r="Q327" s="1912"/>
      <c r="R327" s="1880">
        <v>0</v>
      </c>
    </row>
    <row r="328" spans="1:20" s="828" customFormat="1" ht="98.25" customHeight="1" x14ac:dyDescent="0.2">
      <c r="A328" s="4047"/>
      <c r="B328" s="1878">
        <f>'9-A.Training Sub-Annex'!C126</f>
        <v>0</v>
      </c>
      <c r="C328" s="1879" t="str">
        <f>'9-A.Training Sub-Annex'!D126</f>
        <v>Any other (please specify)</v>
      </c>
      <c r="D328" s="1880" t="str">
        <f>'9-A.Training Sub-Annex'!E126</f>
        <v>RCH</v>
      </c>
      <c r="E328" s="1880" t="str">
        <f>'9-A.Training Sub-Annex'!F126</f>
        <v>AH</v>
      </c>
      <c r="F328" s="1880">
        <f>'9-A.Training Sub-Annex'!G126</f>
        <v>0</v>
      </c>
      <c r="G328" s="1880">
        <f>'9-A.Training Sub-Annex'!H126</f>
        <v>0</v>
      </c>
      <c r="H328" s="1880">
        <f>'9-A.Training Sub-Annex'!I126</f>
        <v>0</v>
      </c>
      <c r="I328" s="1880">
        <f>'9-A.Training Sub-Annex'!J126</f>
        <v>0</v>
      </c>
      <c r="J328" s="1880">
        <f>'9-A.Training Sub-Annex'!K126</f>
        <v>0</v>
      </c>
      <c r="K328" s="1880">
        <f>'9-A.Training Sub-Annex'!L126</f>
        <v>0</v>
      </c>
      <c r="L328" s="939">
        <f>'9-A.Training Sub-Annex'!M126</f>
        <v>0</v>
      </c>
      <c r="M328" s="1880">
        <f>'9-A.Training Sub-Annex'!N126</f>
        <v>0</v>
      </c>
      <c r="N328" s="1880">
        <f>'9-A.Training Sub-Annex'!O126</f>
        <v>0</v>
      </c>
      <c r="O328" s="939">
        <f>'9-A.Training Sub-Annex'!P126</f>
        <v>0</v>
      </c>
      <c r="P328" s="1878">
        <f>'9-A.Training Sub-Annex'!Q126</f>
        <v>0</v>
      </c>
      <c r="Q328" s="1912"/>
      <c r="R328" s="1906"/>
      <c r="T328" s="3314"/>
    </row>
    <row r="329" spans="1:20" s="828" customFormat="1" ht="30" x14ac:dyDescent="0.2">
      <c r="A329" s="4047"/>
      <c r="B329" s="1878" t="str">
        <f>'9-A.Training Sub-Annex'!C127</f>
        <v>A.9.7.5</v>
      </c>
      <c r="C329" s="1879" t="str">
        <f>'9-A.Training Sub-Annex'!D127</f>
        <v>Other Adolescent Health trainings (please specify)</v>
      </c>
      <c r="D329" s="1880" t="str">
        <f>'9-A.Training Sub-Annex'!E127</f>
        <v>RCH</v>
      </c>
      <c r="E329" s="1880" t="str">
        <f>'9-A.Training Sub-Annex'!F127</f>
        <v>AH</v>
      </c>
      <c r="F329" s="1880">
        <f>'9-A.Training Sub-Annex'!G127</f>
        <v>0</v>
      </c>
      <c r="G329" s="1880">
        <f>'9-A.Training Sub-Annex'!H127</f>
        <v>0</v>
      </c>
      <c r="H329" s="1880">
        <f>'9-A.Training Sub-Annex'!I127</f>
        <v>0</v>
      </c>
      <c r="I329" s="1880">
        <f>'9-A.Training Sub-Annex'!J127</f>
        <v>0</v>
      </c>
      <c r="J329" s="1880">
        <f>'9-A.Training Sub-Annex'!K127</f>
        <v>0</v>
      </c>
      <c r="K329" s="1880">
        <f>'9-A.Training Sub-Annex'!L127</f>
        <v>0</v>
      </c>
      <c r="L329" s="939">
        <f>'9-A.Training Sub-Annex'!M127</f>
        <v>0</v>
      </c>
      <c r="M329" s="1880">
        <f>'9-A.Training Sub-Annex'!N127</f>
        <v>0</v>
      </c>
      <c r="N329" s="1880">
        <f>'9-A.Training Sub-Annex'!O127</f>
        <v>0</v>
      </c>
      <c r="O329" s="939">
        <f>'9-A.Training Sub-Annex'!P127</f>
        <v>0</v>
      </c>
      <c r="P329" s="1878">
        <f>'9-A.Training Sub-Annex'!Q127</f>
        <v>0</v>
      </c>
      <c r="Q329" s="1912"/>
      <c r="R329" s="1880">
        <v>0</v>
      </c>
    </row>
    <row r="330" spans="1:20" s="828" customFormat="1" x14ac:dyDescent="0.2">
      <c r="A330" s="1875">
        <f>'11.IEC-BCC Annex'!A7</f>
        <v>11</v>
      </c>
      <c r="B330" s="1885"/>
      <c r="C330" s="1876" t="str">
        <f>'11.IEC-BCC Annex'!C7</f>
        <v>IEC/BCC</v>
      </c>
      <c r="D330" s="1877"/>
      <c r="E330" s="1877"/>
      <c r="F330" s="1877"/>
      <c r="G330" s="1877"/>
      <c r="H330" s="969"/>
      <c r="I330" s="1877"/>
      <c r="J330" s="969"/>
      <c r="K330" s="1877"/>
      <c r="L330" s="969"/>
      <c r="M330" s="969"/>
      <c r="N330" s="1886"/>
      <c r="O330" s="1887">
        <f>SUM(O331:O333)</f>
        <v>0</v>
      </c>
      <c r="P330" s="1888"/>
      <c r="Q330" s="1908"/>
      <c r="R330" s="1909">
        <f>SUM(R331:R333)</f>
        <v>0</v>
      </c>
      <c r="T330" s="3314"/>
    </row>
    <row r="331" spans="1:20" s="828" customFormat="1" ht="30" x14ac:dyDescent="0.2">
      <c r="A331" s="4047" t="str">
        <f>'11.IEC-BCC Annex'!A12</f>
        <v>11.1.4</v>
      </c>
      <c r="B331" s="1878" t="str">
        <f>'11-A. IEC Sub-Annex'!C23</f>
        <v>B.10.3.4.1</v>
      </c>
      <c r="C331" s="1879" t="str">
        <f>'11-A. IEC Sub-Annex'!D23</f>
        <v>Media Mix of Mass Media/ Mid Media including promotion of menstrual hygiene scheme</v>
      </c>
      <c r="D331" s="1880" t="str">
        <f>'11-A. IEC Sub-Annex'!E23</f>
        <v>RCH</v>
      </c>
      <c r="E331" s="1880" t="str">
        <f>'11-A. IEC Sub-Annex'!F23</f>
        <v>AH</v>
      </c>
      <c r="F331" s="1880">
        <f>'11-A. IEC Sub-Annex'!G23</f>
        <v>0</v>
      </c>
      <c r="G331" s="1880">
        <f>'11-A. IEC Sub-Annex'!H23</f>
        <v>0</v>
      </c>
      <c r="H331" s="1880">
        <f>'11-A. IEC Sub-Annex'!I23</f>
        <v>0</v>
      </c>
      <c r="I331" s="1880">
        <f>'11-A. IEC Sub-Annex'!J23</f>
        <v>0</v>
      </c>
      <c r="J331" s="1880">
        <f>'11-A. IEC Sub-Annex'!K23</f>
        <v>0</v>
      </c>
      <c r="K331" s="1880">
        <f>'11-A. IEC Sub-Annex'!L23</f>
        <v>0</v>
      </c>
      <c r="L331" s="939">
        <f>'11-A. IEC Sub-Annex'!M23</f>
        <v>0</v>
      </c>
      <c r="M331" s="1880">
        <f>'11-A. IEC Sub-Annex'!N23</f>
        <v>0</v>
      </c>
      <c r="N331" s="1880">
        <f>'11-A. IEC Sub-Annex'!O23</f>
        <v>0</v>
      </c>
      <c r="O331" s="939">
        <f>'11-A. IEC Sub-Annex'!P23</f>
        <v>0</v>
      </c>
      <c r="P331" s="1878">
        <f>'11-A. IEC Sub-Annex'!Q23</f>
        <v>0</v>
      </c>
      <c r="Q331" s="1912"/>
      <c r="R331" s="1880">
        <v>0</v>
      </c>
    </row>
    <row r="332" spans="1:20" s="828" customFormat="1" x14ac:dyDescent="0.2">
      <c r="A332" s="4047"/>
      <c r="B332" s="1878" t="str">
        <f>'11-A. IEC Sub-Annex'!C24</f>
        <v>B.10.3.4.2</v>
      </c>
      <c r="C332" s="1879" t="str">
        <f>'11-A. IEC Sub-Annex'!D24</f>
        <v>Inter Personal Communication</v>
      </c>
      <c r="D332" s="1880" t="str">
        <f>'11-A. IEC Sub-Annex'!E24</f>
        <v>RCH</v>
      </c>
      <c r="E332" s="1880" t="str">
        <f>'11-A. IEC Sub-Annex'!F24</f>
        <v>AH</v>
      </c>
      <c r="F332" s="1880">
        <f>'11-A. IEC Sub-Annex'!G24</f>
        <v>0</v>
      </c>
      <c r="G332" s="1880">
        <f>'11-A. IEC Sub-Annex'!H24</f>
        <v>0</v>
      </c>
      <c r="H332" s="1880">
        <f>'11-A. IEC Sub-Annex'!I24</f>
        <v>0</v>
      </c>
      <c r="I332" s="1880">
        <f>'11-A. IEC Sub-Annex'!J24</f>
        <v>0</v>
      </c>
      <c r="J332" s="1880">
        <f>'11-A. IEC Sub-Annex'!K24</f>
        <v>0</v>
      </c>
      <c r="K332" s="1880">
        <f>'11-A. IEC Sub-Annex'!L24</f>
        <v>0</v>
      </c>
      <c r="L332" s="939">
        <f>'11-A. IEC Sub-Annex'!M24</f>
        <v>0</v>
      </c>
      <c r="M332" s="1880">
        <f>'11-A. IEC Sub-Annex'!N24</f>
        <v>0</v>
      </c>
      <c r="N332" s="1880">
        <f>'11-A. IEC Sub-Annex'!O24</f>
        <v>0</v>
      </c>
      <c r="O332" s="939">
        <f>'11-A. IEC Sub-Annex'!P24</f>
        <v>0</v>
      </c>
      <c r="P332" s="1878">
        <f>'11-A. IEC Sub-Annex'!Q24</f>
        <v>0</v>
      </c>
      <c r="Q332" s="1912"/>
      <c r="R332" s="1880">
        <v>0</v>
      </c>
    </row>
    <row r="333" spans="1:20" s="828" customFormat="1" x14ac:dyDescent="0.2">
      <c r="A333" s="4047"/>
      <c r="B333" s="1878">
        <f>'11-A. IEC Sub-Annex'!C25</f>
        <v>0</v>
      </c>
      <c r="C333" s="1879" t="str">
        <f>'11-A. IEC Sub-Annex'!D25</f>
        <v>Any other IEC/BCC activities (please specify)</v>
      </c>
      <c r="D333" s="1880" t="str">
        <f>'11-A. IEC Sub-Annex'!E25</f>
        <v>RCH</v>
      </c>
      <c r="E333" s="1880" t="str">
        <f>'11-A. IEC Sub-Annex'!F25</f>
        <v>AH</v>
      </c>
      <c r="F333" s="1880">
        <f>'11-A. IEC Sub-Annex'!G25</f>
        <v>0</v>
      </c>
      <c r="G333" s="1880">
        <f>'11-A. IEC Sub-Annex'!H25</f>
        <v>0</v>
      </c>
      <c r="H333" s="1880">
        <f>'11-A. IEC Sub-Annex'!I25</f>
        <v>0</v>
      </c>
      <c r="I333" s="1880">
        <f>'11-A. IEC Sub-Annex'!J25</f>
        <v>0</v>
      </c>
      <c r="J333" s="1880">
        <f>'11-A. IEC Sub-Annex'!K25</f>
        <v>0</v>
      </c>
      <c r="K333" s="1880">
        <f>'11-A. IEC Sub-Annex'!L25</f>
        <v>0</v>
      </c>
      <c r="L333" s="939">
        <f>'11-A. IEC Sub-Annex'!M25</f>
        <v>0</v>
      </c>
      <c r="M333" s="1880">
        <f>'11-A. IEC Sub-Annex'!N25</f>
        <v>0</v>
      </c>
      <c r="N333" s="1880">
        <f>'11-A. IEC Sub-Annex'!O25</f>
        <v>0</v>
      </c>
      <c r="O333" s="939">
        <f>'11-A. IEC Sub-Annex'!P25</f>
        <v>0</v>
      </c>
      <c r="P333" s="1878">
        <f>'11-A. IEC Sub-Annex'!Q25</f>
        <v>0</v>
      </c>
      <c r="Q333" s="1912"/>
      <c r="R333" s="1880">
        <v>0</v>
      </c>
    </row>
    <row r="334" spans="1:20" s="828" customFormat="1" x14ac:dyDescent="0.2">
      <c r="A334" s="1875">
        <f>'12.Printing Annex'!A7</f>
        <v>12</v>
      </c>
      <c r="B334" s="1885"/>
      <c r="C334" s="1876" t="str">
        <f>'12.Printing Annex'!C7</f>
        <v>Printing</v>
      </c>
      <c r="D334" s="1877"/>
      <c r="E334" s="1877"/>
      <c r="F334" s="1877"/>
      <c r="G334" s="1877"/>
      <c r="H334" s="969"/>
      <c r="I334" s="1877"/>
      <c r="J334" s="969"/>
      <c r="K334" s="1877"/>
      <c r="L334" s="969"/>
      <c r="M334" s="969"/>
      <c r="N334" s="1886"/>
      <c r="O334" s="1887">
        <f>SUM(O335:O340)</f>
        <v>0</v>
      </c>
      <c r="P334" s="1888"/>
      <c r="Q334" s="1908"/>
      <c r="R334" s="1909">
        <f>SUM(R335:R340)</f>
        <v>0</v>
      </c>
      <c r="T334" s="3314"/>
    </row>
    <row r="335" spans="1:20" s="828" customFormat="1" x14ac:dyDescent="0.2">
      <c r="A335" s="4047" t="str">
        <f>'12.Printing Annex'!A12</f>
        <v>12.1.4</v>
      </c>
      <c r="B335" s="1878" t="str">
        <f>'12-A. Print Sub-Annex'!C34</f>
        <v>A.4.2.4</v>
      </c>
      <c r="C335" s="1879" t="str">
        <f>'12-A. Print Sub-Annex'!D34</f>
        <v xml:space="preserve">PE Kit and PE Diary  </v>
      </c>
      <c r="D335" s="1880" t="str">
        <f>'12-A. Print Sub-Annex'!E34</f>
        <v>RCH</v>
      </c>
      <c r="E335" s="1880" t="str">
        <f>'12-A. Print Sub-Annex'!F34</f>
        <v>AH</v>
      </c>
      <c r="F335" s="1880">
        <f>'12-A. Print Sub-Annex'!G34</f>
        <v>0</v>
      </c>
      <c r="G335" s="1880">
        <f>'12-A. Print Sub-Annex'!H34</f>
        <v>0</v>
      </c>
      <c r="H335" s="1880">
        <f>'12-A. Print Sub-Annex'!I34</f>
        <v>0</v>
      </c>
      <c r="I335" s="1880">
        <f>'12-A. Print Sub-Annex'!J34</f>
        <v>0</v>
      </c>
      <c r="J335" s="1880">
        <f>'12-A. Print Sub-Annex'!K34</f>
        <v>0</v>
      </c>
      <c r="K335" s="1880">
        <f>'12-A. Print Sub-Annex'!L34</f>
        <v>0</v>
      </c>
      <c r="L335" s="939">
        <f>'12-A. Print Sub-Annex'!M34</f>
        <v>0</v>
      </c>
      <c r="M335" s="1880">
        <f>'12-A. Print Sub-Annex'!N34</f>
        <v>0</v>
      </c>
      <c r="N335" s="1880">
        <f>'12-A. Print Sub-Annex'!O34</f>
        <v>0</v>
      </c>
      <c r="O335" s="939">
        <f>'12-A. Print Sub-Annex'!P34</f>
        <v>0</v>
      </c>
      <c r="P335" s="1878">
        <f>'12-A. Print Sub-Annex'!Q34</f>
        <v>0</v>
      </c>
      <c r="Q335" s="1912"/>
      <c r="R335" s="1880">
        <v>0</v>
      </c>
    </row>
    <row r="336" spans="1:20" s="828" customFormat="1" ht="30" x14ac:dyDescent="0.2">
      <c r="A336" s="4047"/>
      <c r="B336" s="1878" t="str">
        <f>'12-A. Print Sub-Annex'!C35</f>
        <v>B.10.7.2</v>
      </c>
      <c r="C336" s="1879" t="str">
        <f>'12-A. Print Sub-Annex'!D35</f>
        <v>Printing under WIFS -WIFS cards, WIFS registers, reporting  format etc</v>
      </c>
      <c r="D336" s="1880" t="str">
        <f>'12-A. Print Sub-Annex'!E35</f>
        <v>RCH</v>
      </c>
      <c r="E336" s="1880" t="str">
        <f>'12-A. Print Sub-Annex'!F35</f>
        <v>AH</v>
      </c>
      <c r="F336" s="1880">
        <f>'12-A. Print Sub-Annex'!G35</f>
        <v>0</v>
      </c>
      <c r="G336" s="1880">
        <f>'12-A. Print Sub-Annex'!H35</f>
        <v>0</v>
      </c>
      <c r="H336" s="1880">
        <f>'12-A. Print Sub-Annex'!I35</f>
        <v>0</v>
      </c>
      <c r="I336" s="1880">
        <f>'12-A. Print Sub-Annex'!J35</f>
        <v>0</v>
      </c>
      <c r="J336" s="1880">
        <f>'12-A. Print Sub-Annex'!K35</f>
        <v>0</v>
      </c>
      <c r="K336" s="1880">
        <f>'12-A. Print Sub-Annex'!L35</f>
        <v>0</v>
      </c>
      <c r="L336" s="939">
        <f>'12-A. Print Sub-Annex'!M35</f>
        <v>0</v>
      </c>
      <c r="M336" s="1880">
        <f>'12-A. Print Sub-Annex'!N35</f>
        <v>0</v>
      </c>
      <c r="N336" s="1880">
        <f>'12-A. Print Sub-Annex'!O35</f>
        <v>0</v>
      </c>
      <c r="O336" s="939">
        <f>'12-A. Print Sub-Annex'!P35</f>
        <v>0</v>
      </c>
      <c r="P336" s="1878">
        <f>'12-A. Print Sub-Annex'!Q35</f>
        <v>0</v>
      </c>
      <c r="Q336" s="1912"/>
      <c r="R336" s="1906"/>
      <c r="T336" s="3314"/>
    </row>
    <row r="337" spans="1:20" s="828" customFormat="1" ht="30" x14ac:dyDescent="0.2">
      <c r="A337" s="4047"/>
      <c r="B337" s="1878" t="str">
        <f>'12-A. Print Sub-Annex'!C36</f>
        <v>B.10.7.4.6</v>
      </c>
      <c r="C337" s="1879" t="str">
        <f>'12-A. Print Sub-Annex'!D36</f>
        <v>Printing for AFHC-AFHC Registers, reporting formats, AFHC cards etc</v>
      </c>
      <c r="D337" s="1880" t="str">
        <f>'12-A. Print Sub-Annex'!E36</f>
        <v>RCH</v>
      </c>
      <c r="E337" s="1880" t="str">
        <f>'12-A. Print Sub-Annex'!F36</f>
        <v>AH</v>
      </c>
      <c r="F337" s="1880">
        <f>'12-A. Print Sub-Annex'!G36</f>
        <v>0</v>
      </c>
      <c r="G337" s="1880">
        <f>'12-A. Print Sub-Annex'!H36</f>
        <v>0</v>
      </c>
      <c r="H337" s="1880">
        <f>'12-A. Print Sub-Annex'!I36</f>
        <v>0</v>
      </c>
      <c r="I337" s="1880">
        <f>'12-A. Print Sub-Annex'!J36</f>
        <v>0</v>
      </c>
      <c r="J337" s="1880">
        <f>'12-A. Print Sub-Annex'!K36</f>
        <v>0</v>
      </c>
      <c r="K337" s="1880">
        <f>'12-A. Print Sub-Annex'!L36</f>
        <v>0</v>
      </c>
      <c r="L337" s="939">
        <f>'12-A. Print Sub-Annex'!M36</f>
        <v>0</v>
      </c>
      <c r="M337" s="1880">
        <f>'12-A. Print Sub-Annex'!N36</f>
        <v>0</v>
      </c>
      <c r="N337" s="1880">
        <f>'12-A. Print Sub-Annex'!O36</f>
        <v>0</v>
      </c>
      <c r="O337" s="939">
        <f>'12-A. Print Sub-Annex'!P36</f>
        <v>0</v>
      </c>
      <c r="P337" s="1878">
        <f>'12-A. Print Sub-Annex'!Q36</f>
        <v>0</v>
      </c>
      <c r="Q337" s="1912"/>
      <c r="R337" s="1880">
        <v>0</v>
      </c>
    </row>
    <row r="338" spans="1:20" s="828" customFormat="1" ht="45" x14ac:dyDescent="0.2">
      <c r="A338" s="4047"/>
      <c r="B338" s="1878">
        <f>'12-A. Print Sub-Annex'!C37</f>
        <v>0</v>
      </c>
      <c r="C338" s="1879" t="str">
        <f>'12-A. Print Sub-Annex'!D37</f>
        <v xml:space="preserve">Printing of AFHS Training manuals for  MO,  ANM and Counsellor; ANM  training manual for PE training </v>
      </c>
      <c r="D338" s="1880" t="str">
        <f>'12-A. Print Sub-Annex'!E37</f>
        <v>RCH</v>
      </c>
      <c r="E338" s="1880" t="str">
        <f>'12-A. Print Sub-Annex'!F37</f>
        <v>AH</v>
      </c>
      <c r="F338" s="1880">
        <f>'12-A. Print Sub-Annex'!G37</f>
        <v>0</v>
      </c>
      <c r="G338" s="1880">
        <f>'12-A. Print Sub-Annex'!H37</f>
        <v>0</v>
      </c>
      <c r="H338" s="1880">
        <f>'12-A. Print Sub-Annex'!I37</f>
        <v>0</v>
      </c>
      <c r="I338" s="1880">
        <f>'12-A. Print Sub-Annex'!J37</f>
        <v>0</v>
      </c>
      <c r="J338" s="1880">
        <f>'12-A. Print Sub-Annex'!K37</f>
        <v>0</v>
      </c>
      <c r="K338" s="1880">
        <f>'12-A. Print Sub-Annex'!L37</f>
        <v>0</v>
      </c>
      <c r="L338" s="939">
        <f>'12-A. Print Sub-Annex'!M37</f>
        <v>0</v>
      </c>
      <c r="M338" s="1880">
        <f>'12-A. Print Sub-Annex'!N37</f>
        <v>0</v>
      </c>
      <c r="N338" s="1880">
        <f>'12-A. Print Sub-Annex'!O37</f>
        <v>0</v>
      </c>
      <c r="O338" s="939">
        <f>'12-A. Print Sub-Annex'!P37</f>
        <v>0</v>
      </c>
      <c r="P338" s="1878">
        <f>'12-A. Print Sub-Annex'!Q37</f>
        <v>0</v>
      </c>
      <c r="Q338" s="1912"/>
      <c r="R338" s="1880">
        <v>0</v>
      </c>
    </row>
    <row r="339" spans="1:20" s="828" customFormat="1" ht="30" x14ac:dyDescent="0.2">
      <c r="A339" s="4047"/>
      <c r="B339" s="1878">
        <f>'12-A. Print Sub-Annex'!C38</f>
        <v>0</v>
      </c>
      <c r="C339" s="1879" t="str">
        <f>'12-A. Print Sub-Annex'!D38</f>
        <v>Printing teachers training manual, training curriculum and facilitators guide</v>
      </c>
      <c r="D339" s="1880" t="str">
        <f>'12-A. Print Sub-Annex'!E38</f>
        <v>RCH</v>
      </c>
      <c r="E339" s="1880" t="str">
        <f>'12-A. Print Sub-Annex'!F38</f>
        <v>AH</v>
      </c>
      <c r="F339" s="1880">
        <f>'12-A. Print Sub-Annex'!G38</f>
        <v>0</v>
      </c>
      <c r="G339" s="1880">
        <f>'12-A. Print Sub-Annex'!H38</f>
        <v>0</v>
      </c>
      <c r="H339" s="1880">
        <f>'12-A. Print Sub-Annex'!I38</f>
        <v>0</v>
      </c>
      <c r="I339" s="1880">
        <f>'12-A. Print Sub-Annex'!J38</f>
        <v>0</v>
      </c>
      <c r="J339" s="1880">
        <f>'12-A. Print Sub-Annex'!K38</f>
        <v>0</v>
      </c>
      <c r="K339" s="1880">
        <f>'12-A. Print Sub-Annex'!L38</f>
        <v>0</v>
      </c>
      <c r="L339" s="939">
        <f>'12-A. Print Sub-Annex'!M38</f>
        <v>0</v>
      </c>
      <c r="M339" s="1880">
        <f>'12-A. Print Sub-Annex'!N38</f>
        <v>0</v>
      </c>
      <c r="N339" s="1880">
        <f>'12-A. Print Sub-Annex'!O38</f>
        <v>0</v>
      </c>
      <c r="O339" s="939">
        <f>'12-A. Print Sub-Annex'!P38</f>
        <v>0</v>
      </c>
      <c r="P339" s="1878">
        <f>'12-A. Print Sub-Annex'!Q38</f>
        <v>0</v>
      </c>
      <c r="Q339" s="1912"/>
      <c r="R339" s="1880">
        <v>0</v>
      </c>
    </row>
    <row r="340" spans="1:20" s="828" customFormat="1" x14ac:dyDescent="0.2">
      <c r="A340" s="4047"/>
      <c r="B340" s="1878">
        <f>'12-A. Print Sub-Annex'!C39</f>
        <v>0</v>
      </c>
      <c r="C340" s="1879" t="str">
        <f>'12-A. Print Sub-Annex'!D39</f>
        <v>Any other (please specify)</v>
      </c>
      <c r="D340" s="1880" t="str">
        <f>'12-A. Print Sub-Annex'!E39</f>
        <v>RCH</v>
      </c>
      <c r="E340" s="1880" t="str">
        <f>'12-A. Print Sub-Annex'!F39</f>
        <v>AH</v>
      </c>
      <c r="F340" s="1880">
        <f>'12-A. Print Sub-Annex'!G39</f>
        <v>0</v>
      </c>
      <c r="G340" s="1880">
        <f>'12-A. Print Sub-Annex'!H39</f>
        <v>0</v>
      </c>
      <c r="H340" s="1880">
        <f>'12-A. Print Sub-Annex'!I39</f>
        <v>0</v>
      </c>
      <c r="I340" s="1880">
        <f>'12-A. Print Sub-Annex'!J39</f>
        <v>0</v>
      </c>
      <c r="J340" s="1880">
        <f>'12-A. Print Sub-Annex'!K39</f>
        <v>0</v>
      </c>
      <c r="K340" s="1880">
        <f>'12-A. Print Sub-Annex'!L39</f>
        <v>0</v>
      </c>
      <c r="L340" s="939">
        <f>'12-A. Print Sub-Annex'!M39</f>
        <v>0</v>
      </c>
      <c r="M340" s="1880">
        <f>'12-A. Print Sub-Annex'!N39</f>
        <v>0</v>
      </c>
      <c r="N340" s="1880">
        <f>'12-A. Print Sub-Annex'!O39</f>
        <v>0</v>
      </c>
      <c r="O340" s="939">
        <f>'12-A. Print Sub-Annex'!P39</f>
        <v>0</v>
      </c>
      <c r="P340" s="1878">
        <f>'12-A. Print Sub-Annex'!Q39</f>
        <v>0</v>
      </c>
      <c r="Q340" s="1912"/>
      <c r="R340" s="1880">
        <v>0</v>
      </c>
    </row>
    <row r="341" spans="1:20" s="828" customFormat="1" x14ac:dyDescent="0.2">
      <c r="A341" s="1869" t="s">
        <v>4364</v>
      </c>
      <c r="B341" s="1869"/>
      <c r="C341" s="1870" t="s">
        <v>96</v>
      </c>
      <c r="D341" s="1871"/>
      <c r="E341" s="1871"/>
      <c r="F341" s="1871"/>
      <c r="G341" s="1871"/>
      <c r="H341" s="1872"/>
      <c r="I341" s="1871"/>
      <c r="J341" s="1872"/>
      <c r="K341" s="1871"/>
      <c r="L341" s="1872"/>
      <c r="M341" s="1872"/>
      <c r="N341" s="1895"/>
      <c r="O341" s="1896">
        <f>O342+O348+O354+O362+O364+O370+O351</f>
        <v>241.5</v>
      </c>
      <c r="P341" s="1897"/>
      <c r="Q341" s="1910"/>
      <c r="R341" s="1911">
        <f>R342+R348+R354+R362+R364+R370+R351</f>
        <v>0</v>
      </c>
      <c r="T341" s="3314"/>
    </row>
    <row r="342" spans="1:20" s="858" customFormat="1" x14ac:dyDescent="0.2">
      <c r="A342" s="1875">
        <f>'1.SD Facility Based Annex'!A7</f>
        <v>1</v>
      </c>
      <c r="B342" s="1875">
        <f>'1.SD Facility Based Annex'!B7</f>
        <v>0</v>
      </c>
      <c r="C342" s="1876" t="str">
        <f>'1.SD Facility Based Annex'!C7</f>
        <v>Service Delivery - Facility Based</v>
      </c>
      <c r="D342" s="1877"/>
      <c r="E342" s="1877"/>
      <c r="F342" s="1877"/>
      <c r="G342" s="1877"/>
      <c r="H342" s="1877"/>
      <c r="I342" s="1877"/>
      <c r="J342" s="1877"/>
      <c r="K342" s="1877"/>
      <c r="L342" s="969"/>
      <c r="M342" s="1877"/>
      <c r="N342" s="1877"/>
      <c r="O342" s="969">
        <f>SUM(O343:O347)</f>
        <v>0</v>
      </c>
      <c r="P342" s="1875"/>
      <c r="Q342" s="678"/>
      <c r="R342" s="132">
        <f>SUM(R343:R347)</f>
        <v>0</v>
      </c>
      <c r="T342" s="3316"/>
    </row>
    <row r="343" spans="1:20" s="828" customFormat="1" ht="60" x14ac:dyDescent="0.2">
      <c r="A343" s="1878" t="str">
        <f>'1.SD Facility Based Annex'!A17</f>
        <v>1.1.2.1</v>
      </c>
      <c r="B343" s="1878" t="str">
        <f>'1.SD Facility Based Annex'!B17</f>
        <v>A.5.1.5</v>
      </c>
      <c r="C343" s="1879" t="str">
        <f>'1.SD Facility Based Annex'!C17</f>
        <v>New born screening-  Inborn error of metabolism (please give details per unit cost of screening, number of children to be screened and the delivery points Add details)</v>
      </c>
      <c r="D343" s="1880" t="str">
        <f>'1.SD Facility Based Annex'!D17</f>
        <v>RCH</v>
      </c>
      <c r="E343" s="1880" t="str">
        <f>'1.SD Facility Based Annex'!E17</f>
        <v>RBSK</v>
      </c>
      <c r="F343" s="1880">
        <f>'1.SD Facility Based Annex'!F17</f>
        <v>0</v>
      </c>
      <c r="G343" s="1880">
        <f>'1.SD Facility Based Annex'!G17</f>
        <v>0</v>
      </c>
      <c r="H343" s="1880">
        <f>'1.SD Facility Based Annex'!H17</f>
        <v>0</v>
      </c>
      <c r="I343" s="1880">
        <f>'1.SD Facility Based Annex'!I17</f>
        <v>0</v>
      </c>
      <c r="J343" s="1880">
        <f>'1.SD Facility Based Annex'!J17</f>
        <v>0</v>
      </c>
      <c r="K343" s="1880">
        <f>'1.SD Facility Based Annex'!K17</f>
        <v>0</v>
      </c>
      <c r="L343" s="939">
        <f>'1.SD Facility Based Annex'!L17</f>
        <v>0</v>
      </c>
      <c r="M343" s="1880">
        <f>'1.SD Facility Based Annex'!M17</f>
        <v>0</v>
      </c>
      <c r="N343" s="1880">
        <f>'1.SD Facility Based Annex'!N17</f>
        <v>0</v>
      </c>
      <c r="O343" s="939">
        <f>'1.SD Facility Based Annex'!O17</f>
        <v>0</v>
      </c>
      <c r="P343" s="1878">
        <f>'1.SD Facility Based Annex'!P17</f>
        <v>0</v>
      </c>
      <c r="Q343" s="124"/>
      <c r="R343" s="1880">
        <v>0</v>
      </c>
    </row>
    <row r="344" spans="1:20" s="828" customFormat="1" ht="90" x14ac:dyDescent="0.2">
      <c r="A344" s="1878" t="str">
        <f>'1.SD Facility Based Annex'!A18</f>
        <v>1.1.2.2</v>
      </c>
      <c r="B344" s="1878" t="str">
        <f>'1.SD Facility Based Annex'!B18</f>
        <v>A.5.1.6</v>
      </c>
      <c r="C344" s="1879" t="str">
        <f>'1.SD Facility Based Annex'!C18</f>
        <v>New born screening as per  RBSK Comprehensive New-born Screening: Handbook for screening visible birth defects at all delivery points (please give details per unit cost , number of deliveries to be screened and the delivery points Add details)</v>
      </c>
      <c r="D344" s="1880" t="str">
        <f>'1.SD Facility Based Annex'!D18</f>
        <v>RCH</v>
      </c>
      <c r="E344" s="1880" t="str">
        <f>'1.SD Facility Based Annex'!E18</f>
        <v>RBSK</v>
      </c>
      <c r="F344" s="1880">
        <f>'1.SD Facility Based Annex'!F18</f>
        <v>0</v>
      </c>
      <c r="G344" s="1880">
        <f>'1.SD Facility Based Annex'!G18</f>
        <v>0</v>
      </c>
      <c r="H344" s="1880">
        <f>'1.SD Facility Based Annex'!H18</f>
        <v>0</v>
      </c>
      <c r="I344" s="1880">
        <f>'1.SD Facility Based Annex'!I18</f>
        <v>0</v>
      </c>
      <c r="J344" s="1880">
        <f>'1.SD Facility Based Annex'!J18</f>
        <v>0</v>
      </c>
      <c r="K344" s="1880">
        <f>'1.SD Facility Based Annex'!K18</f>
        <v>0</v>
      </c>
      <c r="L344" s="939">
        <f>'1.SD Facility Based Annex'!L18</f>
        <v>0</v>
      </c>
      <c r="M344" s="1880">
        <f>'1.SD Facility Based Annex'!M18</f>
        <v>0</v>
      </c>
      <c r="N344" s="1880">
        <f>'1.SD Facility Based Annex'!N18</f>
        <v>0</v>
      </c>
      <c r="O344" s="939">
        <f>'1.SD Facility Based Annex'!O18</f>
        <v>0</v>
      </c>
      <c r="P344" s="1878">
        <f>'1.SD Facility Based Annex'!P18</f>
        <v>0</v>
      </c>
      <c r="Q344" s="124"/>
      <c r="R344" s="1880"/>
    </row>
    <row r="345" spans="1:20" s="828" customFormat="1" ht="247.5" customHeight="1" x14ac:dyDescent="0.2">
      <c r="A345" s="1878" t="str">
        <f>'1.SD Facility Based Annex'!A19</f>
        <v>1.1.2.3</v>
      </c>
      <c r="B345" s="1878" t="str">
        <f>'1.SD Facility Based Annex'!B19</f>
        <v>A.5.2</v>
      </c>
      <c r="C345" s="1879" t="str">
        <f>'1.SD Facility Based Annex'!C19</f>
        <v>Referral Support for Secondary/ Tertiary care (pl give unit cost and unit of measure as per RBSK guidelines) - RBSK</v>
      </c>
      <c r="D345" s="1880" t="str">
        <f>'1.SD Facility Based Annex'!D19</f>
        <v>RCH</v>
      </c>
      <c r="E345" s="1880" t="str">
        <f>'1.SD Facility Based Annex'!E19</f>
        <v>RBSK</v>
      </c>
      <c r="F345" s="1880">
        <f>'1.SD Facility Based Annex'!F19</f>
        <v>0</v>
      </c>
      <c r="G345" s="1880">
        <f>'1.SD Facility Based Annex'!G19</f>
        <v>0</v>
      </c>
      <c r="H345" s="1880">
        <f>'1.SD Facility Based Annex'!H19</f>
        <v>0</v>
      </c>
      <c r="I345" s="1880">
        <f>'1.SD Facility Based Annex'!I19</f>
        <v>0</v>
      </c>
      <c r="J345" s="1880">
        <f>'1.SD Facility Based Annex'!J19</f>
        <v>0</v>
      </c>
      <c r="K345" s="1880">
        <f>'1.SD Facility Based Annex'!K19</f>
        <v>0</v>
      </c>
      <c r="L345" s="939">
        <f>'1.SD Facility Based Annex'!L19</f>
        <v>0</v>
      </c>
      <c r="M345" s="1880">
        <f>'1.SD Facility Based Annex'!M19</f>
        <v>0</v>
      </c>
      <c r="N345" s="1880">
        <f>'1.SD Facility Based Annex'!N19</f>
        <v>0</v>
      </c>
      <c r="O345" s="939">
        <f>'1.SD Facility Based Annex'!O19</f>
        <v>0</v>
      </c>
      <c r="P345" s="1878">
        <f>'1.SD Facility Based Annex'!P19</f>
        <v>0</v>
      </c>
      <c r="Q345" s="2804"/>
      <c r="R345" s="1906"/>
      <c r="T345" s="3314"/>
    </row>
    <row r="346" spans="1:20" s="828" customFormat="1" x14ac:dyDescent="0.2">
      <c r="A346" s="1878" t="str">
        <f>'1.SD Facility Based Annex'!A20</f>
        <v>1.1.2.4</v>
      </c>
      <c r="B346" s="1878">
        <f>'1.SD Facility Based Annex'!B20</f>
        <v>0</v>
      </c>
      <c r="C346" s="1879" t="str">
        <f>'1.SD Facility Based Annex'!C20</f>
        <v>Any other (please specify)</v>
      </c>
      <c r="D346" s="1880" t="str">
        <f>'1.SD Facility Based Annex'!D20</f>
        <v>RCH</v>
      </c>
      <c r="E346" s="1880" t="str">
        <f>'1.SD Facility Based Annex'!E20</f>
        <v>RBSK</v>
      </c>
      <c r="F346" s="1880">
        <f>'1.SD Facility Based Annex'!F20</f>
        <v>0</v>
      </c>
      <c r="G346" s="1880">
        <f>'1.SD Facility Based Annex'!G20</f>
        <v>0</v>
      </c>
      <c r="H346" s="1880">
        <f>'1.SD Facility Based Annex'!H20</f>
        <v>0</v>
      </c>
      <c r="I346" s="1880">
        <f>'1.SD Facility Based Annex'!I20</f>
        <v>0</v>
      </c>
      <c r="J346" s="1880">
        <f>'1.SD Facility Based Annex'!J20</f>
        <v>0</v>
      </c>
      <c r="K346" s="1880">
        <f>'1.SD Facility Based Annex'!K20</f>
        <v>0</v>
      </c>
      <c r="L346" s="939">
        <f>'1.SD Facility Based Annex'!L20</f>
        <v>0</v>
      </c>
      <c r="M346" s="1880">
        <f>'1.SD Facility Based Annex'!M20</f>
        <v>0</v>
      </c>
      <c r="N346" s="1880">
        <f>'1.SD Facility Based Annex'!N20</f>
        <v>0</v>
      </c>
      <c r="O346" s="939">
        <f>'1.SD Facility Based Annex'!O20</f>
        <v>0</v>
      </c>
      <c r="P346" s="1878">
        <f>'1.SD Facility Based Annex'!P20</f>
        <v>0</v>
      </c>
      <c r="Q346" s="124"/>
      <c r="R346" s="1880">
        <v>0</v>
      </c>
    </row>
    <row r="347" spans="1:20" s="828" customFormat="1" ht="30" x14ac:dyDescent="0.2">
      <c r="A347" s="1878" t="str">
        <f>'1.SD Facility Based Annex'!A91</f>
        <v>1.3.1.7</v>
      </c>
      <c r="B347" s="1878" t="str">
        <f>'1.SD Facility Based Annex'!B91</f>
        <v>A.5.1.4/ B16.1.6.3.5</v>
      </c>
      <c r="C347" s="1879" t="str">
        <f>'1.SD Facility Based Annex'!C91</f>
        <v>DEIC (including Data card internet connection for laptops and rental)</v>
      </c>
      <c r="D347" s="1880" t="str">
        <f>'1.SD Facility Based Annex'!D91</f>
        <v>RCH</v>
      </c>
      <c r="E347" s="1880" t="str">
        <f>'1.SD Facility Based Annex'!E91</f>
        <v>RBSK</v>
      </c>
      <c r="F347" s="1880">
        <f>'1.SD Facility Based Annex'!F91</f>
        <v>0</v>
      </c>
      <c r="G347" s="1880">
        <f>'1.SD Facility Based Annex'!G91</f>
        <v>0</v>
      </c>
      <c r="H347" s="1880">
        <f>'1.SD Facility Based Annex'!H91</f>
        <v>0</v>
      </c>
      <c r="I347" s="1880">
        <f>'1.SD Facility Based Annex'!I91</f>
        <v>0</v>
      </c>
      <c r="J347" s="1880">
        <f>'1.SD Facility Based Annex'!J91</f>
        <v>0</v>
      </c>
      <c r="K347" s="1880">
        <f>'1.SD Facility Based Annex'!K91</f>
        <v>0</v>
      </c>
      <c r="L347" s="939">
        <f>'1.SD Facility Based Annex'!L91</f>
        <v>0</v>
      </c>
      <c r="M347" s="1880">
        <f>'1.SD Facility Based Annex'!M91</f>
        <v>0</v>
      </c>
      <c r="N347" s="1880">
        <f>'1.SD Facility Based Annex'!N91</f>
        <v>0</v>
      </c>
      <c r="O347" s="939">
        <f>'1.SD Facility Based Annex'!O91</f>
        <v>0</v>
      </c>
      <c r="P347" s="1878">
        <f>'1.SD Facility Based Annex'!P91</f>
        <v>0</v>
      </c>
      <c r="Q347" s="124"/>
      <c r="R347" s="1906"/>
      <c r="T347" s="3314"/>
    </row>
    <row r="348" spans="1:20" s="828" customFormat="1" x14ac:dyDescent="0.2">
      <c r="A348" s="1875">
        <f>'2.SD Community Based Annex'!A7</f>
        <v>2</v>
      </c>
      <c r="B348" s="1875">
        <f>'2.SD Community Based Annex'!B7</f>
        <v>0</v>
      </c>
      <c r="C348" s="1876" t="str">
        <f>'2.SD Community Based Annex'!C7</f>
        <v>Service Delivery - Community Based</v>
      </c>
      <c r="D348" s="947"/>
      <c r="E348" s="947"/>
      <c r="F348" s="947"/>
      <c r="G348" s="947"/>
      <c r="H348" s="947"/>
      <c r="I348" s="947"/>
      <c r="J348" s="947"/>
      <c r="K348" s="947"/>
      <c r="L348" s="1887"/>
      <c r="M348" s="947"/>
      <c r="N348" s="947"/>
      <c r="O348" s="969">
        <f>SUM(O349:O350)</f>
        <v>241.5</v>
      </c>
      <c r="P348" s="1875"/>
      <c r="Q348" s="678"/>
      <c r="R348" s="132">
        <f>SUM(R349:R350)</f>
        <v>0</v>
      </c>
      <c r="T348" s="3314"/>
    </row>
    <row r="349" spans="1:20" s="828" customFormat="1" ht="90" x14ac:dyDescent="0.2">
      <c r="A349" s="1878" t="str">
        <f>'2.SD Community Based Annex'!A22</f>
        <v>2.2.3</v>
      </c>
      <c r="B349" s="1878" t="str">
        <f>'2.SD Community Based Annex'!B22</f>
        <v>A.5.1.3</v>
      </c>
      <c r="C349" s="1879" t="str">
        <f>'2.SD Community Based Annex'!C22</f>
        <v>Mobility support  for RBSK Mobile health team</v>
      </c>
      <c r="D349" s="1880" t="str">
        <f>'2.SD Community Based Annex'!D22</f>
        <v>RCH</v>
      </c>
      <c r="E349" s="1880" t="str">
        <f>'2.SD Community Based Annex'!E22</f>
        <v>RBSK</v>
      </c>
      <c r="F349" s="1880">
        <f>'2.SD Community Based Annex'!F22</f>
        <v>0</v>
      </c>
      <c r="G349" s="1880">
        <f>'2.SD Community Based Annex'!G22</f>
        <v>0</v>
      </c>
      <c r="H349" s="1880">
        <f>'2.SD Community Based Annex'!H22</f>
        <v>0</v>
      </c>
      <c r="I349" s="1880">
        <f>'2.SD Community Based Annex'!I22</f>
        <v>0</v>
      </c>
      <c r="J349" s="1880">
        <f>'2.SD Community Based Annex'!J22</f>
        <v>0</v>
      </c>
      <c r="K349" s="1880" t="str">
        <f>'2.SD Community Based Annex'!K22</f>
        <v>Cost per vehicle</v>
      </c>
      <c r="L349" s="939">
        <f>'2.SD Community Based Annex'!L22</f>
        <v>30000</v>
      </c>
      <c r="M349" s="1880">
        <f>'2.SD Community Based Annex'!M22</f>
        <v>0.3</v>
      </c>
      <c r="N349" s="1880">
        <f>'2.SD Community Based Annex'!N22</f>
        <v>805</v>
      </c>
      <c r="O349" s="939">
        <f>'2.SD Community Based Annex'!O22</f>
        <v>241.5</v>
      </c>
      <c r="P349" s="1878" t="str">
        <f>'2.SD Community Based Annex'!P22</f>
        <v xml:space="preserve">Ongoing activity.
Proposed to increase the operational expenses of the 805 RBSK Mobile Health Teams from Rs 30000/month to Rs. 40000/month. Now proposed for Rs. 10,000 balance amount for 3 months. </v>
      </c>
      <c r="Q349" s="124"/>
      <c r="R349" s="1907"/>
      <c r="T349" s="3314"/>
    </row>
    <row r="350" spans="1:20" s="828" customFormat="1" ht="66.75" customHeight="1" x14ac:dyDescent="0.2">
      <c r="A350" s="1878" t="str">
        <f>'2.SD Community Based Annex'!A23</f>
        <v>2.2.4</v>
      </c>
      <c r="B350" s="1878" t="str">
        <f>'2.SD Community Based Annex'!B23</f>
        <v>B16.1.6.3.6</v>
      </c>
      <c r="C350" s="1879" t="str">
        <f>'2.SD Community Based Annex'!C23</f>
        <v>Support for RBSK: CUG connection per team and rental</v>
      </c>
      <c r="D350" s="1880" t="str">
        <f>'2.SD Community Based Annex'!D23</f>
        <v>RCH</v>
      </c>
      <c r="E350" s="1880" t="str">
        <f>'2.SD Community Based Annex'!E23</f>
        <v>RBSK</v>
      </c>
      <c r="F350" s="1880">
        <f>'2.SD Community Based Annex'!F23</f>
        <v>0</v>
      </c>
      <c r="G350" s="1880">
        <f>'2.SD Community Based Annex'!G23</f>
        <v>0</v>
      </c>
      <c r="H350" s="1880">
        <f>'2.SD Community Based Annex'!H23</f>
        <v>0</v>
      </c>
      <c r="I350" s="1880">
        <f>'2.SD Community Based Annex'!I23</f>
        <v>0</v>
      </c>
      <c r="J350" s="1880">
        <f>'2.SD Community Based Annex'!J23</f>
        <v>0</v>
      </c>
      <c r="K350" s="1880">
        <f>'2.SD Community Based Annex'!K23</f>
        <v>0</v>
      </c>
      <c r="L350" s="939">
        <f>'2.SD Community Based Annex'!L23</f>
        <v>0</v>
      </c>
      <c r="M350" s="1880">
        <f>'2.SD Community Based Annex'!M23</f>
        <v>0</v>
      </c>
      <c r="N350" s="1880">
        <f>'2.SD Community Based Annex'!N23</f>
        <v>0</v>
      </c>
      <c r="O350" s="939">
        <f>'2.SD Community Based Annex'!O23</f>
        <v>0</v>
      </c>
      <c r="P350" s="1878">
        <f>'2.SD Community Based Annex'!P23</f>
        <v>0</v>
      </c>
      <c r="Q350" s="124"/>
      <c r="R350" s="1907"/>
      <c r="T350" s="3314"/>
    </row>
    <row r="351" spans="1:20" s="828" customFormat="1" x14ac:dyDescent="0.2">
      <c r="A351" s="1875">
        <f>'5.Infrastructure Annex'!A7</f>
        <v>5</v>
      </c>
      <c r="B351" s="1875"/>
      <c r="C351" s="1875" t="str">
        <f>'5.Infrastructure Annex'!C7</f>
        <v>Infrastructure</v>
      </c>
      <c r="D351" s="947"/>
      <c r="E351" s="947"/>
      <c r="F351" s="947"/>
      <c r="G351" s="947"/>
      <c r="H351" s="947"/>
      <c r="I351" s="947"/>
      <c r="J351" s="947"/>
      <c r="K351" s="947"/>
      <c r="L351" s="1887"/>
      <c r="M351" s="947"/>
      <c r="N351" s="947"/>
      <c r="O351" s="969">
        <f>SUM(O352:O353)</f>
        <v>0</v>
      </c>
      <c r="P351" s="1875"/>
      <c r="Q351" s="678"/>
      <c r="R351" s="132">
        <f>SUM(R352:R353)</f>
        <v>0</v>
      </c>
      <c r="T351" s="3314"/>
    </row>
    <row r="352" spans="1:20" s="828" customFormat="1" ht="216" customHeight="1" x14ac:dyDescent="0.2">
      <c r="A352" s="1878" t="str">
        <f>'5.Infrastructure Annex'!A64</f>
        <v>5.2.1.8</v>
      </c>
      <c r="B352" s="1878" t="str">
        <f>'5.Infrastructure Annex'!B64</f>
        <v>B5.13.1</v>
      </c>
      <c r="C352" s="1878" t="str">
        <f>'5.Infrastructure Annex'!C64</f>
        <v>New construction: DEIC (RBSK)</v>
      </c>
      <c r="D352" s="1880" t="str">
        <f>'5.Infrastructure Annex'!D64</f>
        <v>HSS</v>
      </c>
      <c r="E352" s="1880" t="str">
        <f>'5.Infrastructure Annex'!E64</f>
        <v>RBSK</v>
      </c>
      <c r="F352" s="1880">
        <f>'5.Infrastructure Annex'!F64</f>
        <v>0</v>
      </c>
      <c r="G352" s="1880">
        <f>'5.Infrastructure Annex'!G64</f>
        <v>0</v>
      </c>
      <c r="H352" s="1880">
        <f>'5.Infrastructure Annex'!H64</f>
        <v>0</v>
      </c>
      <c r="I352" s="1880">
        <f>'5.Infrastructure Annex'!I64</f>
        <v>0</v>
      </c>
      <c r="J352" s="1880">
        <f>'5.Infrastructure Annex'!J64</f>
        <v>0</v>
      </c>
      <c r="K352" s="1880">
        <f>'5.Infrastructure Annex'!K64</f>
        <v>0</v>
      </c>
      <c r="L352" s="939">
        <f>'5.Infrastructure Annex'!L64</f>
        <v>0</v>
      </c>
      <c r="M352" s="1880">
        <f>'5.Infrastructure Annex'!M64</f>
        <v>0</v>
      </c>
      <c r="N352" s="1880">
        <f>'5.Infrastructure Annex'!N64</f>
        <v>0</v>
      </c>
      <c r="O352" s="939">
        <f>'5.Infrastructure Annex'!O64</f>
        <v>0</v>
      </c>
      <c r="P352" s="1878">
        <f>'5.Infrastructure Annex'!P64</f>
        <v>0</v>
      </c>
      <c r="Q352" s="1912"/>
      <c r="R352" s="1906"/>
      <c r="T352" s="3314"/>
    </row>
    <row r="353" spans="1:20" s="828" customFormat="1" x14ac:dyDescent="0.2">
      <c r="A353" s="1878" t="str">
        <f>'5.Infrastructure Annex'!A78</f>
        <v>5.2.2.7</v>
      </c>
      <c r="B353" s="1878" t="str">
        <f>'5.Infrastructure Annex'!B78</f>
        <v>B.5.13.2</v>
      </c>
      <c r="C353" s="1878" t="str">
        <f>'5.Infrastructure Annex'!C78</f>
        <v>Carry forward: DEIC (RBSK)</v>
      </c>
      <c r="D353" s="1880" t="str">
        <f>'5.Infrastructure Annex'!D78</f>
        <v>HSS</v>
      </c>
      <c r="E353" s="1880" t="str">
        <f>'5.Infrastructure Annex'!E78</f>
        <v>RBSK</v>
      </c>
      <c r="F353" s="1880">
        <f>'5.Infrastructure Annex'!F78</f>
        <v>0</v>
      </c>
      <c r="G353" s="1880">
        <f>'5.Infrastructure Annex'!G78</f>
        <v>0</v>
      </c>
      <c r="H353" s="1880">
        <f>'5.Infrastructure Annex'!H78</f>
        <v>0</v>
      </c>
      <c r="I353" s="1880">
        <f>'5.Infrastructure Annex'!I78</f>
        <v>0</v>
      </c>
      <c r="J353" s="1880">
        <f>'5.Infrastructure Annex'!J78</f>
        <v>0</v>
      </c>
      <c r="K353" s="1880">
        <f>'5.Infrastructure Annex'!K78</f>
        <v>0</v>
      </c>
      <c r="L353" s="939">
        <f>'5.Infrastructure Annex'!L78</f>
        <v>0</v>
      </c>
      <c r="M353" s="1880">
        <f>'5.Infrastructure Annex'!M78</f>
        <v>0</v>
      </c>
      <c r="N353" s="1880">
        <f>'5.Infrastructure Annex'!N78</f>
        <v>0</v>
      </c>
      <c r="O353" s="939">
        <f>'5.Infrastructure Annex'!O78</f>
        <v>0</v>
      </c>
      <c r="P353" s="1878">
        <f>'5.Infrastructure Annex'!P78</f>
        <v>0</v>
      </c>
      <c r="Q353" s="1912"/>
      <c r="R353" s="1880">
        <v>0</v>
      </c>
    </row>
    <row r="354" spans="1:20" s="828" customFormat="1" x14ac:dyDescent="0.2">
      <c r="A354" s="1875">
        <f>'6.Procurement Annex'!A7</f>
        <v>6</v>
      </c>
      <c r="B354" s="1875"/>
      <c r="C354" s="1876" t="str">
        <f>'6.Procurement Annex'!C7</f>
        <v>Procurement</v>
      </c>
      <c r="D354" s="1877"/>
      <c r="E354" s="1877"/>
      <c r="F354" s="1877"/>
      <c r="G354" s="1877"/>
      <c r="H354" s="1877"/>
      <c r="I354" s="1877"/>
      <c r="J354" s="1877"/>
      <c r="K354" s="1877"/>
      <c r="L354" s="969"/>
      <c r="M354" s="1877"/>
      <c r="N354" s="1877"/>
      <c r="O354" s="969">
        <f>SUM(O355:O361)</f>
        <v>0</v>
      </c>
      <c r="P354" s="1875"/>
      <c r="Q354" s="678"/>
      <c r="R354" s="132">
        <f>SUM(R355:R361)</f>
        <v>0</v>
      </c>
      <c r="T354" s="3314"/>
    </row>
    <row r="355" spans="1:20" s="828" customFormat="1" x14ac:dyDescent="0.2">
      <c r="A355" s="4047" t="str">
        <f>'6.Procurement Annex'!A14</f>
        <v>6.1.1.5</v>
      </c>
      <c r="B355" s="1878" t="str">
        <f>'6-A. Proc. Sub-Annex'!C30</f>
        <v>B16.1.6.3.1</v>
      </c>
      <c r="C355" s="1879" t="str">
        <f>'6-A. Proc. Sub-Annex'!D30</f>
        <v xml:space="preserve">Equipment for Mobile health teams </v>
      </c>
      <c r="D355" s="1880" t="str">
        <f>'6-A. Proc. Sub-Annex'!E30</f>
        <v>RCH</v>
      </c>
      <c r="E355" s="1880" t="str">
        <f>'6-A. Proc. Sub-Annex'!F30</f>
        <v>RBSK</v>
      </c>
      <c r="F355" s="1880">
        <f>'6-A. Proc. Sub-Annex'!G30</f>
        <v>0</v>
      </c>
      <c r="G355" s="1880">
        <f>'6-A. Proc. Sub-Annex'!H30</f>
        <v>0</v>
      </c>
      <c r="H355" s="1880">
        <f>'6-A. Proc. Sub-Annex'!I30</f>
        <v>0</v>
      </c>
      <c r="I355" s="1880">
        <f>'6-A. Proc. Sub-Annex'!J30</f>
        <v>0</v>
      </c>
      <c r="J355" s="1880">
        <f>'6-A. Proc. Sub-Annex'!K30</f>
        <v>0</v>
      </c>
      <c r="K355" s="1880">
        <f>'6-A. Proc. Sub-Annex'!L30</f>
        <v>0</v>
      </c>
      <c r="L355" s="939">
        <f>'6-A. Proc. Sub-Annex'!M30</f>
        <v>0</v>
      </c>
      <c r="M355" s="1880">
        <f>'6-A. Proc. Sub-Annex'!N30</f>
        <v>0</v>
      </c>
      <c r="N355" s="1880">
        <f>'6-A. Proc. Sub-Annex'!O30</f>
        <v>0</v>
      </c>
      <c r="O355" s="939">
        <f>'6-A. Proc. Sub-Annex'!P30</f>
        <v>0</v>
      </c>
      <c r="P355" s="1878">
        <f>'6-A. Proc. Sub-Annex'!Q30</f>
        <v>0</v>
      </c>
      <c r="Q355" s="2804"/>
      <c r="R355" s="1906"/>
      <c r="T355" s="3314"/>
    </row>
    <row r="356" spans="1:20" s="828" customFormat="1" x14ac:dyDescent="0.2">
      <c r="A356" s="4047"/>
      <c r="B356" s="1878" t="str">
        <f>'6-A. Proc. Sub-Annex'!C31</f>
        <v>B16.1.6.3.2</v>
      </c>
      <c r="C356" s="1879" t="str">
        <f>'6-A. Proc. Sub-Annex'!D31</f>
        <v xml:space="preserve">Equipment for DEIC </v>
      </c>
      <c r="D356" s="1880" t="str">
        <f>'6-A. Proc. Sub-Annex'!E31</f>
        <v>RCH</v>
      </c>
      <c r="E356" s="1880" t="str">
        <f>'6-A. Proc. Sub-Annex'!F31</f>
        <v>RBSK</v>
      </c>
      <c r="F356" s="1880">
        <f>'6-A. Proc. Sub-Annex'!G31</f>
        <v>0</v>
      </c>
      <c r="G356" s="1880">
        <f>'6-A. Proc. Sub-Annex'!H31</f>
        <v>0</v>
      </c>
      <c r="H356" s="1880">
        <f>'6-A. Proc. Sub-Annex'!I31</f>
        <v>0</v>
      </c>
      <c r="I356" s="1880">
        <f>'6-A. Proc. Sub-Annex'!J31</f>
        <v>0</v>
      </c>
      <c r="J356" s="1880">
        <f>'6-A. Proc. Sub-Annex'!K31</f>
        <v>0</v>
      </c>
      <c r="K356" s="1880">
        <f>'6-A. Proc. Sub-Annex'!L31</f>
        <v>0</v>
      </c>
      <c r="L356" s="939">
        <f>'6-A. Proc. Sub-Annex'!M31</f>
        <v>0</v>
      </c>
      <c r="M356" s="1880">
        <f>'6-A. Proc. Sub-Annex'!N31</f>
        <v>0</v>
      </c>
      <c r="N356" s="1880">
        <f>'6-A. Proc. Sub-Annex'!O31</f>
        <v>0</v>
      </c>
      <c r="O356" s="939">
        <f>'6-A. Proc. Sub-Annex'!P31</f>
        <v>0</v>
      </c>
      <c r="P356" s="1878">
        <f>'6-A. Proc. Sub-Annex'!Q31</f>
        <v>0</v>
      </c>
      <c r="Q356" s="3332"/>
      <c r="R356" s="3326"/>
      <c r="T356" s="3314"/>
    </row>
    <row r="357" spans="1:20" s="828" customFormat="1" x14ac:dyDescent="0.2">
      <c r="A357" s="4047"/>
      <c r="B357" s="1878" t="str">
        <f>'6-A. Proc. Sub-Annex'!C32</f>
        <v>B16.1.6.3.3</v>
      </c>
      <c r="C357" s="1879" t="str">
        <f>'6-A. Proc. Sub-Annex'!D32</f>
        <v>Laptop for mobile health teams</v>
      </c>
      <c r="D357" s="1880" t="str">
        <f>'6-A. Proc. Sub-Annex'!E32</f>
        <v>RCH</v>
      </c>
      <c r="E357" s="1880" t="str">
        <f>'6-A. Proc. Sub-Annex'!F32</f>
        <v>RBSK</v>
      </c>
      <c r="F357" s="1880">
        <f>'6-A. Proc. Sub-Annex'!G32</f>
        <v>0</v>
      </c>
      <c r="G357" s="1880">
        <f>'6-A. Proc. Sub-Annex'!H32</f>
        <v>0</v>
      </c>
      <c r="H357" s="1880">
        <f>'6-A. Proc. Sub-Annex'!I32</f>
        <v>0</v>
      </c>
      <c r="I357" s="1880">
        <f>'6-A. Proc. Sub-Annex'!J32</f>
        <v>0</v>
      </c>
      <c r="J357" s="1880">
        <f>'6-A. Proc. Sub-Annex'!K32</f>
        <v>0</v>
      </c>
      <c r="K357" s="1880">
        <f>'6-A. Proc. Sub-Annex'!L32</f>
        <v>0</v>
      </c>
      <c r="L357" s="939">
        <f>'6-A. Proc. Sub-Annex'!M32</f>
        <v>0</v>
      </c>
      <c r="M357" s="1880">
        <f>'6-A. Proc. Sub-Annex'!N32</f>
        <v>0</v>
      </c>
      <c r="N357" s="1880">
        <f>'6-A. Proc. Sub-Annex'!O32</f>
        <v>0</v>
      </c>
      <c r="O357" s="939">
        <f>'6-A. Proc. Sub-Annex'!P32</f>
        <v>0</v>
      </c>
      <c r="P357" s="1878">
        <f>'6-A. Proc. Sub-Annex'!Q32</f>
        <v>0</v>
      </c>
      <c r="Q357" s="1912"/>
      <c r="R357" s="1880">
        <v>0</v>
      </c>
    </row>
    <row r="358" spans="1:20" s="828" customFormat="1" x14ac:dyDescent="0.2">
      <c r="A358" s="4047"/>
      <c r="B358" s="1878" t="str">
        <f>'6-A. Proc. Sub-Annex'!C33</f>
        <v>B16.1.6.3.4</v>
      </c>
      <c r="C358" s="1879" t="str">
        <f>'6-A. Proc. Sub-Annex'!D33</f>
        <v>Desktop for DEIC</v>
      </c>
      <c r="D358" s="1880" t="str">
        <f>'6-A. Proc. Sub-Annex'!E33</f>
        <v>RCH</v>
      </c>
      <c r="E358" s="1880" t="str">
        <f>'6-A. Proc. Sub-Annex'!F33</f>
        <v>RBSK</v>
      </c>
      <c r="F358" s="1880">
        <f>'6-A. Proc. Sub-Annex'!G33</f>
        <v>0</v>
      </c>
      <c r="G358" s="1880">
        <f>'6-A. Proc. Sub-Annex'!H33</f>
        <v>0</v>
      </c>
      <c r="H358" s="1880">
        <f>'6-A. Proc. Sub-Annex'!I33</f>
        <v>0</v>
      </c>
      <c r="I358" s="1880">
        <f>'6-A. Proc. Sub-Annex'!J33</f>
        <v>0</v>
      </c>
      <c r="J358" s="1880">
        <f>'6-A. Proc. Sub-Annex'!K33</f>
        <v>0</v>
      </c>
      <c r="K358" s="1880">
        <f>'6-A. Proc. Sub-Annex'!L33</f>
        <v>0</v>
      </c>
      <c r="L358" s="939">
        <f>'6-A. Proc. Sub-Annex'!M33</f>
        <v>0</v>
      </c>
      <c r="M358" s="1880">
        <f>'6-A. Proc. Sub-Annex'!N33</f>
        <v>0</v>
      </c>
      <c r="N358" s="1880">
        <f>'6-A. Proc. Sub-Annex'!O33</f>
        <v>0</v>
      </c>
      <c r="O358" s="939">
        <f>'6-A. Proc. Sub-Annex'!P33</f>
        <v>0</v>
      </c>
      <c r="P358" s="1878">
        <f>'6-A. Proc. Sub-Annex'!Q33</f>
        <v>0</v>
      </c>
      <c r="Q358" s="1912"/>
      <c r="R358" s="1880">
        <v>0</v>
      </c>
    </row>
    <row r="359" spans="1:20" s="828" customFormat="1" x14ac:dyDescent="0.2">
      <c r="A359" s="4047"/>
      <c r="B359" s="1878">
        <f>'6-A. Proc. Sub-Annex'!C34</f>
        <v>0</v>
      </c>
      <c r="C359" s="1879" t="str">
        <f>'6-A. Proc. Sub-Annex'!D34</f>
        <v>Any other equipment (please specify)</v>
      </c>
      <c r="D359" s="1880" t="str">
        <f>'6-A. Proc. Sub-Annex'!E34</f>
        <v>RCH</v>
      </c>
      <c r="E359" s="1880" t="str">
        <f>'6-A. Proc. Sub-Annex'!F34</f>
        <v>RBSK</v>
      </c>
      <c r="F359" s="1880">
        <f>'6-A. Proc. Sub-Annex'!G34</f>
        <v>0</v>
      </c>
      <c r="G359" s="1880">
        <f>'6-A. Proc. Sub-Annex'!H34</f>
        <v>0</v>
      </c>
      <c r="H359" s="1880">
        <f>'6-A. Proc. Sub-Annex'!I34</f>
        <v>0</v>
      </c>
      <c r="I359" s="1880">
        <f>'6-A. Proc. Sub-Annex'!J34</f>
        <v>0</v>
      </c>
      <c r="J359" s="1880">
        <f>'6-A. Proc. Sub-Annex'!K34</f>
        <v>0</v>
      </c>
      <c r="K359" s="1880">
        <f>'6-A. Proc. Sub-Annex'!L34</f>
        <v>0</v>
      </c>
      <c r="L359" s="939">
        <f>'6-A. Proc. Sub-Annex'!M34</f>
        <v>0</v>
      </c>
      <c r="M359" s="1880">
        <f>'6-A. Proc. Sub-Annex'!N34</f>
        <v>0</v>
      </c>
      <c r="N359" s="1880">
        <f>'6-A. Proc. Sub-Annex'!O34</f>
        <v>0</v>
      </c>
      <c r="O359" s="939">
        <f>'6-A. Proc. Sub-Annex'!P34</f>
        <v>0</v>
      </c>
      <c r="P359" s="1878">
        <f>'6-A. Proc. Sub-Annex'!Q34</f>
        <v>0</v>
      </c>
      <c r="Q359" s="1912"/>
      <c r="R359" s="1906"/>
      <c r="T359" s="3314"/>
    </row>
    <row r="360" spans="1:20" s="828" customFormat="1" x14ac:dyDescent="0.2">
      <c r="A360" s="4047" t="str">
        <f>'6.Procurement Annex'!A60</f>
        <v>6.2.1.5</v>
      </c>
      <c r="B360" s="1878" t="str">
        <f>'6-A. Proc. Sub-Annex'!C182</f>
        <v>B.16.2.7.1</v>
      </c>
      <c r="C360" s="1879" t="str">
        <f>'6-A. Proc. Sub-Annex'!D182</f>
        <v>Medicine for Mobile health team</v>
      </c>
      <c r="D360" s="1880" t="str">
        <f>'6-A. Proc. Sub-Annex'!E182</f>
        <v>RCH</v>
      </c>
      <c r="E360" s="1880" t="str">
        <f>'6-A. Proc. Sub-Annex'!F182</f>
        <v>RBSK</v>
      </c>
      <c r="F360" s="1880">
        <f>'6-A. Proc. Sub-Annex'!G182</f>
        <v>0</v>
      </c>
      <c r="G360" s="1880">
        <f>'6-A. Proc. Sub-Annex'!H182</f>
        <v>0</v>
      </c>
      <c r="H360" s="1880">
        <f>'6-A. Proc. Sub-Annex'!I182</f>
        <v>0</v>
      </c>
      <c r="I360" s="1880">
        <f>'6-A. Proc. Sub-Annex'!J182</f>
        <v>0</v>
      </c>
      <c r="J360" s="1880">
        <f>'6-A. Proc. Sub-Annex'!K182</f>
        <v>0</v>
      </c>
      <c r="K360" s="1880">
        <f>'6-A. Proc. Sub-Annex'!L182</f>
        <v>0</v>
      </c>
      <c r="L360" s="939">
        <f>'6-A. Proc. Sub-Annex'!M182</f>
        <v>0</v>
      </c>
      <c r="M360" s="1880">
        <f>'6-A. Proc. Sub-Annex'!N182</f>
        <v>0</v>
      </c>
      <c r="N360" s="1880">
        <f>'6-A. Proc. Sub-Annex'!O182</f>
        <v>0</v>
      </c>
      <c r="O360" s="939">
        <f>'6-A. Proc. Sub-Annex'!P182</f>
        <v>0</v>
      </c>
      <c r="P360" s="1878">
        <f>'6-A. Proc. Sub-Annex'!Q182</f>
        <v>0</v>
      </c>
      <c r="Q360" s="2804"/>
      <c r="R360" s="1906"/>
      <c r="T360" s="3314"/>
    </row>
    <row r="361" spans="1:20" s="828" customFormat="1" x14ac:dyDescent="0.2">
      <c r="A361" s="4047"/>
      <c r="B361" s="1878">
        <f>'6-A. Proc. Sub-Annex'!C183</f>
        <v>0</v>
      </c>
      <c r="C361" s="1879" t="str">
        <f>'6-A. Proc. Sub-Annex'!D183</f>
        <v>Any other Drugs &amp; Supplies (Please specify)</v>
      </c>
      <c r="D361" s="1880" t="str">
        <f>'6-A. Proc. Sub-Annex'!E183</f>
        <v>RCH</v>
      </c>
      <c r="E361" s="1880" t="str">
        <f>'6-A. Proc. Sub-Annex'!F183</f>
        <v>RBSK</v>
      </c>
      <c r="F361" s="1880">
        <f>'6-A. Proc. Sub-Annex'!G183</f>
        <v>0</v>
      </c>
      <c r="G361" s="1880">
        <f>'6-A. Proc. Sub-Annex'!H183</f>
        <v>0</v>
      </c>
      <c r="H361" s="1880">
        <f>'6-A. Proc. Sub-Annex'!I183</f>
        <v>0</v>
      </c>
      <c r="I361" s="1880">
        <f>'6-A. Proc. Sub-Annex'!J183</f>
        <v>0</v>
      </c>
      <c r="J361" s="1880">
        <f>'6-A. Proc. Sub-Annex'!K183</f>
        <v>0</v>
      </c>
      <c r="K361" s="1880">
        <f>'6-A. Proc. Sub-Annex'!L183</f>
        <v>0</v>
      </c>
      <c r="L361" s="939">
        <f>'6-A. Proc. Sub-Annex'!M183</f>
        <v>0</v>
      </c>
      <c r="M361" s="1880">
        <f>'6-A. Proc. Sub-Annex'!N183</f>
        <v>0</v>
      </c>
      <c r="N361" s="1880">
        <f>'6-A. Proc. Sub-Annex'!O183</f>
        <v>0</v>
      </c>
      <c r="O361" s="939">
        <f>'6-A. Proc. Sub-Annex'!P183</f>
        <v>0</v>
      </c>
      <c r="P361" s="1878">
        <f>'6-A. Proc. Sub-Annex'!Q183</f>
        <v>0</v>
      </c>
      <c r="Q361" s="1912"/>
      <c r="R361" s="1880">
        <v>0</v>
      </c>
    </row>
    <row r="362" spans="1:20" s="828" customFormat="1" x14ac:dyDescent="0.2">
      <c r="A362" s="1875">
        <f>'8.Human Resources (SD) Annex'!A7</f>
        <v>8</v>
      </c>
      <c r="B362" s="1875"/>
      <c r="C362" s="1876" t="str">
        <f>'8.Human Resources (SD) Annex'!C7</f>
        <v>Human Resources</v>
      </c>
      <c r="D362" s="1877"/>
      <c r="E362" s="1877"/>
      <c r="F362" s="1877"/>
      <c r="G362" s="1877"/>
      <c r="H362" s="1877"/>
      <c r="I362" s="1877"/>
      <c r="J362" s="1877"/>
      <c r="K362" s="1877"/>
      <c r="L362" s="969"/>
      <c r="M362" s="1877"/>
      <c r="N362" s="1877"/>
      <c r="O362" s="969">
        <f>O363</f>
        <v>0</v>
      </c>
      <c r="P362" s="1875"/>
      <c r="Q362" s="678"/>
      <c r="R362" s="132">
        <f>R363</f>
        <v>0</v>
      </c>
      <c r="T362" s="3314"/>
    </row>
    <row r="363" spans="1:20" s="828" customFormat="1" ht="30" x14ac:dyDescent="0.2">
      <c r="A363" s="1878" t="str">
        <f>'8.Human Resources (SD) Annex'!A166</f>
        <v>8.4.3</v>
      </c>
      <c r="B363" s="1878" t="str">
        <f>'8.Human Resources (SD) Annex'!B166</f>
        <v>B.30.16</v>
      </c>
      <c r="C363" s="1879" t="str">
        <f>'8.Human Resources (SD) Annex'!C166</f>
        <v>Honorarium for Paediatric ECO, ENT specialist, Orthopediatrician, Ophthalmologist, Psychiatrics</v>
      </c>
      <c r="D363" s="1880" t="str">
        <f>'8.Human Resources (SD) Annex'!D166</f>
        <v>RCH</v>
      </c>
      <c r="E363" s="1880" t="str">
        <f>'8.Human Resources (SD) Annex'!E166</f>
        <v>RBSK</v>
      </c>
      <c r="F363" s="1880">
        <f>'8.Human Resources (SD) Annex'!F166</f>
        <v>0</v>
      </c>
      <c r="G363" s="1880">
        <f>'8.Human Resources (SD) Annex'!G166</f>
        <v>0</v>
      </c>
      <c r="H363" s="1880">
        <f>'8.Human Resources (SD) Annex'!H166</f>
        <v>0</v>
      </c>
      <c r="I363" s="1880">
        <f>'8.Human Resources (SD) Annex'!I166</f>
        <v>0</v>
      </c>
      <c r="J363" s="1880">
        <f>'8.Human Resources (SD) Annex'!J166</f>
        <v>0</v>
      </c>
      <c r="K363" s="1880">
        <f>'8.Human Resources (SD) Annex'!L166</f>
        <v>0</v>
      </c>
      <c r="L363" s="939">
        <f>'8.Human Resources (SD) Annex'!M166</f>
        <v>0</v>
      </c>
      <c r="M363" s="1880">
        <f>'8.Human Resources (SD) Annex'!N166</f>
        <v>0</v>
      </c>
      <c r="N363" s="1880">
        <f>'8.Human Resources (SD) Annex'!O166</f>
        <v>0</v>
      </c>
      <c r="O363" s="939">
        <f>'8.Human Resources (SD) Annex'!P166</f>
        <v>0</v>
      </c>
      <c r="P363" s="1878">
        <f>'8.Human Resources (SD) Annex'!Q166</f>
        <v>0</v>
      </c>
      <c r="Q363" s="1912"/>
      <c r="R363" s="1880">
        <v>0</v>
      </c>
    </row>
    <row r="364" spans="1:20" s="828" customFormat="1" x14ac:dyDescent="0.2">
      <c r="A364" s="1875">
        <f>'9.Training Annex'!A7</f>
        <v>9</v>
      </c>
      <c r="B364" s="1875"/>
      <c r="C364" s="1876" t="str">
        <f>'9.Training Annex'!C7</f>
        <v>Training and Capacity Building</v>
      </c>
      <c r="D364" s="1877"/>
      <c r="E364" s="1877"/>
      <c r="F364" s="1877"/>
      <c r="G364" s="1877"/>
      <c r="H364" s="1877"/>
      <c r="I364" s="1877"/>
      <c r="J364" s="1877"/>
      <c r="K364" s="1877"/>
      <c r="L364" s="969"/>
      <c r="M364" s="1877"/>
      <c r="N364" s="1877"/>
      <c r="O364" s="969">
        <f>SUM(O365:O369)</f>
        <v>0</v>
      </c>
      <c r="P364" s="1875"/>
      <c r="Q364" s="678"/>
      <c r="R364" s="132">
        <f>SUM(R365:R369)</f>
        <v>0</v>
      </c>
      <c r="T364" s="3314"/>
    </row>
    <row r="365" spans="1:20" s="828" customFormat="1" ht="30" x14ac:dyDescent="0.2">
      <c r="A365" s="4047" t="str">
        <f>'9.Training Annex'!A25</f>
        <v>9.2.1.5</v>
      </c>
      <c r="B365" s="1878" t="str">
        <f>'9-A.Training Sub-Annex'!C129</f>
        <v>A.9.12.1</v>
      </c>
      <c r="C365" s="1879" t="str">
        <f>'9-A.Training Sub-Annex'!D129</f>
        <v>RBSK Training -Training of Mobile health team – technical and managerial (5 days)</v>
      </c>
      <c r="D365" s="1880" t="str">
        <f>'9-A.Training Sub-Annex'!E129</f>
        <v>RCH</v>
      </c>
      <c r="E365" s="1880" t="str">
        <f>'9-A.Training Sub-Annex'!F129</f>
        <v>RBSK</v>
      </c>
      <c r="F365" s="1880">
        <f>'9-A.Training Sub-Annex'!G129</f>
        <v>0</v>
      </c>
      <c r="G365" s="1880">
        <f>'9-A.Training Sub-Annex'!H129</f>
        <v>0</v>
      </c>
      <c r="H365" s="1880">
        <f>'9-A.Training Sub-Annex'!I129</f>
        <v>0</v>
      </c>
      <c r="I365" s="1880">
        <f>'9-A.Training Sub-Annex'!J129</f>
        <v>0</v>
      </c>
      <c r="J365" s="1880">
        <f>'9-A.Training Sub-Annex'!K129</f>
        <v>0</v>
      </c>
      <c r="K365" s="1880">
        <f>'9-A.Training Sub-Annex'!L129</f>
        <v>0</v>
      </c>
      <c r="L365" s="939">
        <f>'9-A.Training Sub-Annex'!M129</f>
        <v>0</v>
      </c>
      <c r="M365" s="1880">
        <f>'9-A.Training Sub-Annex'!N129</f>
        <v>0</v>
      </c>
      <c r="N365" s="1880">
        <f>'9-A.Training Sub-Annex'!O129</f>
        <v>0</v>
      </c>
      <c r="O365" s="939">
        <f>'9-A.Training Sub-Annex'!P129</f>
        <v>0</v>
      </c>
      <c r="P365" s="1878">
        <f>'9-A.Training Sub-Annex'!Q129</f>
        <v>0</v>
      </c>
      <c r="Q365" s="3332"/>
      <c r="R365" s="3326"/>
      <c r="T365" s="3314"/>
    </row>
    <row r="366" spans="1:20" s="828" customFormat="1" x14ac:dyDescent="0.2">
      <c r="A366" s="4047"/>
      <c r="B366" s="1878" t="str">
        <f>'9-A.Training Sub-Annex'!C130</f>
        <v>A.9.12.2</v>
      </c>
      <c r="C366" s="1879" t="str">
        <f>'9-A.Training Sub-Annex'!D130</f>
        <v>RBSK DEIC Staff training (15 days)</v>
      </c>
      <c r="D366" s="1880" t="str">
        <f>'9-A.Training Sub-Annex'!E130</f>
        <v>RCH</v>
      </c>
      <c r="E366" s="1880" t="str">
        <f>'9-A.Training Sub-Annex'!F130</f>
        <v>RBSK</v>
      </c>
      <c r="F366" s="1880">
        <f>'9-A.Training Sub-Annex'!G130</f>
        <v>0</v>
      </c>
      <c r="G366" s="1880">
        <f>'9-A.Training Sub-Annex'!H130</f>
        <v>0</v>
      </c>
      <c r="H366" s="1880">
        <f>'9-A.Training Sub-Annex'!I130</f>
        <v>0</v>
      </c>
      <c r="I366" s="1880">
        <f>'9-A.Training Sub-Annex'!J130</f>
        <v>0</v>
      </c>
      <c r="J366" s="1880">
        <f>'9-A.Training Sub-Annex'!K130</f>
        <v>0</v>
      </c>
      <c r="K366" s="1880">
        <f>'9-A.Training Sub-Annex'!L130</f>
        <v>0</v>
      </c>
      <c r="L366" s="939">
        <f>'9-A.Training Sub-Annex'!M130</f>
        <v>0</v>
      </c>
      <c r="M366" s="1880">
        <f>'9-A.Training Sub-Annex'!N130</f>
        <v>0</v>
      </c>
      <c r="N366" s="1880">
        <f>'9-A.Training Sub-Annex'!O130</f>
        <v>0</v>
      </c>
      <c r="O366" s="939">
        <f>'9-A.Training Sub-Annex'!P130</f>
        <v>0</v>
      </c>
      <c r="P366" s="1878">
        <f>'9-A.Training Sub-Annex'!Q130</f>
        <v>0</v>
      </c>
      <c r="Q366" s="3332"/>
      <c r="R366" s="3326"/>
      <c r="T366" s="3314"/>
    </row>
    <row r="367" spans="1:20" s="828" customFormat="1" ht="30" x14ac:dyDescent="0.2">
      <c r="A367" s="4047"/>
      <c r="B367" s="1878" t="str">
        <f>'9-A.Training Sub-Annex'!C131</f>
        <v>A.9.12.3</v>
      </c>
      <c r="C367" s="1879" t="str">
        <f>'9-A.Training Sub-Annex'!D131</f>
        <v>One day orientation for  MO / other staff Delivery points (RBSK trainings)</v>
      </c>
      <c r="D367" s="1880" t="str">
        <f>'9-A.Training Sub-Annex'!E131</f>
        <v>RCH</v>
      </c>
      <c r="E367" s="1880" t="str">
        <f>'9-A.Training Sub-Annex'!F131</f>
        <v>RBSK</v>
      </c>
      <c r="F367" s="1880">
        <f>'9-A.Training Sub-Annex'!G131</f>
        <v>0</v>
      </c>
      <c r="G367" s="1880">
        <f>'9-A.Training Sub-Annex'!H131</f>
        <v>0</v>
      </c>
      <c r="H367" s="1880">
        <f>'9-A.Training Sub-Annex'!I131</f>
        <v>0</v>
      </c>
      <c r="I367" s="1880">
        <f>'9-A.Training Sub-Annex'!J131</f>
        <v>0</v>
      </c>
      <c r="J367" s="1880">
        <f>'9-A.Training Sub-Annex'!K131</f>
        <v>0</v>
      </c>
      <c r="K367" s="1880">
        <f>'9-A.Training Sub-Annex'!L131</f>
        <v>0</v>
      </c>
      <c r="L367" s="939">
        <f>'9-A.Training Sub-Annex'!M131</f>
        <v>0</v>
      </c>
      <c r="M367" s="1880">
        <f>'9-A.Training Sub-Annex'!N131</f>
        <v>0</v>
      </c>
      <c r="N367" s="1880">
        <f>'9-A.Training Sub-Annex'!O131</f>
        <v>0</v>
      </c>
      <c r="O367" s="939">
        <f>'9-A.Training Sub-Annex'!P131</f>
        <v>0</v>
      </c>
      <c r="P367" s="1878">
        <f>'9-A.Training Sub-Annex'!Q131</f>
        <v>0</v>
      </c>
      <c r="Q367" s="1912"/>
      <c r="R367" s="1880"/>
    </row>
    <row r="368" spans="1:20" s="828" customFormat="1" ht="30" x14ac:dyDescent="0.2">
      <c r="A368" s="4047"/>
      <c r="B368" s="1878" t="str">
        <f>'9-A.Training Sub-Annex'!C132</f>
        <v>A.9.12.4</v>
      </c>
      <c r="C368" s="1879" t="str">
        <f>'9-A.Training Sub-Annex'!D132</f>
        <v>Training/Refresher training -ANM (one day) (RBSK trainings)</v>
      </c>
      <c r="D368" s="1880" t="str">
        <f>'9-A.Training Sub-Annex'!E132</f>
        <v>RCH</v>
      </c>
      <c r="E368" s="1880" t="str">
        <f>'9-A.Training Sub-Annex'!F132</f>
        <v>RBSK</v>
      </c>
      <c r="F368" s="1880">
        <f>'9-A.Training Sub-Annex'!G132</f>
        <v>0</v>
      </c>
      <c r="G368" s="1880">
        <f>'9-A.Training Sub-Annex'!H132</f>
        <v>0</v>
      </c>
      <c r="H368" s="1880">
        <f>'9-A.Training Sub-Annex'!I132</f>
        <v>0</v>
      </c>
      <c r="I368" s="1880">
        <f>'9-A.Training Sub-Annex'!J132</f>
        <v>0</v>
      </c>
      <c r="J368" s="1880">
        <f>'9-A.Training Sub-Annex'!K132</f>
        <v>0</v>
      </c>
      <c r="K368" s="1880">
        <f>'9-A.Training Sub-Annex'!L132</f>
        <v>0</v>
      </c>
      <c r="L368" s="939">
        <f>'9-A.Training Sub-Annex'!M132</f>
        <v>0</v>
      </c>
      <c r="M368" s="1880">
        <f>'9-A.Training Sub-Annex'!N132</f>
        <v>0</v>
      </c>
      <c r="N368" s="1880">
        <f>'9-A.Training Sub-Annex'!O132</f>
        <v>0</v>
      </c>
      <c r="O368" s="939">
        <f>'9-A.Training Sub-Annex'!P132</f>
        <v>0</v>
      </c>
      <c r="P368" s="1878">
        <f>'9-A.Training Sub-Annex'!Q132</f>
        <v>0</v>
      </c>
      <c r="Q368" s="1912"/>
      <c r="R368" s="1880">
        <v>0</v>
      </c>
    </row>
    <row r="369" spans="1:20" s="828" customFormat="1" x14ac:dyDescent="0.2">
      <c r="A369" s="4047"/>
      <c r="B369" s="1878">
        <f>'9-A.Training Sub-Annex'!C133</f>
        <v>0</v>
      </c>
      <c r="C369" s="1879" t="str">
        <f>'9-A.Training Sub-Annex'!D133</f>
        <v>Other RBSK trainings (please specify)</v>
      </c>
      <c r="D369" s="1880" t="str">
        <f>'9-A.Training Sub-Annex'!E133</f>
        <v>RCH</v>
      </c>
      <c r="E369" s="1880" t="str">
        <f>'9-A.Training Sub-Annex'!F133</f>
        <v>RBSK</v>
      </c>
      <c r="F369" s="1880">
        <f>'9-A.Training Sub-Annex'!G133</f>
        <v>0</v>
      </c>
      <c r="G369" s="1880">
        <f>'9-A.Training Sub-Annex'!H133</f>
        <v>0</v>
      </c>
      <c r="H369" s="1880">
        <f>'9-A.Training Sub-Annex'!I133</f>
        <v>0</v>
      </c>
      <c r="I369" s="1880">
        <f>'9-A.Training Sub-Annex'!J133</f>
        <v>0</v>
      </c>
      <c r="J369" s="1880">
        <f>'9-A.Training Sub-Annex'!K133</f>
        <v>0</v>
      </c>
      <c r="K369" s="1880">
        <f>'9-A.Training Sub-Annex'!L133</f>
        <v>0</v>
      </c>
      <c r="L369" s="939">
        <f>'9-A.Training Sub-Annex'!M133</f>
        <v>0</v>
      </c>
      <c r="M369" s="1880">
        <f>'9-A.Training Sub-Annex'!N133</f>
        <v>0</v>
      </c>
      <c r="N369" s="1880">
        <f>'9-A.Training Sub-Annex'!O133</f>
        <v>0</v>
      </c>
      <c r="O369" s="939">
        <f>'9-A.Training Sub-Annex'!P133</f>
        <v>0</v>
      </c>
      <c r="P369" s="1878">
        <f>'9-A.Training Sub-Annex'!Q133</f>
        <v>0</v>
      </c>
      <c r="Q369" s="1912"/>
      <c r="R369" s="1880">
        <v>0</v>
      </c>
    </row>
    <row r="370" spans="1:20" s="828" customFormat="1" x14ac:dyDescent="0.2">
      <c r="A370" s="1875">
        <f>'12.Printing Annex'!A7</f>
        <v>12</v>
      </c>
      <c r="B370" s="1885"/>
      <c r="C370" s="1876" t="str">
        <f>'12.Printing Annex'!C7</f>
        <v>Printing</v>
      </c>
      <c r="D370" s="1877"/>
      <c r="E370" s="1877"/>
      <c r="F370" s="1877"/>
      <c r="G370" s="1877"/>
      <c r="H370" s="969"/>
      <c r="I370" s="1877"/>
      <c r="J370" s="969"/>
      <c r="K370" s="1877"/>
      <c r="L370" s="969"/>
      <c r="M370" s="969"/>
      <c r="N370" s="1886"/>
      <c r="O370" s="1887">
        <f>SUM(O371:O376)</f>
        <v>0</v>
      </c>
      <c r="P370" s="1888"/>
      <c r="Q370" s="1908"/>
      <c r="R370" s="1909">
        <f>SUM(R371:R376)</f>
        <v>0</v>
      </c>
      <c r="T370" s="3314"/>
    </row>
    <row r="371" spans="1:20" s="828" customFormat="1" x14ac:dyDescent="0.2">
      <c r="A371" s="1878" t="str">
        <f>'12.Printing Annex'!A13</f>
        <v>12.1.5</v>
      </c>
      <c r="B371" s="1878" t="str">
        <f>'12-A. Print Sub-Annex'!C41</f>
        <v>A.5.1.1</v>
      </c>
      <c r="C371" s="1879" t="str">
        <f>'12-A. Print Sub-Annex'!D41</f>
        <v>Prepare and disseminate guidelines for RBSK</v>
      </c>
      <c r="D371" s="1880" t="str">
        <f>'12-A. Print Sub-Annex'!E41</f>
        <v>RCH</v>
      </c>
      <c r="E371" s="1880" t="str">
        <f>'12-A. Print Sub-Annex'!F41</f>
        <v>RBSK</v>
      </c>
      <c r="F371" s="1880">
        <f>'12-A. Print Sub-Annex'!G41</f>
        <v>0</v>
      </c>
      <c r="G371" s="1880">
        <f>'12-A. Print Sub-Annex'!H41</f>
        <v>0</v>
      </c>
      <c r="H371" s="1880">
        <f>'12-A. Print Sub-Annex'!I41</f>
        <v>0</v>
      </c>
      <c r="I371" s="1880">
        <f>'12-A. Print Sub-Annex'!J41</f>
        <v>0</v>
      </c>
      <c r="J371" s="1880">
        <f>'12-A. Print Sub-Annex'!K41</f>
        <v>0</v>
      </c>
      <c r="K371" s="1880">
        <f>'12-A. Print Sub-Annex'!L41</f>
        <v>0</v>
      </c>
      <c r="L371" s="939">
        <f>'12-A. Print Sub-Annex'!M41</f>
        <v>0</v>
      </c>
      <c r="M371" s="1880">
        <f>'12-A. Print Sub-Annex'!N41</f>
        <v>0</v>
      </c>
      <c r="N371" s="1880">
        <f>'12-A. Print Sub-Annex'!O41</f>
        <v>0</v>
      </c>
      <c r="O371" s="939">
        <f>'12-A. Print Sub-Annex'!P41</f>
        <v>0</v>
      </c>
      <c r="P371" s="1878">
        <f>'12-A. Print Sub-Annex'!Q41</f>
        <v>0</v>
      </c>
      <c r="Q371" s="1912"/>
      <c r="R371" s="1880">
        <v>0</v>
      </c>
    </row>
    <row r="372" spans="1:20" s="828" customFormat="1" x14ac:dyDescent="0.2">
      <c r="A372" s="1878"/>
      <c r="B372" s="1878" t="str">
        <f>'12-A. Print Sub-Annex'!C42</f>
        <v>A 5.3.1</v>
      </c>
      <c r="C372" s="1879" t="str">
        <f>'12-A. Print Sub-Annex'!D42</f>
        <v xml:space="preserve">Training kits for teachers </v>
      </c>
      <c r="D372" s="1880" t="str">
        <f>'12-A. Print Sub-Annex'!E42</f>
        <v>RCH</v>
      </c>
      <c r="E372" s="1880" t="str">
        <f>'12-A. Print Sub-Annex'!F42</f>
        <v>RBSK</v>
      </c>
      <c r="F372" s="1880">
        <f>'12-A. Print Sub-Annex'!G42</f>
        <v>0</v>
      </c>
      <c r="G372" s="1880">
        <f>'12-A. Print Sub-Annex'!H42</f>
        <v>0</v>
      </c>
      <c r="H372" s="1880">
        <f>'12-A. Print Sub-Annex'!I42</f>
        <v>0</v>
      </c>
      <c r="I372" s="1880">
        <f>'12-A. Print Sub-Annex'!J42</f>
        <v>0</v>
      </c>
      <c r="J372" s="1880">
        <f>'12-A. Print Sub-Annex'!K42</f>
        <v>0</v>
      </c>
      <c r="K372" s="1880">
        <f>'12-A. Print Sub-Annex'!L42</f>
        <v>0</v>
      </c>
      <c r="L372" s="939">
        <f>'12-A. Print Sub-Annex'!M42</f>
        <v>0</v>
      </c>
      <c r="M372" s="1880">
        <f>'12-A. Print Sub-Annex'!N42</f>
        <v>0</v>
      </c>
      <c r="N372" s="1880">
        <f>'12-A. Print Sub-Annex'!O42</f>
        <v>0</v>
      </c>
      <c r="O372" s="939">
        <f>'12-A. Print Sub-Annex'!P42</f>
        <v>0</v>
      </c>
      <c r="P372" s="1878">
        <f>'12-A. Print Sub-Annex'!Q42</f>
        <v>0</v>
      </c>
      <c r="Q372" s="1912"/>
      <c r="R372" s="1880">
        <v>0</v>
      </c>
    </row>
    <row r="373" spans="1:20" s="828" customFormat="1" x14ac:dyDescent="0.2">
      <c r="A373" s="1878"/>
      <c r="B373" s="1878" t="str">
        <f>'12-A. Print Sub-Annex'!C43</f>
        <v>A 5.3.2</v>
      </c>
      <c r="C373" s="1879" t="str">
        <f>'12-A. Print Sub-Annex'!D43</f>
        <v>School Kits</v>
      </c>
      <c r="D373" s="1880" t="str">
        <f>'12-A. Print Sub-Annex'!E43</f>
        <v>RCH</v>
      </c>
      <c r="E373" s="1880" t="str">
        <f>'12-A. Print Sub-Annex'!F43</f>
        <v>RBSK</v>
      </c>
      <c r="F373" s="1880">
        <f>'12-A. Print Sub-Annex'!G43</f>
        <v>0</v>
      </c>
      <c r="G373" s="1880">
        <f>'12-A. Print Sub-Annex'!H43</f>
        <v>0</v>
      </c>
      <c r="H373" s="1880">
        <f>'12-A. Print Sub-Annex'!I43</f>
        <v>0</v>
      </c>
      <c r="I373" s="1880">
        <f>'12-A. Print Sub-Annex'!J43</f>
        <v>0</v>
      </c>
      <c r="J373" s="1880">
        <f>'12-A. Print Sub-Annex'!K43</f>
        <v>0</v>
      </c>
      <c r="K373" s="1880">
        <f>'12-A. Print Sub-Annex'!L43</f>
        <v>0</v>
      </c>
      <c r="L373" s="939">
        <f>'12-A. Print Sub-Annex'!M43</f>
        <v>0</v>
      </c>
      <c r="M373" s="1880">
        <f>'12-A. Print Sub-Annex'!N43</f>
        <v>0</v>
      </c>
      <c r="N373" s="1880">
        <f>'12-A. Print Sub-Annex'!O43</f>
        <v>0</v>
      </c>
      <c r="O373" s="939">
        <f>'12-A. Print Sub-Annex'!P43</f>
        <v>0</v>
      </c>
      <c r="P373" s="1878">
        <f>'12-A. Print Sub-Annex'!Q43</f>
        <v>0</v>
      </c>
      <c r="Q373" s="1912"/>
      <c r="R373" s="1880">
        <v>0</v>
      </c>
    </row>
    <row r="374" spans="1:20" s="828" customFormat="1" ht="166.5" customHeight="1" x14ac:dyDescent="0.2">
      <c r="A374" s="3288"/>
      <c r="B374" s="3288" t="str">
        <f>'12-A. Print Sub-Annex'!C44</f>
        <v>B.10.7.4.3</v>
      </c>
      <c r="C374" s="1879" t="str">
        <f>'12-A. Print Sub-Annex'!D44</f>
        <v>Printing of RBSK card and registers</v>
      </c>
      <c r="D374" s="1880" t="str">
        <f>'12-A. Print Sub-Annex'!E44</f>
        <v>RCH</v>
      </c>
      <c r="E374" s="1880" t="str">
        <f>'12-A. Print Sub-Annex'!F44</f>
        <v>RBSK</v>
      </c>
      <c r="F374" s="1880">
        <f>'12-A. Print Sub-Annex'!G44</f>
        <v>0</v>
      </c>
      <c r="G374" s="1880">
        <f>'12-A. Print Sub-Annex'!H44</f>
        <v>0</v>
      </c>
      <c r="H374" s="1880">
        <f>'12-A. Print Sub-Annex'!I44</f>
        <v>0</v>
      </c>
      <c r="I374" s="1880">
        <f>'12-A. Print Sub-Annex'!J44</f>
        <v>0</v>
      </c>
      <c r="J374" s="1880">
        <f>'12-A. Print Sub-Annex'!K44</f>
        <v>0</v>
      </c>
      <c r="K374" s="1880">
        <f>'12-A. Print Sub-Annex'!L44</f>
        <v>0</v>
      </c>
      <c r="L374" s="939">
        <f>'12-A. Print Sub-Annex'!M44</f>
        <v>0</v>
      </c>
      <c r="M374" s="1880">
        <f>'12-A. Print Sub-Annex'!N44</f>
        <v>0</v>
      </c>
      <c r="N374" s="1880">
        <f>'12-A. Print Sub-Annex'!O44</f>
        <v>0</v>
      </c>
      <c r="O374" s="939">
        <f>'12-A. Print Sub-Annex'!P44</f>
        <v>0</v>
      </c>
      <c r="P374" s="3288">
        <f>'12-A. Print Sub-Annex'!Q44</f>
        <v>0</v>
      </c>
      <c r="Q374" s="1912"/>
      <c r="R374" s="1906"/>
      <c r="S374" s="2038"/>
      <c r="T374" s="3314"/>
    </row>
    <row r="375" spans="1:20" s="828" customFormat="1" x14ac:dyDescent="0.2">
      <c r="A375" s="1878"/>
      <c r="B375" s="1878" t="str">
        <f>'12-A. Print Sub-Annex'!C45</f>
        <v>B.10.7.4.4</v>
      </c>
      <c r="C375" s="1879" t="str">
        <f>'12-A. Print Sub-Annex'!D45</f>
        <v>Printing cost for DEIC</v>
      </c>
      <c r="D375" s="1880" t="str">
        <f>'12-A. Print Sub-Annex'!E45</f>
        <v>RCH</v>
      </c>
      <c r="E375" s="1880" t="str">
        <f>'12-A. Print Sub-Annex'!F45</f>
        <v>RBSK</v>
      </c>
      <c r="F375" s="1880">
        <f>'12-A. Print Sub-Annex'!G45</f>
        <v>0</v>
      </c>
      <c r="G375" s="1880">
        <f>'12-A. Print Sub-Annex'!H45</f>
        <v>0</v>
      </c>
      <c r="H375" s="1880">
        <f>'12-A. Print Sub-Annex'!I45</f>
        <v>0</v>
      </c>
      <c r="I375" s="1880">
        <f>'12-A. Print Sub-Annex'!J45</f>
        <v>0</v>
      </c>
      <c r="J375" s="1880">
        <f>'12-A. Print Sub-Annex'!K45</f>
        <v>0</v>
      </c>
      <c r="K375" s="1880">
        <f>'12-A. Print Sub-Annex'!L45</f>
        <v>0</v>
      </c>
      <c r="L375" s="939">
        <f>'12-A. Print Sub-Annex'!M45</f>
        <v>0</v>
      </c>
      <c r="M375" s="1880">
        <f>'12-A. Print Sub-Annex'!N45</f>
        <v>0</v>
      </c>
      <c r="N375" s="1880">
        <f>'12-A. Print Sub-Annex'!O45</f>
        <v>0</v>
      </c>
      <c r="O375" s="939">
        <f>'12-A. Print Sub-Annex'!P45</f>
        <v>0</v>
      </c>
      <c r="P375" s="1878">
        <f>'12-A. Print Sub-Annex'!Q45</f>
        <v>0</v>
      </c>
      <c r="Q375" s="1912"/>
      <c r="R375" s="1906"/>
      <c r="T375" s="3314"/>
    </row>
    <row r="376" spans="1:20" s="828" customFormat="1" x14ac:dyDescent="0.2">
      <c r="A376" s="1878"/>
      <c r="B376" s="1878">
        <f>'12-A. Print Sub-Annex'!C46</f>
        <v>0</v>
      </c>
      <c r="C376" s="1879" t="str">
        <f>'12-A. Print Sub-Annex'!D46</f>
        <v>Any other (please specify)</v>
      </c>
      <c r="D376" s="1880" t="str">
        <f>'12-A. Print Sub-Annex'!E46</f>
        <v>RCH</v>
      </c>
      <c r="E376" s="1880" t="str">
        <f>'12-A. Print Sub-Annex'!F46</f>
        <v>RBSK</v>
      </c>
      <c r="F376" s="1880">
        <f>'12-A. Print Sub-Annex'!G46</f>
        <v>0</v>
      </c>
      <c r="G376" s="1880">
        <f>'12-A. Print Sub-Annex'!H46</f>
        <v>0</v>
      </c>
      <c r="H376" s="1880">
        <f>'12-A. Print Sub-Annex'!I46</f>
        <v>0</v>
      </c>
      <c r="I376" s="1880">
        <f>'12-A. Print Sub-Annex'!J46</f>
        <v>0</v>
      </c>
      <c r="J376" s="1880">
        <f>'12-A. Print Sub-Annex'!K46</f>
        <v>0</v>
      </c>
      <c r="K376" s="1880">
        <f>'12-A. Print Sub-Annex'!L46</f>
        <v>0</v>
      </c>
      <c r="L376" s="939">
        <f>'12-A. Print Sub-Annex'!M46</f>
        <v>0</v>
      </c>
      <c r="M376" s="1880">
        <f>'12-A. Print Sub-Annex'!N46</f>
        <v>0</v>
      </c>
      <c r="N376" s="1880">
        <f>'12-A. Print Sub-Annex'!O46</f>
        <v>0</v>
      </c>
      <c r="O376" s="939">
        <f>'12-A. Print Sub-Annex'!P46</f>
        <v>0</v>
      </c>
      <c r="P376" s="1878">
        <f>'12-A. Print Sub-Annex'!Q46</f>
        <v>0</v>
      </c>
      <c r="Q376" s="1912"/>
      <c r="R376" s="1906"/>
      <c r="T376" s="3314"/>
    </row>
    <row r="377" spans="1:20" s="828" customFormat="1" x14ac:dyDescent="0.2">
      <c r="A377" s="1869" t="s">
        <v>4673</v>
      </c>
      <c r="B377" s="1869"/>
      <c r="C377" s="1870" t="s">
        <v>4071</v>
      </c>
      <c r="D377" s="1871"/>
      <c r="E377" s="1871"/>
      <c r="F377" s="1871"/>
      <c r="G377" s="1871"/>
      <c r="H377" s="1872"/>
      <c r="I377" s="1871"/>
      <c r="J377" s="1872"/>
      <c r="K377" s="1871"/>
      <c r="L377" s="1872"/>
      <c r="M377" s="1872"/>
      <c r="N377" s="1895"/>
      <c r="O377" s="1896">
        <f>O378+O383+O386</f>
        <v>0</v>
      </c>
      <c r="P377" s="1897"/>
      <c r="Q377" s="1910"/>
      <c r="R377" s="1911">
        <f>R378+R383+R386+R390</f>
        <v>0</v>
      </c>
      <c r="T377" s="3314"/>
    </row>
    <row r="378" spans="1:20" s="828" customFormat="1" x14ac:dyDescent="0.2">
      <c r="A378" s="1875">
        <f>'9.Training Annex'!A7</f>
        <v>9</v>
      </c>
      <c r="B378" s="1875"/>
      <c r="C378" s="1876" t="str">
        <f>'9.Training Annex'!C7</f>
        <v>Training and Capacity Building</v>
      </c>
      <c r="D378" s="1877"/>
      <c r="E378" s="1877"/>
      <c r="F378" s="1877"/>
      <c r="G378" s="1877"/>
      <c r="H378" s="1877"/>
      <c r="I378" s="1877"/>
      <c r="J378" s="1877"/>
      <c r="K378" s="1877"/>
      <c r="L378" s="969"/>
      <c r="M378" s="1877"/>
      <c r="N378" s="1877"/>
      <c r="O378" s="969">
        <f>SUM(O379:O382)</f>
        <v>0</v>
      </c>
      <c r="P378" s="1875"/>
      <c r="Q378" s="162"/>
      <c r="R378" s="132">
        <f>SUM(R379:R382)</f>
        <v>0</v>
      </c>
      <c r="T378" s="3314"/>
    </row>
    <row r="379" spans="1:20" s="828" customFormat="1" ht="30" x14ac:dyDescent="0.2">
      <c r="A379" s="4047" t="str">
        <f>'9.Training Annex'!A26</f>
        <v>9.2.1.6</v>
      </c>
      <c r="B379" s="1878" t="str">
        <f>'9-A.Training Sub-Annex'!C135</f>
        <v>A.9.9.1</v>
      </c>
      <c r="C379" s="1879" t="str">
        <f>'9-A.Training Sub-Annex'!D135</f>
        <v>Training of district Appropriate Authorities and district PNDT Nodal Officers</v>
      </c>
      <c r="D379" s="1880" t="str">
        <f>'9-A.Training Sub-Annex'!E135</f>
        <v>RCH</v>
      </c>
      <c r="E379" s="1880" t="str">
        <f>'9-A.Training Sub-Annex'!F135</f>
        <v>PNDT</v>
      </c>
      <c r="F379" s="1880">
        <f>'9-A.Training Sub-Annex'!G135</f>
        <v>0</v>
      </c>
      <c r="G379" s="1880">
        <f>'9-A.Training Sub-Annex'!H135</f>
        <v>0</v>
      </c>
      <c r="H379" s="1880">
        <f>'9-A.Training Sub-Annex'!I135</f>
        <v>0</v>
      </c>
      <c r="I379" s="1880">
        <f>'9-A.Training Sub-Annex'!J135</f>
        <v>0</v>
      </c>
      <c r="J379" s="1880">
        <f>'9-A.Training Sub-Annex'!K135</f>
        <v>0</v>
      </c>
      <c r="K379" s="1880">
        <f>'9-A.Training Sub-Annex'!L135</f>
        <v>0</v>
      </c>
      <c r="L379" s="939">
        <f>'9-A.Training Sub-Annex'!M135</f>
        <v>0</v>
      </c>
      <c r="M379" s="1880">
        <f>'9-A.Training Sub-Annex'!N135</f>
        <v>0</v>
      </c>
      <c r="N379" s="1880">
        <f>'9-A.Training Sub-Annex'!O135</f>
        <v>0</v>
      </c>
      <c r="O379" s="939">
        <f>'9-A.Training Sub-Annex'!P135</f>
        <v>0</v>
      </c>
      <c r="P379" s="1878">
        <f>'9-A.Training Sub-Annex'!Q135</f>
        <v>0</v>
      </c>
      <c r="Q379" s="124"/>
      <c r="R379" s="1880">
        <v>0</v>
      </c>
    </row>
    <row r="380" spans="1:20" s="828" customFormat="1" ht="30" x14ac:dyDescent="0.2">
      <c r="A380" s="4047"/>
      <c r="B380" s="1878">
        <f>'9-A.Training Sub-Annex'!C136</f>
        <v>0</v>
      </c>
      <c r="C380" s="1879" t="str">
        <f>'9-A.Training Sub-Annex'!D136</f>
        <v>Training of Medical officers conducting pre-natal diagnostic procedures in public health facilities</v>
      </c>
      <c r="D380" s="1880" t="str">
        <f>'9-A.Training Sub-Annex'!E136</f>
        <v>RCH</v>
      </c>
      <c r="E380" s="1880" t="str">
        <f>'9-A.Training Sub-Annex'!F136</f>
        <v>PNDT</v>
      </c>
      <c r="F380" s="1880">
        <f>'9-A.Training Sub-Annex'!G136</f>
        <v>0</v>
      </c>
      <c r="G380" s="1880">
        <f>'9-A.Training Sub-Annex'!H136</f>
        <v>0</v>
      </c>
      <c r="H380" s="1880">
        <f>'9-A.Training Sub-Annex'!I136</f>
        <v>0</v>
      </c>
      <c r="I380" s="1880">
        <f>'9-A.Training Sub-Annex'!J136</f>
        <v>0</v>
      </c>
      <c r="J380" s="1880">
        <f>'9-A.Training Sub-Annex'!K136</f>
        <v>0</v>
      </c>
      <c r="K380" s="1880">
        <f>'9-A.Training Sub-Annex'!L136</f>
        <v>0</v>
      </c>
      <c r="L380" s="939">
        <f>'9-A.Training Sub-Annex'!M136</f>
        <v>0</v>
      </c>
      <c r="M380" s="1880">
        <f>'9-A.Training Sub-Annex'!N136</f>
        <v>0</v>
      </c>
      <c r="N380" s="1880">
        <f>'9-A.Training Sub-Annex'!O136</f>
        <v>0</v>
      </c>
      <c r="O380" s="939">
        <f>'9-A.Training Sub-Annex'!P136</f>
        <v>0</v>
      </c>
      <c r="P380" s="1878">
        <f>'9-A.Training Sub-Annex'!Q136</f>
        <v>0</v>
      </c>
      <c r="Q380" s="124"/>
      <c r="R380" s="1880">
        <v>0</v>
      </c>
    </row>
    <row r="381" spans="1:20" s="828" customFormat="1" x14ac:dyDescent="0.2">
      <c r="A381" s="4047"/>
      <c r="B381" s="1878">
        <f>'9-A.Training Sub-Annex'!C137</f>
        <v>0</v>
      </c>
      <c r="C381" s="1879" t="str">
        <f>'9-A.Training Sub-Annex'!D137</f>
        <v>Training of Public prosecutors</v>
      </c>
      <c r="D381" s="1880" t="str">
        <f>'9-A.Training Sub-Annex'!E137</f>
        <v>RCH</v>
      </c>
      <c r="E381" s="1880" t="str">
        <f>'9-A.Training Sub-Annex'!F137</f>
        <v>PNDT</v>
      </c>
      <c r="F381" s="1880">
        <f>'9-A.Training Sub-Annex'!G137</f>
        <v>0</v>
      </c>
      <c r="G381" s="1880">
        <f>'9-A.Training Sub-Annex'!H137</f>
        <v>0</v>
      </c>
      <c r="H381" s="1880">
        <f>'9-A.Training Sub-Annex'!I137</f>
        <v>0</v>
      </c>
      <c r="I381" s="1880">
        <f>'9-A.Training Sub-Annex'!J137</f>
        <v>0</v>
      </c>
      <c r="J381" s="1880">
        <f>'9-A.Training Sub-Annex'!K137</f>
        <v>0</v>
      </c>
      <c r="K381" s="1880">
        <f>'9-A.Training Sub-Annex'!L137</f>
        <v>0</v>
      </c>
      <c r="L381" s="939">
        <f>'9-A.Training Sub-Annex'!M137</f>
        <v>0</v>
      </c>
      <c r="M381" s="1880">
        <f>'9-A.Training Sub-Annex'!N137</f>
        <v>0</v>
      </c>
      <c r="N381" s="1880">
        <f>'9-A.Training Sub-Annex'!O137</f>
        <v>0</v>
      </c>
      <c r="O381" s="939">
        <f>'9-A.Training Sub-Annex'!P137</f>
        <v>0</v>
      </c>
      <c r="P381" s="1878">
        <f>'9-A.Training Sub-Annex'!Q137</f>
        <v>0</v>
      </c>
      <c r="Q381" s="3333"/>
      <c r="R381" s="3334"/>
      <c r="T381" s="3314"/>
    </row>
    <row r="382" spans="1:20" s="828" customFormat="1" x14ac:dyDescent="0.2">
      <c r="A382" s="4047"/>
      <c r="B382" s="1878" t="str">
        <f>'9-A.Training Sub-Annex'!C138</f>
        <v>9.5.21.2</v>
      </c>
      <c r="C382" s="1879" t="str">
        <f>'9-A.Training Sub-Annex'!D138</f>
        <v>Any other (please specify)</v>
      </c>
      <c r="D382" s="1880" t="str">
        <f>'9-A.Training Sub-Annex'!E138</f>
        <v>RCH</v>
      </c>
      <c r="E382" s="1880" t="str">
        <f>'9-A.Training Sub-Annex'!F138</f>
        <v>PNDT</v>
      </c>
      <c r="F382" s="1880">
        <f>'9-A.Training Sub-Annex'!G138</f>
        <v>0</v>
      </c>
      <c r="G382" s="1880">
        <f>'9-A.Training Sub-Annex'!H138</f>
        <v>0</v>
      </c>
      <c r="H382" s="1880">
        <f>'9-A.Training Sub-Annex'!I138</f>
        <v>0</v>
      </c>
      <c r="I382" s="1880">
        <f>'9-A.Training Sub-Annex'!J138</f>
        <v>0</v>
      </c>
      <c r="J382" s="1880">
        <f>'9-A.Training Sub-Annex'!K138</f>
        <v>0</v>
      </c>
      <c r="K382" s="1880">
        <f>'9-A.Training Sub-Annex'!L138</f>
        <v>0</v>
      </c>
      <c r="L382" s="939">
        <f>'9-A.Training Sub-Annex'!M138</f>
        <v>0</v>
      </c>
      <c r="M382" s="1880">
        <f>'9-A.Training Sub-Annex'!N138</f>
        <v>0</v>
      </c>
      <c r="N382" s="1880">
        <f>'9-A.Training Sub-Annex'!O138</f>
        <v>0</v>
      </c>
      <c r="O382" s="939">
        <f>'9-A.Training Sub-Annex'!P138</f>
        <v>0</v>
      </c>
      <c r="P382" s="1878">
        <f>'9-A.Training Sub-Annex'!Q138</f>
        <v>0</v>
      </c>
      <c r="Q382" s="124"/>
      <c r="R382" s="1880">
        <v>0</v>
      </c>
    </row>
    <row r="383" spans="1:20" s="828" customFormat="1" x14ac:dyDescent="0.2">
      <c r="A383" s="1875">
        <f>'11.IEC-BCC Annex'!A7</f>
        <v>11</v>
      </c>
      <c r="B383" s="1875"/>
      <c r="C383" s="1876" t="str">
        <f>'11.IEC-BCC Annex'!C7</f>
        <v>IEC/BCC</v>
      </c>
      <c r="D383" s="1877"/>
      <c r="E383" s="1877"/>
      <c r="F383" s="1877"/>
      <c r="G383" s="1877"/>
      <c r="H383" s="1877"/>
      <c r="I383" s="1877"/>
      <c r="J383" s="1877"/>
      <c r="K383" s="1877"/>
      <c r="L383" s="969"/>
      <c r="M383" s="1877"/>
      <c r="N383" s="1877"/>
      <c r="O383" s="969">
        <f>SUM(O384:O385)</f>
        <v>0</v>
      </c>
      <c r="P383" s="1875"/>
      <c r="Q383" s="162"/>
      <c r="R383" s="132">
        <f>SUM(R384:R385)</f>
        <v>0</v>
      </c>
      <c r="T383" s="3314"/>
    </row>
    <row r="384" spans="1:20" s="828" customFormat="1" ht="30" x14ac:dyDescent="0.2">
      <c r="A384" s="1878" t="str">
        <f>'11.IEC-BCC Annex'!A14</f>
        <v>11.1.6</v>
      </c>
      <c r="B384" s="1878" t="str">
        <f>'11-A. IEC Sub-Annex'!C30</f>
        <v>B.10.3.5</v>
      </c>
      <c r="C384" s="1879" t="str">
        <f>'11-A. IEC Sub-Annex'!D30</f>
        <v>Creating awareness on declining sex ratio issue (PNDT)</v>
      </c>
      <c r="D384" s="1880" t="str">
        <f>'11-A. IEC Sub-Annex'!E30</f>
        <v>RCH</v>
      </c>
      <c r="E384" s="1880" t="str">
        <f>'11-A. IEC Sub-Annex'!F30</f>
        <v>PNDT</v>
      </c>
      <c r="F384" s="1880">
        <f>'11-A. IEC Sub-Annex'!G30</f>
        <v>0</v>
      </c>
      <c r="G384" s="1880">
        <f>'11-A. IEC Sub-Annex'!H30</f>
        <v>0</v>
      </c>
      <c r="H384" s="1880">
        <f>'11-A. IEC Sub-Annex'!I30</f>
        <v>0</v>
      </c>
      <c r="I384" s="1880">
        <f>'11-A. IEC Sub-Annex'!J30</f>
        <v>0</v>
      </c>
      <c r="J384" s="1880">
        <f>'11-A. IEC Sub-Annex'!K30</f>
        <v>0</v>
      </c>
      <c r="K384" s="1880">
        <f>'11-A. IEC Sub-Annex'!L30</f>
        <v>0</v>
      </c>
      <c r="L384" s="939">
        <f>'11-A. IEC Sub-Annex'!M30</f>
        <v>0</v>
      </c>
      <c r="M384" s="1880">
        <f>'11-A. IEC Sub-Annex'!N30</f>
        <v>0</v>
      </c>
      <c r="N384" s="1880">
        <f>'11-A. IEC Sub-Annex'!O30</f>
        <v>0</v>
      </c>
      <c r="O384" s="939">
        <f>'11-A. IEC Sub-Annex'!P30</f>
        <v>0</v>
      </c>
      <c r="P384" s="1878">
        <f>'11-A. IEC Sub-Annex'!Q30</f>
        <v>0</v>
      </c>
      <c r="Q384" s="124"/>
      <c r="R384" s="1880">
        <v>0</v>
      </c>
    </row>
    <row r="385" spans="1:20" s="828" customFormat="1" x14ac:dyDescent="0.2">
      <c r="A385" s="1878"/>
      <c r="B385" s="1878">
        <f>'11-A. IEC Sub-Annex'!C31</f>
        <v>0</v>
      </c>
      <c r="C385" s="1879" t="str">
        <f>'11-A. IEC Sub-Annex'!D31</f>
        <v>Any other IEC/BCC activities (please specify)</v>
      </c>
      <c r="D385" s="1880" t="str">
        <f>'11-A. IEC Sub-Annex'!E31</f>
        <v>RCH</v>
      </c>
      <c r="E385" s="1880" t="str">
        <f>'11-A. IEC Sub-Annex'!F31</f>
        <v>PNDT</v>
      </c>
      <c r="F385" s="1880">
        <f>'11-A. IEC Sub-Annex'!G31</f>
        <v>0</v>
      </c>
      <c r="G385" s="1880">
        <f>'11-A. IEC Sub-Annex'!H31</f>
        <v>0</v>
      </c>
      <c r="H385" s="1880">
        <f>'11-A. IEC Sub-Annex'!I31</f>
        <v>0</v>
      </c>
      <c r="I385" s="1880">
        <f>'11-A. IEC Sub-Annex'!J31</f>
        <v>0</v>
      </c>
      <c r="J385" s="1880">
        <f>'11-A. IEC Sub-Annex'!K31</f>
        <v>0</v>
      </c>
      <c r="K385" s="1880">
        <f>'11-A. IEC Sub-Annex'!L31</f>
        <v>0</v>
      </c>
      <c r="L385" s="939">
        <f>'11-A. IEC Sub-Annex'!M31</f>
        <v>0</v>
      </c>
      <c r="M385" s="1880">
        <f>'11-A. IEC Sub-Annex'!N31</f>
        <v>0</v>
      </c>
      <c r="N385" s="1880">
        <f>'11-A. IEC Sub-Annex'!O31</f>
        <v>0</v>
      </c>
      <c r="O385" s="939">
        <f>'11-A. IEC Sub-Annex'!P31</f>
        <v>0</v>
      </c>
      <c r="P385" s="1878">
        <f>'11-A. IEC Sub-Annex'!Q31</f>
        <v>0</v>
      </c>
      <c r="Q385" s="124"/>
      <c r="R385" s="1880">
        <v>0</v>
      </c>
    </row>
    <row r="386" spans="1:20" s="828" customFormat="1" x14ac:dyDescent="0.2">
      <c r="A386" s="1875">
        <f>'12.Printing Annex'!A7</f>
        <v>12</v>
      </c>
      <c r="B386" s="1885"/>
      <c r="C386" s="1876" t="str">
        <f>'12.Printing Annex'!C7</f>
        <v>Printing</v>
      </c>
      <c r="D386" s="1877"/>
      <c r="E386" s="1877"/>
      <c r="F386" s="1877"/>
      <c r="G386" s="1877"/>
      <c r="H386" s="969"/>
      <c r="I386" s="1877"/>
      <c r="J386" s="969"/>
      <c r="K386" s="1877"/>
      <c r="L386" s="969"/>
      <c r="M386" s="969"/>
      <c r="N386" s="1886"/>
      <c r="O386" s="1887">
        <f>SUM(O387:O389)</f>
        <v>0</v>
      </c>
      <c r="P386" s="1888"/>
      <c r="Q386" s="1908"/>
      <c r="R386" s="1909">
        <f>SUM(R387:R389)</f>
        <v>0</v>
      </c>
      <c r="T386" s="3314"/>
    </row>
    <row r="387" spans="1:20" s="828" customFormat="1" x14ac:dyDescent="0.2">
      <c r="A387" s="1878" t="str">
        <f>'12.Printing Annex'!A15</f>
        <v>12.1.7</v>
      </c>
      <c r="B387" s="1878" t="str">
        <f>'12-A. Print Sub-Annex'!C51</f>
        <v>B.10.6.14.2</v>
      </c>
      <c r="C387" s="1879" t="str">
        <f>'12-A. Print Sub-Annex'!D51</f>
        <v>Printing of training material</v>
      </c>
      <c r="D387" s="1880" t="str">
        <f>'12-A. Print Sub-Annex'!E51</f>
        <v>RCH</v>
      </c>
      <c r="E387" s="1880" t="str">
        <f>'12-A. Print Sub-Annex'!F51</f>
        <v>PNDT</v>
      </c>
      <c r="F387" s="1880">
        <f>'12-A. Print Sub-Annex'!G51</f>
        <v>0</v>
      </c>
      <c r="G387" s="1880">
        <f>'12-A. Print Sub-Annex'!H51</f>
        <v>0</v>
      </c>
      <c r="H387" s="1880">
        <f>'12-A. Print Sub-Annex'!I51</f>
        <v>0</v>
      </c>
      <c r="I387" s="1880">
        <f>'12-A. Print Sub-Annex'!J51</f>
        <v>0</v>
      </c>
      <c r="J387" s="1880">
        <f>'12-A. Print Sub-Annex'!K51</f>
        <v>0</v>
      </c>
      <c r="K387" s="1880">
        <f>'12-A. Print Sub-Annex'!L51</f>
        <v>0</v>
      </c>
      <c r="L387" s="939">
        <f>'12-A. Print Sub-Annex'!M51</f>
        <v>0</v>
      </c>
      <c r="M387" s="1880">
        <f>'12-A. Print Sub-Annex'!N51</f>
        <v>0</v>
      </c>
      <c r="N387" s="1880">
        <f>'12-A. Print Sub-Annex'!O51</f>
        <v>0</v>
      </c>
      <c r="O387" s="939">
        <f>'12-A. Print Sub-Annex'!P51</f>
        <v>0</v>
      </c>
      <c r="P387" s="1878">
        <f>'12-A. Print Sub-Annex'!Q51</f>
        <v>0</v>
      </c>
      <c r="Q387" s="124"/>
      <c r="R387" s="1880">
        <v>0</v>
      </c>
    </row>
    <row r="388" spans="1:20" s="828" customFormat="1" x14ac:dyDescent="0.2">
      <c r="A388" s="1878"/>
      <c r="B388" s="1878">
        <f>'12-A. Print Sub-Annex'!C52</f>
        <v>0</v>
      </c>
      <c r="C388" s="1879" t="str">
        <f>'12-A. Print Sub-Annex'!D52</f>
        <v>Printing of PC&amp;PNDT Act and Rules</v>
      </c>
      <c r="D388" s="1880" t="str">
        <f>'12-A. Print Sub-Annex'!E52</f>
        <v>RCH</v>
      </c>
      <c r="E388" s="1880" t="str">
        <f>'12-A. Print Sub-Annex'!F52</f>
        <v>PNDT</v>
      </c>
      <c r="F388" s="1880">
        <f>'12-A. Print Sub-Annex'!G52</f>
        <v>0</v>
      </c>
      <c r="G388" s="1880">
        <f>'12-A. Print Sub-Annex'!H52</f>
        <v>0</v>
      </c>
      <c r="H388" s="1880">
        <f>'12-A. Print Sub-Annex'!I52</f>
        <v>0</v>
      </c>
      <c r="I388" s="1880">
        <f>'12-A. Print Sub-Annex'!J52</f>
        <v>0</v>
      </c>
      <c r="J388" s="1880">
        <f>'12-A. Print Sub-Annex'!K52</f>
        <v>0</v>
      </c>
      <c r="K388" s="1880">
        <f>'12-A. Print Sub-Annex'!L52</f>
        <v>0</v>
      </c>
      <c r="L388" s="939">
        <f>'12-A. Print Sub-Annex'!M52</f>
        <v>0</v>
      </c>
      <c r="M388" s="1880">
        <f>'12-A. Print Sub-Annex'!N52</f>
        <v>0</v>
      </c>
      <c r="N388" s="1880">
        <f>'12-A. Print Sub-Annex'!O52</f>
        <v>0</v>
      </c>
      <c r="O388" s="939">
        <f>'12-A. Print Sub-Annex'!P52</f>
        <v>0</v>
      </c>
      <c r="P388" s="1878">
        <f>'12-A. Print Sub-Annex'!Q52</f>
        <v>0</v>
      </c>
      <c r="Q388" s="124"/>
      <c r="R388" s="1880">
        <v>0</v>
      </c>
    </row>
    <row r="389" spans="1:20" s="828" customFormat="1" x14ac:dyDescent="0.2">
      <c r="A389" s="1878"/>
      <c r="B389" s="1878">
        <f>'12-A. Print Sub-Annex'!C53</f>
        <v>0</v>
      </c>
      <c r="C389" s="1879" t="str">
        <f>'12-A. Print Sub-Annex'!D53</f>
        <v>Any other (please specify)</v>
      </c>
      <c r="D389" s="1880" t="str">
        <f>'12-A. Print Sub-Annex'!E53</f>
        <v>RCH</v>
      </c>
      <c r="E389" s="1880" t="str">
        <f>'12-A. Print Sub-Annex'!F53</f>
        <v>PNDT</v>
      </c>
      <c r="F389" s="1880">
        <f>'12-A. Print Sub-Annex'!G53</f>
        <v>0</v>
      </c>
      <c r="G389" s="1880">
        <f>'12-A. Print Sub-Annex'!H53</f>
        <v>0</v>
      </c>
      <c r="H389" s="1880">
        <f>'12-A. Print Sub-Annex'!I53</f>
        <v>0</v>
      </c>
      <c r="I389" s="1880">
        <f>'12-A. Print Sub-Annex'!J53</f>
        <v>0</v>
      </c>
      <c r="J389" s="1880">
        <f>'12-A. Print Sub-Annex'!K53</f>
        <v>0</v>
      </c>
      <c r="K389" s="1880">
        <f>'12-A. Print Sub-Annex'!L53</f>
        <v>0</v>
      </c>
      <c r="L389" s="939">
        <f>'12-A. Print Sub-Annex'!M53</f>
        <v>0</v>
      </c>
      <c r="M389" s="1880">
        <f>'12-A. Print Sub-Annex'!N53</f>
        <v>0</v>
      </c>
      <c r="N389" s="1880">
        <f>'12-A. Print Sub-Annex'!O53</f>
        <v>0</v>
      </c>
      <c r="O389" s="939">
        <f>'12-A. Print Sub-Annex'!P53</f>
        <v>0</v>
      </c>
      <c r="P389" s="1878">
        <f>'12-A. Print Sub-Annex'!Q53</f>
        <v>0</v>
      </c>
      <c r="Q389" s="124"/>
      <c r="R389" s="1880">
        <v>0</v>
      </c>
    </row>
    <row r="390" spans="1:20" s="828" customFormat="1" x14ac:dyDescent="0.2">
      <c r="A390" s="1875">
        <f>'16.PM Annex'!A7</f>
        <v>16</v>
      </c>
      <c r="B390" s="1885"/>
      <c r="C390" s="1875" t="str">
        <f>'16.PM Annex'!C7</f>
        <v>Programme Management</v>
      </c>
      <c r="D390" s="1877"/>
      <c r="E390" s="1877"/>
      <c r="F390" s="1877"/>
      <c r="G390" s="1877"/>
      <c r="H390" s="969"/>
      <c r="I390" s="1877"/>
      <c r="J390" s="969"/>
      <c r="K390" s="1877"/>
      <c r="L390" s="969"/>
      <c r="M390" s="969"/>
      <c r="N390" s="1886"/>
      <c r="O390" s="1887">
        <f>SUM(O391:O393)</f>
        <v>0</v>
      </c>
      <c r="P390" s="1888"/>
      <c r="Q390" s="1908"/>
      <c r="R390" s="1909">
        <f>SUM(R391:R393)</f>
        <v>0</v>
      </c>
      <c r="T390" s="3314"/>
    </row>
    <row r="391" spans="1:20" s="828" customFormat="1" x14ac:dyDescent="0.2">
      <c r="A391" s="1878" t="str">
        <f>'16.PM Annex'!A14</f>
        <v>16.2.1</v>
      </c>
      <c r="B391" s="1878" t="str">
        <f>'16.PM Annex'!B14</f>
        <v>A.7.1</v>
      </c>
      <c r="C391" s="1878" t="str">
        <f>'16.PM Annex'!C14</f>
        <v>HR Support for PC&amp;PNDT Cell</v>
      </c>
      <c r="D391" s="1878"/>
      <c r="E391" s="1878"/>
      <c r="F391" s="1880">
        <f>'16.PM Annex'!E14</f>
        <v>0</v>
      </c>
      <c r="G391" s="1880">
        <f>'16.PM Annex'!F14</f>
        <v>0</v>
      </c>
      <c r="H391" s="1880">
        <f>'16.PM Annex'!G14</f>
        <v>0</v>
      </c>
      <c r="I391" s="1880">
        <f>'16.PM Annex'!H14</f>
        <v>0</v>
      </c>
      <c r="J391" s="1880">
        <f>'16.PM Annex'!I14</f>
        <v>0</v>
      </c>
      <c r="K391" s="1880">
        <f>'16.PM Annex'!J14</f>
        <v>0</v>
      </c>
      <c r="L391" s="939">
        <f>'16.PM Annex'!K14</f>
        <v>0</v>
      </c>
      <c r="M391" s="1880">
        <f>'16.PM Annex'!L14</f>
        <v>0</v>
      </c>
      <c r="N391" s="1880">
        <f>'16.PM Annex'!M14</f>
        <v>0</v>
      </c>
      <c r="O391" s="939">
        <f>'16.PM Annex'!N14</f>
        <v>0</v>
      </c>
      <c r="P391" s="1878">
        <f>'16.PM Annex'!O14</f>
        <v>0</v>
      </c>
      <c r="Q391" s="124"/>
      <c r="R391" s="1880">
        <v>0</v>
      </c>
      <c r="S391" s="3314"/>
    </row>
    <row r="392" spans="1:20" s="828" customFormat="1" x14ac:dyDescent="0.2">
      <c r="A392" s="1878" t="str">
        <f>'16.PM Annex'!A15</f>
        <v>16.2.2</v>
      </c>
      <c r="B392" s="1878" t="str">
        <f>'16.PM Annex'!B15</f>
        <v>A.7.3</v>
      </c>
      <c r="C392" s="1878" t="str">
        <f>'16.PM Annex'!C15</f>
        <v>Mobility support</v>
      </c>
      <c r="D392" s="1878"/>
      <c r="E392" s="1878"/>
      <c r="F392" s="1880">
        <f>'16.PM Annex'!E15</f>
        <v>0</v>
      </c>
      <c r="G392" s="1880">
        <f>'16.PM Annex'!F15</f>
        <v>0</v>
      </c>
      <c r="H392" s="1880">
        <f>'16.PM Annex'!G15</f>
        <v>0</v>
      </c>
      <c r="I392" s="1880">
        <f>'16.PM Annex'!H15</f>
        <v>0</v>
      </c>
      <c r="J392" s="1880">
        <f>'16.PM Annex'!I15</f>
        <v>0</v>
      </c>
      <c r="K392" s="1880">
        <f>'16.PM Annex'!J15</f>
        <v>0</v>
      </c>
      <c r="L392" s="939">
        <f>'16.PM Annex'!K15</f>
        <v>0</v>
      </c>
      <c r="M392" s="1880">
        <f>'16.PM Annex'!L15</f>
        <v>0</v>
      </c>
      <c r="N392" s="1880">
        <f>'16.PM Annex'!M15</f>
        <v>0</v>
      </c>
      <c r="O392" s="939">
        <f>'16.PM Annex'!N15</f>
        <v>0</v>
      </c>
      <c r="P392" s="3288">
        <f>'16.PM Annex'!O15</f>
        <v>0</v>
      </c>
      <c r="Q392" s="3290"/>
      <c r="R392" s="3301"/>
      <c r="S392" s="3314"/>
      <c r="T392" s="3314"/>
    </row>
    <row r="393" spans="1:20" s="828" customFormat="1" ht="30" x14ac:dyDescent="0.2">
      <c r="A393" s="1878" t="str">
        <f>'16.PM Annex'!A16</f>
        <v>16.2.3</v>
      </c>
      <c r="B393" s="1878" t="str">
        <f>'16.PM Annex'!B16</f>
        <v>A.7.2</v>
      </c>
      <c r="C393" s="1878" t="str">
        <f>'16.PM Annex'!C16</f>
        <v>Others (decoy operations, Mapping or surveys of ultrasound  machines etc )</v>
      </c>
      <c r="D393" s="1878"/>
      <c r="E393" s="1878"/>
      <c r="F393" s="1880">
        <f>'16.PM Annex'!E16</f>
        <v>0</v>
      </c>
      <c r="G393" s="1880">
        <f>'16.PM Annex'!F16</f>
        <v>0</v>
      </c>
      <c r="H393" s="1880">
        <f>'16.PM Annex'!G16</f>
        <v>0</v>
      </c>
      <c r="I393" s="1880">
        <f>'16.PM Annex'!H16</f>
        <v>0</v>
      </c>
      <c r="J393" s="1880">
        <f>'16.PM Annex'!I16</f>
        <v>0</v>
      </c>
      <c r="K393" s="1880">
        <f>'16.PM Annex'!J16</f>
        <v>0</v>
      </c>
      <c r="L393" s="939">
        <f>'16.PM Annex'!K16</f>
        <v>0</v>
      </c>
      <c r="M393" s="1880">
        <f>'16.PM Annex'!L16</f>
        <v>0</v>
      </c>
      <c r="N393" s="1880">
        <f>'16.PM Annex'!M16</f>
        <v>0</v>
      </c>
      <c r="O393" s="939">
        <f>'16.PM Annex'!N16</f>
        <v>0</v>
      </c>
      <c r="P393" s="3288">
        <f>'16.PM Annex'!O16</f>
        <v>0</v>
      </c>
      <c r="Q393" s="3290"/>
      <c r="R393" s="3301"/>
      <c r="S393" s="3314"/>
      <c r="T393" s="3314"/>
    </row>
    <row r="394" spans="1:20" s="828" customFormat="1" x14ac:dyDescent="0.2">
      <c r="A394" s="1869" t="s">
        <v>4674</v>
      </c>
      <c r="B394" s="1869"/>
      <c r="C394" s="1870" t="s">
        <v>4072</v>
      </c>
      <c r="D394" s="1871"/>
      <c r="E394" s="1871"/>
      <c r="F394" s="1871"/>
      <c r="G394" s="1871"/>
      <c r="H394" s="1872"/>
      <c r="I394" s="1871"/>
      <c r="J394" s="1872"/>
      <c r="K394" s="1871"/>
      <c r="L394" s="1872"/>
      <c r="M394" s="1872"/>
      <c r="N394" s="1895"/>
      <c r="O394" s="1896">
        <f>O395+O397+O404+O407+O409+O414+O417+O420+O423+O425</f>
        <v>0</v>
      </c>
      <c r="P394" s="1897"/>
      <c r="Q394" s="1910"/>
      <c r="R394" s="1911">
        <f>R395+R397+R404+R407+R409+R414+R417+R420+R423+R425</f>
        <v>0</v>
      </c>
      <c r="T394" s="3314"/>
    </row>
    <row r="395" spans="1:20" s="828" customFormat="1" x14ac:dyDescent="0.2">
      <c r="A395" s="1875">
        <f>'1.SD Facility Based Annex'!A7</f>
        <v>1</v>
      </c>
      <c r="B395" s="1875"/>
      <c r="C395" s="1876" t="str">
        <f>'1.SD Facility Based Annex'!C7</f>
        <v>Service Delivery - Facility Based</v>
      </c>
      <c r="D395" s="1877"/>
      <c r="E395" s="1877"/>
      <c r="F395" s="1877"/>
      <c r="G395" s="1877"/>
      <c r="H395" s="1877"/>
      <c r="I395" s="1877"/>
      <c r="J395" s="1877"/>
      <c r="K395" s="1877"/>
      <c r="L395" s="969"/>
      <c r="M395" s="1877"/>
      <c r="N395" s="1877"/>
      <c r="O395" s="969">
        <f>O396</f>
        <v>0</v>
      </c>
      <c r="P395" s="1875"/>
      <c r="Q395" s="678"/>
      <c r="R395" s="132">
        <f>R396</f>
        <v>0</v>
      </c>
      <c r="T395" s="3314"/>
    </row>
    <row r="396" spans="1:20" s="828" customFormat="1" ht="30" x14ac:dyDescent="0.2">
      <c r="A396" s="1878" t="str">
        <f>'1.SD Facility Based Annex'!A113</f>
        <v>1.3.2.4</v>
      </c>
      <c r="B396" s="1878" t="str">
        <f>'1.SD Facility Based Annex'!B113</f>
        <v>C.1.m</v>
      </c>
      <c r="C396" s="1879" t="str">
        <f>'1.SD Facility Based Annex'!C113</f>
        <v>Consumables for computer including provision for internet access  for strengthening RI</v>
      </c>
      <c r="D396" s="1880" t="str">
        <f>'1.SD Facility Based Annex'!D113</f>
        <v>RCH</v>
      </c>
      <c r="E396" s="1880" t="str">
        <f>'1.SD Facility Based Annex'!E113</f>
        <v>RI</v>
      </c>
      <c r="F396" s="1880">
        <f>'1.SD Facility Based Annex'!F113</f>
        <v>0</v>
      </c>
      <c r="G396" s="1880">
        <f>'1.SD Facility Based Annex'!G113</f>
        <v>0</v>
      </c>
      <c r="H396" s="1880">
        <f>'1.SD Facility Based Annex'!H113</f>
        <v>0</v>
      </c>
      <c r="I396" s="1880">
        <f>'1.SD Facility Based Annex'!I113</f>
        <v>0</v>
      </c>
      <c r="J396" s="1880">
        <f>'1.SD Facility Based Annex'!J113</f>
        <v>0</v>
      </c>
      <c r="K396" s="1880">
        <f>'1.SD Facility Based Annex'!K113</f>
        <v>0</v>
      </c>
      <c r="L396" s="939">
        <f>'1.SD Facility Based Annex'!L113</f>
        <v>0</v>
      </c>
      <c r="M396" s="1880">
        <f>'1.SD Facility Based Annex'!M113</f>
        <v>0</v>
      </c>
      <c r="N396" s="1880">
        <f>'1.SD Facility Based Annex'!N113</f>
        <v>0</v>
      </c>
      <c r="O396" s="939">
        <f>'1.SD Facility Based Annex'!O113</f>
        <v>0</v>
      </c>
      <c r="P396" s="1878">
        <f>'1.SD Facility Based Annex'!P113</f>
        <v>0</v>
      </c>
      <c r="Q396" s="2044"/>
      <c r="R396" s="3326"/>
      <c r="T396" s="3314"/>
    </row>
    <row r="397" spans="1:20" s="828" customFormat="1" x14ac:dyDescent="0.2">
      <c r="A397" s="1875">
        <f>'2.SD Community Based Annex'!A7</f>
        <v>2</v>
      </c>
      <c r="B397" s="1875"/>
      <c r="C397" s="1876" t="str">
        <f>'2.SD Community Based Annex'!C7</f>
        <v>Service Delivery - Community Based</v>
      </c>
      <c r="D397" s="1877"/>
      <c r="E397" s="1877"/>
      <c r="F397" s="1877"/>
      <c r="G397" s="1877"/>
      <c r="H397" s="969"/>
      <c r="I397" s="1877"/>
      <c r="J397" s="969"/>
      <c r="K397" s="1877"/>
      <c r="L397" s="969"/>
      <c r="M397" s="969"/>
      <c r="N397" s="1901"/>
      <c r="O397" s="969">
        <f>SUM(O398:O403)</f>
        <v>0</v>
      </c>
      <c r="P397" s="1883"/>
      <c r="Q397" s="162"/>
      <c r="R397" s="132">
        <f>SUM(R398:R403)</f>
        <v>0</v>
      </c>
      <c r="T397" s="3314"/>
    </row>
    <row r="398" spans="1:20" s="828" customFormat="1" x14ac:dyDescent="0.2">
      <c r="A398" s="1878" t="str">
        <f>'2.SD Community Based Annex'!A25</f>
        <v>2.2.6</v>
      </c>
      <c r="B398" s="1878" t="str">
        <f>'2.SD Community Based Annex'!B25</f>
        <v>C.1.r</v>
      </c>
      <c r="C398" s="1879" t="str">
        <f>'2.SD Community Based Annex'!C25</f>
        <v xml:space="preserve">Teeka Express Operational Cost </v>
      </c>
      <c r="D398" s="1880" t="str">
        <f>'2.SD Community Based Annex'!D25</f>
        <v>RCH</v>
      </c>
      <c r="E398" s="1880" t="str">
        <f>'2.SD Community Based Annex'!E25</f>
        <v>RI</v>
      </c>
      <c r="F398" s="1880">
        <f>'2.SD Community Based Annex'!F25</f>
        <v>0</v>
      </c>
      <c r="G398" s="1880">
        <f>'2.SD Community Based Annex'!G25</f>
        <v>0</v>
      </c>
      <c r="H398" s="1880">
        <f>'2.SD Community Based Annex'!H25</f>
        <v>0</v>
      </c>
      <c r="I398" s="1880">
        <f>'2.SD Community Based Annex'!I25</f>
        <v>0</v>
      </c>
      <c r="J398" s="1880">
        <f>'2.SD Community Based Annex'!J25</f>
        <v>0</v>
      </c>
      <c r="K398" s="1880">
        <f>'2.SD Community Based Annex'!K25</f>
        <v>0</v>
      </c>
      <c r="L398" s="939">
        <f>'2.SD Community Based Annex'!L25</f>
        <v>0</v>
      </c>
      <c r="M398" s="1880">
        <f>'2.SD Community Based Annex'!M25</f>
        <v>0</v>
      </c>
      <c r="N398" s="1880">
        <f>'2.SD Community Based Annex'!N25</f>
        <v>0</v>
      </c>
      <c r="O398" s="939">
        <f>'2.SD Community Based Annex'!O25</f>
        <v>0</v>
      </c>
      <c r="P398" s="1878">
        <f>'2.SD Community Based Annex'!P25</f>
        <v>0</v>
      </c>
      <c r="Q398" s="124"/>
      <c r="R398" s="1880">
        <v>0</v>
      </c>
    </row>
    <row r="399" spans="1:20" s="828" customFormat="1" x14ac:dyDescent="0.2">
      <c r="A399" s="1878" t="str">
        <f>'2.SD Community Based Annex'!A26</f>
        <v>2.2.7</v>
      </c>
      <c r="B399" s="1878" t="str">
        <f>'2.SD Community Based Annex'!B26</f>
        <v>C.1.t</v>
      </c>
      <c r="C399" s="1879" t="str">
        <f>'2.SD Community Based Annex'!C26</f>
        <v xml:space="preserve">JE Campaign Operational Cost </v>
      </c>
      <c r="D399" s="1880" t="str">
        <f>'2.SD Community Based Annex'!D26</f>
        <v>RCH</v>
      </c>
      <c r="E399" s="1880" t="str">
        <f>'2.SD Community Based Annex'!E26</f>
        <v>RI</v>
      </c>
      <c r="F399" s="1880">
        <f>'2.SD Community Based Annex'!F26</f>
        <v>0</v>
      </c>
      <c r="G399" s="1880">
        <f>'2.SD Community Based Annex'!G26</f>
        <v>0</v>
      </c>
      <c r="H399" s="1880">
        <f>'2.SD Community Based Annex'!H26</f>
        <v>0</v>
      </c>
      <c r="I399" s="1880">
        <f>'2.SD Community Based Annex'!I26</f>
        <v>0</v>
      </c>
      <c r="J399" s="1880">
        <f>'2.SD Community Based Annex'!J26</f>
        <v>0</v>
      </c>
      <c r="K399" s="1880">
        <f>'2.SD Community Based Annex'!K26</f>
        <v>0</v>
      </c>
      <c r="L399" s="939">
        <f>'2.SD Community Based Annex'!L26</f>
        <v>0</v>
      </c>
      <c r="M399" s="1880">
        <f>'2.SD Community Based Annex'!M26</f>
        <v>0</v>
      </c>
      <c r="N399" s="1880">
        <f>'2.SD Community Based Annex'!N26</f>
        <v>0</v>
      </c>
      <c r="O399" s="939">
        <f>'2.SD Community Based Annex'!O26</f>
        <v>0</v>
      </c>
      <c r="P399" s="1878">
        <f>'2.SD Community Based Annex'!P26</f>
        <v>0</v>
      </c>
      <c r="Q399" s="124"/>
      <c r="R399" s="1880">
        <v>0</v>
      </c>
    </row>
    <row r="400" spans="1:20" s="828" customFormat="1" x14ac:dyDescent="0.2">
      <c r="A400" s="1878" t="str">
        <f>'2.SD Community Based Annex'!A27</f>
        <v>2.2.8</v>
      </c>
      <c r="B400" s="1878" t="str">
        <f>'2.SD Community Based Annex'!B27</f>
        <v>C.6</v>
      </c>
      <c r="C400" s="1879" t="str">
        <f>'2.SD Community Based Annex'!C27</f>
        <v>Pulse Polio operating costs</v>
      </c>
      <c r="D400" s="1880" t="str">
        <f>'2.SD Community Based Annex'!D27</f>
        <v>RCH</v>
      </c>
      <c r="E400" s="1880" t="str">
        <f>'2.SD Community Based Annex'!E27</f>
        <v>RI</v>
      </c>
      <c r="F400" s="1880">
        <f>'2.SD Community Based Annex'!F27</f>
        <v>0</v>
      </c>
      <c r="G400" s="1880">
        <f>'2.SD Community Based Annex'!G27</f>
        <v>0</v>
      </c>
      <c r="H400" s="1880">
        <f>'2.SD Community Based Annex'!H27</f>
        <v>0</v>
      </c>
      <c r="I400" s="1880">
        <f>'2.SD Community Based Annex'!I27</f>
        <v>0</v>
      </c>
      <c r="J400" s="1880">
        <f>'2.SD Community Based Annex'!J27</f>
        <v>0</v>
      </c>
      <c r="K400" s="1880">
        <f>'2.SD Community Based Annex'!K27</f>
        <v>0</v>
      </c>
      <c r="L400" s="939">
        <f>'2.SD Community Based Annex'!L27</f>
        <v>0</v>
      </c>
      <c r="M400" s="1880">
        <f>'2.SD Community Based Annex'!M27</f>
        <v>0</v>
      </c>
      <c r="N400" s="1880">
        <f>'2.SD Community Based Annex'!N27</f>
        <v>0</v>
      </c>
      <c r="O400" s="939">
        <f>'2.SD Community Based Annex'!O27</f>
        <v>0</v>
      </c>
      <c r="P400" s="1878">
        <f>'2.SD Community Based Annex'!P27</f>
        <v>0</v>
      </c>
      <c r="Q400" s="124"/>
      <c r="R400" s="1907"/>
      <c r="T400" s="3314"/>
    </row>
    <row r="401" spans="1:20" s="828" customFormat="1" x14ac:dyDescent="0.2">
      <c r="A401" s="1878" t="str">
        <f>'2.SD Community Based Annex'!A28</f>
        <v>2.2.9</v>
      </c>
      <c r="B401" s="1878" t="str">
        <f>'2.SD Community Based Annex'!B28</f>
        <v>C.1.s</v>
      </c>
      <c r="C401" s="1879" t="str">
        <f>'2.SD Community Based Annex'!C28</f>
        <v>Measles Rubella SIA operational Cost</v>
      </c>
      <c r="D401" s="1880" t="str">
        <f>'2.SD Community Based Annex'!D28</f>
        <v>RCH</v>
      </c>
      <c r="E401" s="1880" t="str">
        <f>'2.SD Community Based Annex'!E28</f>
        <v>RI</v>
      </c>
      <c r="F401" s="1880">
        <f>'2.SD Community Based Annex'!F28</f>
        <v>0</v>
      </c>
      <c r="G401" s="1880">
        <f>'2.SD Community Based Annex'!G28</f>
        <v>0</v>
      </c>
      <c r="H401" s="1880">
        <f>'2.SD Community Based Annex'!H28</f>
        <v>0</v>
      </c>
      <c r="I401" s="1880">
        <f>'2.SD Community Based Annex'!I28</f>
        <v>0</v>
      </c>
      <c r="J401" s="1880">
        <f>'2.SD Community Based Annex'!J28</f>
        <v>0</v>
      </c>
      <c r="K401" s="1880">
        <f>'2.SD Community Based Annex'!K28</f>
        <v>0</v>
      </c>
      <c r="L401" s="939">
        <f>'2.SD Community Based Annex'!L28</f>
        <v>0</v>
      </c>
      <c r="M401" s="1880">
        <f>'2.SD Community Based Annex'!M28</f>
        <v>0</v>
      </c>
      <c r="N401" s="1880">
        <f>'2.SD Community Based Annex'!N28</f>
        <v>0</v>
      </c>
      <c r="O401" s="939">
        <f>'2.SD Community Based Annex'!O28</f>
        <v>0</v>
      </c>
      <c r="P401" s="1878">
        <f>'2.SD Community Based Annex'!P28</f>
        <v>0</v>
      </c>
      <c r="Q401" s="124"/>
      <c r="R401" s="1880"/>
    </row>
    <row r="402" spans="1:20" s="828" customFormat="1" ht="45" x14ac:dyDescent="0.2">
      <c r="A402" s="1878" t="str">
        <f>'2.SD Community Based Annex'!A43</f>
        <v>2.3.1.9</v>
      </c>
      <c r="B402" s="1878" t="str">
        <f>'2.SD Community Based Annex'!B43</f>
        <v>C.1.f</v>
      </c>
      <c r="C402" s="1879" t="str">
        <f>'2.SD Community Based Annex'!C43</f>
        <v>Focus on slum &amp; underserved areas in urban areas/alternative vaccinator for slums (only where regular ANM under NUHM not engaged)</v>
      </c>
      <c r="D402" s="1880" t="str">
        <f>'2.SD Community Based Annex'!D43</f>
        <v>RCH</v>
      </c>
      <c r="E402" s="1880" t="str">
        <f>'2.SD Community Based Annex'!E43</f>
        <v>RI</v>
      </c>
      <c r="F402" s="1880">
        <f>'2.SD Community Based Annex'!F43</f>
        <v>0</v>
      </c>
      <c r="G402" s="1880">
        <f>'2.SD Community Based Annex'!G43</f>
        <v>0</v>
      </c>
      <c r="H402" s="1880">
        <f>'2.SD Community Based Annex'!H43</f>
        <v>0</v>
      </c>
      <c r="I402" s="1880">
        <f>'2.SD Community Based Annex'!I43</f>
        <v>0</v>
      </c>
      <c r="J402" s="1880">
        <f>'2.SD Community Based Annex'!J43</f>
        <v>0</v>
      </c>
      <c r="K402" s="1880">
        <f>'2.SD Community Based Annex'!K43</f>
        <v>0</v>
      </c>
      <c r="L402" s="939">
        <f>'2.SD Community Based Annex'!L43</f>
        <v>0</v>
      </c>
      <c r="M402" s="1880">
        <f>'2.SD Community Based Annex'!M43</f>
        <v>0</v>
      </c>
      <c r="N402" s="1880">
        <f>'2.SD Community Based Annex'!N43</f>
        <v>0</v>
      </c>
      <c r="O402" s="939">
        <f>'2.SD Community Based Annex'!O43</f>
        <v>0</v>
      </c>
      <c r="P402" s="1878">
        <f>'2.SD Community Based Annex'!P43</f>
        <v>0</v>
      </c>
      <c r="Q402" s="124"/>
      <c r="R402" s="1907"/>
      <c r="T402" s="3314"/>
    </row>
    <row r="403" spans="1:20" s="828" customFormat="1" ht="45" x14ac:dyDescent="0.2">
      <c r="A403" s="1878" t="str">
        <f>'2.SD Community Based Annex'!A44</f>
        <v>2.3.1.10</v>
      </c>
      <c r="B403" s="1878">
        <f>'2.SD Community Based Annex'!B44</f>
        <v>0</v>
      </c>
      <c r="C403" s="1879" t="str">
        <f>'2.SD Community Based Annex'!C44</f>
        <v>Mobility support for mobile health team/  TA/DA to vaccinators for coverage in vacant sub-centres</v>
      </c>
      <c r="D403" s="1880" t="str">
        <f>'2.SD Community Based Annex'!D44</f>
        <v>RCH</v>
      </c>
      <c r="E403" s="1880" t="str">
        <f>'2.SD Community Based Annex'!E44</f>
        <v>RI</v>
      </c>
      <c r="F403" s="1880">
        <f>'2.SD Community Based Annex'!F44</f>
        <v>0</v>
      </c>
      <c r="G403" s="1880">
        <f>'2.SD Community Based Annex'!G44</f>
        <v>0</v>
      </c>
      <c r="H403" s="1880">
        <f>'2.SD Community Based Annex'!H44</f>
        <v>0</v>
      </c>
      <c r="I403" s="1880">
        <f>'2.SD Community Based Annex'!I44</f>
        <v>0</v>
      </c>
      <c r="J403" s="1880">
        <f>'2.SD Community Based Annex'!J44</f>
        <v>0</v>
      </c>
      <c r="K403" s="1880">
        <f>'2.SD Community Based Annex'!K44</f>
        <v>0</v>
      </c>
      <c r="L403" s="939">
        <f>'2.SD Community Based Annex'!L44</f>
        <v>0</v>
      </c>
      <c r="M403" s="1880">
        <f>'2.SD Community Based Annex'!M44</f>
        <v>0</v>
      </c>
      <c r="N403" s="1880">
        <f>'2.SD Community Based Annex'!N44</f>
        <v>0</v>
      </c>
      <c r="O403" s="939">
        <f>'2.SD Community Based Annex'!O44</f>
        <v>0</v>
      </c>
      <c r="P403" s="1878">
        <f>'2.SD Community Based Annex'!P44</f>
        <v>0</v>
      </c>
      <c r="Q403" s="124"/>
      <c r="R403" s="1907"/>
      <c r="T403" s="3314"/>
    </row>
    <row r="404" spans="1:20" s="828" customFormat="1" x14ac:dyDescent="0.2">
      <c r="A404" s="1875">
        <f>'3.Community Intervention Annexn'!A7</f>
        <v>3</v>
      </c>
      <c r="B404" s="1875"/>
      <c r="C404" s="1876" t="str">
        <f>'3.Community Intervention Annexn'!C7</f>
        <v>Community Interventions</v>
      </c>
      <c r="D404" s="1877"/>
      <c r="E404" s="1877"/>
      <c r="F404" s="1877"/>
      <c r="G404" s="1877"/>
      <c r="H404" s="969"/>
      <c r="I404" s="1877"/>
      <c r="J404" s="969"/>
      <c r="K404" s="1877"/>
      <c r="L404" s="969"/>
      <c r="M404" s="969"/>
      <c r="N404" s="1886"/>
      <c r="O404" s="1887">
        <f>SUM(O405:O406)</f>
        <v>0</v>
      </c>
      <c r="P404" s="1888"/>
      <c r="Q404" s="1908"/>
      <c r="R404" s="1909">
        <f>SUM(R405:R406)</f>
        <v>0</v>
      </c>
      <c r="T404" s="3314"/>
    </row>
    <row r="405" spans="1:20" s="828" customFormat="1" x14ac:dyDescent="0.2">
      <c r="A405" s="1878" t="str">
        <f>'3.Community Intervention Annexn'!A13</f>
        <v>3.1.1.1.3</v>
      </c>
      <c r="B405" s="1878" t="str">
        <f>'3-A. CI Sub-Annex'!C21</f>
        <v>C.5</v>
      </c>
      <c r="C405" s="1879" t="str">
        <f>'3-A. CI Sub-Annex'!D21</f>
        <v>ASHA Incentive under Immunization</v>
      </c>
      <c r="D405" s="1880" t="str">
        <f>'3-A. CI Sub-Annex'!E21</f>
        <v>RCH</v>
      </c>
      <c r="E405" s="1880" t="str">
        <f>'3-A. CI Sub-Annex'!F21</f>
        <v>RI/NHSRC-CP</v>
      </c>
      <c r="F405" s="1880">
        <f>'3-A. CI Sub-Annex'!G21</f>
        <v>0</v>
      </c>
      <c r="G405" s="1880">
        <f>'3-A. CI Sub-Annex'!H21</f>
        <v>0</v>
      </c>
      <c r="H405" s="1880">
        <f>'3-A. CI Sub-Annex'!I21</f>
        <v>0</v>
      </c>
      <c r="I405" s="1880">
        <f>'3-A. CI Sub-Annex'!J21</f>
        <v>0</v>
      </c>
      <c r="J405" s="1880">
        <f>'3-A. CI Sub-Annex'!K21</f>
        <v>0</v>
      </c>
      <c r="K405" s="1880">
        <f>'3-A. CI Sub-Annex'!L21</f>
        <v>0</v>
      </c>
      <c r="L405" s="939">
        <f>'3-A. CI Sub-Annex'!M21</f>
        <v>0</v>
      </c>
      <c r="M405" s="1880">
        <f>'3-A. CI Sub-Annex'!N21</f>
        <v>0</v>
      </c>
      <c r="N405" s="1880">
        <f>'3-A. CI Sub-Annex'!O21</f>
        <v>0</v>
      </c>
      <c r="O405" s="939">
        <f>'3-A. CI Sub-Annex'!P21</f>
        <v>0</v>
      </c>
      <c r="P405" s="1878">
        <f>'3-A. CI Sub-Annex'!Q21</f>
        <v>0</v>
      </c>
      <c r="Q405" s="124"/>
      <c r="R405" s="1906"/>
      <c r="T405" s="3314"/>
    </row>
    <row r="406" spans="1:20" s="828" customFormat="1" ht="30" x14ac:dyDescent="0.2">
      <c r="A406" s="1881"/>
      <c r="B406" s="1878" t="str">
        <f>'3-A. CI Sub-Annex'!C22</f>
        <v>C.1.g</v>
      </c>
      <c r="C406" s="1879" t="str">
        <f>'3-A. CI Sub-Annex'!D22</f>
        <v>Mobilization of children through ASHA or other mobilizers</v>
      </c>
      <c r="D406" s="1880" t="str">
        <f>'3-A. CI Sub-Annex'!E22</f>
        <v>RCH</v>
      </c>
      <c r="E406" s="1880" t="str">
        <f>'3-A. CI Sub-Annex'!F22</f>
        <v>RI/NHSRC-CP</v>
      </c>
      <c r="F406" s="1880">
        <f>'3-A. CI Sub-Annex'!G22</f>
        <v>0</v>
      </c>
      <c r="G406" s="1880">
        <f>'3-A. CI Sub-Annex'!H22</f>
        <v>0</v>
      </c>
      <c r="H406" s="1880">
        <f>'3-A. CI Sub-Annex'!I22</f>
        <v>0</v>
      </c>
      <c r="I406" s="1880">
        <f>'3-A. CI Sub-Annex'!J22</f>
        <v>0</v>
      </c>
      <c r="J406" s="1880">
        <f>'3-A. CI Sub-Annex'!K22</f>
        <v>0</v>
      </c>
      <c r="K406" s="1880">
        <f>'3-A. CI Sub-Annex'!L22</f>
        <v>0</v>
      </c>
      <c r="L406" s="939">
        <f>'3-A. CI Sub-Annex'!M22</f>
        <v>0</v>
      </c>
      <c r="M406" s="1880">
        <f>'3-A. CI Sub-Annex'!N22</f>
        <v>0</v>
      </c>
      <c r="N406" s="1880">
        <f>'3-A. CI Sub-Annex'!O22</f>
        <v>0</v>
      </c>
      <c r="O406" s="939">
        <f>'3-A. CI Sub-Annex'!P22</f>
        <v>0</v>
      </c>
      <c r="P406" s="1878">
        <f>'3-A. CI Sub-Annex'!Q22</f>
        <v>0</v>
      </c>
      <c r="Q406" s="124"/>
      <c r="R406" s="1906"/>
      <c r="T406" s="3314"/>
    </row>
    <row r="407" spans="1:20" s="828" customFormat="1" x14ac:dyDescent="0.2">
      <c r="A407" s="1875">
        <f>'5.Infrastructure Annex'!A7</f>
        <v>5</v>
      </c>
      <c r="B407" s="1875"/>
      <c r="C407" s="1876" t="str">
        <f>'5.Infrastructure Annex'!C7</f>
        <v>Infrastructure</v>
      </c>
      <c r="D407" s="1877"/>
      <c r="E407" s="1877"/>
      <c r="F407" s="1877"/>
      <c r="G407" s="1877"/>
      <c r="H407" s="969"/>
      <c r="I407" s="1877"/>
      <c r="J407" s="969"/>
      <c r="K407" s="1877"/>
      <c r="L407" s="969"/>
      <c r="M407" s="969"/>
      <c r="N407" s="1886"/>
      <c r="O407" s="1887">
        <f>O408</f>
        <v>0</v>
      </c>
      <c r="P407" s="1888"/>
      <c r="Q407" s="1908"/>
      <c r="R407" s="1909">
        <f>R408</f>
        <v>0</v>
      </c>
      <c r="T407" s="3314"/>
    </row>
    <row r="408" spans="1:20" s="828" customFormat="1" x14ac:dyDescent="0.2">
      <c r="A408" s="1878" t="str">
        <f>'5.Infrastructure Annex'!A89</f>
        <v>5.3.9</v>
      </c>
      <c r="B408" s="1878" t="str">
        <f>'5.Infrastructure Annex'!B89</f>
        <v>C.1.p</v>
      </c>
      <c r="C408" s="1879" t="str">
        <f>'5.Infrastructure Annex'!C89</f>
        <v>Safety Pits</v>
      </c>
      <c r="D408" s="1880" t="str">
        <f>'5.Infrastructure Annex'!D89</f>
        <v>RCH</v>
      </c>
      <c r="E408" s="1880" t="str">
        <f>'5.Infrastructure Annex'!E89</f>
        <v>RI</v>
      </c>
      <c r="F408" s="1880">
        <f>'5.Infrastructure Annex'!F89</f>
        <v>0</v>
      </c>
      <c r="G408" s="1880">
        <f>'5.Infrastructure Annex'!G89</f>
        <v>0</v>
      </c>
      <c r="H408" s="1880">
        <f>'5.Infrastructure Annex'!H89</f>
        <v>0</v>
      </c>
      <c r="I408" s="1880">
        <f>'5.Infrastructure Annex'!I89</f>
        <v>0</v>
      </c>
      <c r="J408" s="1880">
        <f>'5.Infrastructure Annex'!J89</f>
        <v>0</v>
      </c>
      <c r="K408" s="1880">
        <f>'5.Infrastructure Annex'!K89</f>
        <v>0</v>
      </c>
      <c r="L408" s="939">
        <f>'5.Infrastructure Annex'!L89</f>
        <v>0</v>
      </c>
      <c r="M408" s="1880">
        <f>'5.Infrastructure Annex'!M89</f>
        <v>0</v>
      </c>
      <c r="N408" s="1880">
        <f>'5.Infrastructure Annex'!N89</f>
        <v>0</v>
      </c>
      <c r="O408" s="939">
        <f>'5.Infrastructure Annex'!O89</f>
        <v>0</v>
      </c>
      <c r="P408" s="1878">
        <f>'5.Infrastructure Annex'!P89</f>
        <v>0</v>
      </c>
      <c r="Q408" s="124"/>
      <c r="R408" s="1880">
        <v>0</v>
      </c>
    </row>
    <row r="409" spans="1:20" s="828" customFormat="1" x14ac:dyDescent="0.2">
      <c r="A409" s="1875">
        <f>'6.Procurement Annex'!A7</f>
        <v>6</v>
      </c>
      <c r="B409" s="1875"/>
      <c r="C409" s="1876" t="str">
        <f>'6.Procurement Annex'!C7</f>
        <v>Procurement</v>
      </c>
      <c r="D409" s="1877"/>
      <c r="E409" s="1877"/>
      <c r="F409" s="1877"/>
      <c r="G409" s="1877"/>
      <c r="H409" s="969"/>
      <c r="I409" s="1877"/>
      <c r="J409" s="969"/>
      <c r="K409" s="1877"/>
      <c r="L409" s="969"/>
      <c r="M409" s="969"/>
      <c r="N409" s="1886"/>
      <c r="O409" s="1887">
        <f>SUM(O410:O413)</f>
        <v>0</v>
      </c>
      <c r="P409" s="1888"/>
      <c r="Q409" s="1908"/>
      <c r="R409" s="1909">
        <f>SUM(R410:R413)</f>
        <v>0</v>
      </c>
      <c r="T409" s="3314"/>
    </row>
    <row r="410" spans="1:20" s="828" customFormat="1" x14ac:dyDescent="0.2">
      <c r="A410" s="4047" t="str">
        <f>'6.Procurement Annex'!A14</f>
        <v>6.1.1.5</v>
      </c>
      <c r="B410" s="1878" t="str">
        <f>'6-A. Proc. Sub-Annex'!C36</f>
        <v>C.1.o</v>
      </c>
      <c r="C410" s="1879" t="str">
        <f>'6-A. Proc. Sub-Annex'!D36</f>
        <v>Hub Cutter</v>
      </c>
      <c r="D410" s="1880" t="str">
        <f>'6-A. Proc. Sub-Annex'!E36</f>
        <v>RCH</v>
      </c>
      <c r="E410" s="1880" t="str">
        <f>'6-A. Proc. Sub-Annex'!F36</f>
        <v>RI</v>
      </c>
      <c r="F410" s="1880">
        <f>'6-A. Proc. Sub-Annex'!G36</f>
        <v>0</v>
      </c>
      <c r="G410" s="1880">
        <f>'6-A. Proc. Sub-Annex'!H36</f>
        <v>0</v>
      </c>
      <c r="H410" s="1880">
        <f>'6-A. Proc. Sub-Annex'!I36</f>
        <v>0</v>
      </c>
      <c r="I410" s="1880">
        <f>'6-A. Proc. Sub-Annex'!J36</f>
        <v>0</v>
      </c>
      <c r="J410" s="1880">
        <f>'6-A. Proc. Sub-Annex'!K36</f>
        <v>0</v>
      </c>
      <c r="K410" s="1880">
        <f>'6-A. Proc. Sub-Annex'!L36</f>
        <v>0</v>
      </c>
      <c r="L410" s="939">
        <f>'6-A. Proc. Sub-Annex'!M36</f>
        <v>0</v>
      </c>
      <c r="M410" s="1880">
        <f>'6-A. Proc. Sub-Annex'!N36</f>
        <v>0</v>
      </c>
      <c r="N410" s="1880">
        <f>'6-A. Proc. Sub-Annex'!O36</f>
        <v>0</v>
      </c>
      <c r="O410" s="939">
        <f>'6-A. Proc. Sub-Annex'!P36</f>
        <v>0</v>
      </c>
      <c r="P410" s="1878">
        <f>'6-A. Proc. Sub-Annex'!Q36</f>
        <v>0</v>
      </c>
      <c r="Q410" s="124"/>
      <c r="R410" s="1880">
        <v>0</v>
      </c>
    </row>
    <row r="411" spans="1:20" s="828" customFormat="1" x14ac:dyDescent="0.2">
      <c r="A411" s="4047"/>
      <c r="B411" s="1878">
        <f>'6-A. Proc. Sub-Annex'!C37</f>
        <v>0</v>
      </c>
      <c r="C411" s="1879" t="str">
        <f>'6-A. Proc. Sub-Annex'!D37</f>
        <v>Any other equipment (please specify)</v>
      </c>
      <c r="D411" s="1880" t="str">
        <f>'6-A. Proc. Sub-Annex'!E37</f>
        <v>RCH</v>
      </c>
      <c r="E411" s="1880" t="str">
        <f>'6-A. Proc. Sub-Annex'!F37</f>
        <v>RI</v>
      </c>
      <c r="F411" s="1880">
        <f>'6-A. Proc. Sub-Annex'!G37</f>
        <v>0</v>
      </c>
      <c r="G411" s="1880">
        <f>'6-A. Proc. Sub-Annex'!H37</f>
        <v>0</v>
      </c>
      <c r="H411" s="1880">
        <f>'6-A. Proc. Sub-Annex'!I37</f>
        <v>0</v>
      </c>
      <c r="I411" s="1880">
        <f>'6-A. Proc. Sub-Annex'!J37</f>
        <v>0</v>
      </c>
      <c r="J411" s="1880">
        <f>'6-A. Proc. Sub-Annex'!K37</f>
        <v>0</v>
      </c>
      <c r="K411" s="1880">
        <f>'6-A. Proc. Sub-Annex'!L37</f>
        <v>0</v>
      </c>
      <c r="L411" s="939">
        <f>'6-A. Proc. Sub-Annex'!M37</f>
        <v>0</v>
      </c>
      <c r="M411" s="1880">
        <f>'6-A. Proc. Sub-Annex'!N37</f>
        <v>0</v>
      </c>
      <c r="N411" s="1880">
        <f>'6-A. Proc. Sub-Annex'!O37</f>
        <v>0</v>
      </c>
      <c r="O411" s="939">
        <f>'6-A. Proc. Sub-Annex'!P37</f>
        <v>0</v>
      </c>
      <c r="P411" s="1878">
        <f>'6-A. Proc. Sub-Annex'!Q37</f>
        <v>0</v>
      </c>
      <c r="Q411" s="124"/>
      <c r="R411" s="1880">
        <v>0</v>
      </c>
    </row>
    <row r="412" spans="1:20" s="828" customFormat="1" x14ac:dyDescent="0.2">
      <c r="A412" s="4047" t="str">
        <f>'6.Procurement Annex'!A60</f>
        <v>6.2.1.5</v>
      </c>
      <c r="B412" s="1878" t="str">
        <f>'6-A. Proc. Sub-Annex'!C185</f>
        <v>C.1.n</v>
      </c>
      <c r="C412" s="1879" t="str">
        <f>'6-A. Proc. Sub-Annex'!D185</f>
        <v>Red/Black plastic bags etc.</v>
      </c>
      <c r="D412" s="1880" t="str">
        <f>'6-A. Proc. Sub-Annex'!E185</f>
        <v>RCH</v>
      </c>
      <c r="E412" s="1880" t="str">
        <f>'6-A. Proc. Sub-Annex'!F185</f>
        <v>RI</v>
      </c>
      <c r="F412" s="1880">
        <f>'6-A. Proc. Sub-Annex'!G185</f>
        <v>0</v>
      </c>
      <c r="G412" s="1880">
        <f>'6-A. Proc. Sub-Annex'!H185</f>
        <v>0</v>
      </c>
      <c r="H412" s="1880">
        <f>'6-A. Proc. Sub-Annex'!I185</f>
        <v>0</v>
      </c>
      <c r="I412" s="1880">
        <f>'6-A. Proc. Sub-Annex'!J185</f>
        <v>0</v>
      </c>
      <c r="J412" s="1880">
        <f>'6-A. Proc. Sub-Annex'!K185</f>
        <v>0</v>
      </c>
      <c r="K412" s="1880">
        <f>'6-A. Proc. Sub-Annex'!L185</f>
        <v>0</v>
      </c>
      <c r="L412" s="939">
        <f>'6-A. Proc. Sub-Annex'!M185</f>
        <v>0</v>
      </c>
      <c r="M412" s="1880">
        <f>'6-A. Proc. Sub-Annex'!N185</f>
        <v>0</v>
      </c>
      <c r="N412" s="1880">
        <f>'6-A. Proc. Sub-Annex'!O185</f>
        <v>0</v>
      </c>
      <c r="O412" s="939">
        <f>'6-A. Proc. Sub-Annex'!P185</f>
        <v>0</v>
      </c>
      <c r="P412" s="1878">
        <f>'6-A. Proc. Sub-Annex'!Q185</f>
        <v>0</v>
      </c>
      <c r="Q412" s="124"/>
      <c r="R412" s="1906"/>
      <c r="T412" s="3314"/>
    </row>
    <row r="413" spans="1:20" s="828" customFormat="1" x14ac:dyDescent="0.2">
      <c r="A413" s="4047"/>
      <c r="B413" s="1878" t="str">
        <f>'6-A. Proc. Sub-Annex'!C186</f>
        <v>C.1.o</v>
      </c>
      <c r="C413" s="1879" t="str">
        <f>'6-A. Proc. Sub-Annex'!D186</f>
        <v>Bleach/Hypochlorite solution/ Twin bucket</v>
      </c>
      <c r="D413" s="1880" t="str">
        <f>'6-A. Proc. Sub-Annex'!E186</f>
        <v>RCH</v>
      </c>
      <c r="E413" s="1880" t="str">
        <f>'6-A. Proc. Sub-Annex'!F186</f>
        <v>RI</v>
      </c>
      <c r="F413" s="1880">
        <f>'6-A. Proc. Sub-Annex'!G186</f>
        <v>0</v>
      </c>
      <c r="G413" s="1880">
        <f>'6-A. Proc. Sub-Annex'!H186</f>
        <v>0</v>
      </c>
      <c r="H413" s="1880">
        <f>'6-A. Proc. Sub-Annex'!I186</f>
        <v>0</v>
      </c>
      <c r="I413" s="1880">
        <f>'6-A. Proc. Sub-Annex'!J186</f>
        <v>0</v>
      </c>
      <c r="J413" s="1880">
        <f>'6-A. Proc. Sub-Annex'!K186</f>
        <v>0</v>
      </c>
      <c r="K413" s="1880">
        <f>'6-A. Proc. Sub-Annex'!L186</f>
        <v>0</v>
      </c>
      <c r="L413" s="939">
        <f>'6-A. Proc. Sub-Annex'!M186</f>
        <v>0</v>
      </c>
      <c r="M413" s="1880">
        <f>'6-A. Proc. Sub-Annex'!N186</f>
        <v>0</v>
      </c>
      <c r="N413" s="1880">
        <f>'6-A. Proc. Sub-Annex'!O186</f>
        <v>0</v>
      </c>
      <c r="O413" s="939">
        <f>'6-A. Proc. Sub-Annex'!P186</f>
        <v>0</v>
      </c>
      <c r="P413" s="1878">
        <f>'6-A. Proc. Sub-Annex'!Q186</f>
        <v>0</v>
      </c>
      <c r="Q413" s="124"/>
      <c r="R413" s="1906"/>
      <c r="T413" s="3314"/>
    </row>
    <row r="414" spans="1:20" s="828" customFormat="1" x14ac:dyDescent="0.2">
      <c r="A414" s="1875">
        <f>'9.Training Annex'!A7</f>
        <v>9</v>
      </c>
      <c r="B414" s="1875"/>
      <c r="C414" s="1876" t="str">
        <f>'9.Training Annex'!C7</f>
        <v>Training and Capacity Building</v>
      </c>
      <c r="D414" s="1877"/>
      <c r="E414" s="1877"/>
      <c r="F414" s="1877"/>
      <c r="G414" s="1877"/>
      <c r="H414" s="1877"/>
      <c r="I414" s="1877"/>
      <c r="J414" s="1877"/>
      <c r="K414" s="1877"/>
      <c r="L414" s="969"/>
      <c r="M414" s="1877"/>
      <c r="N414" s="1877"/>
      <c r="O414" s="969">
        <f>SUM(O415:O416)</f>
        <v>0</v>
      </c>
      <c r="P414" s="1875"/>
      <c r="Q414" s="162"/>
      <c r="R414" s="132">
        <f>SUM(R415:R416)</f>
        <v>0</v>
      </c>
      <c r="T414" s="3314"/>
    </row>
    <row r="415" spans="1:20" s="828" customFormat="1" x14ac:dyDescent="0.2">
      <c r="A415" s="4047" t="str">
        <f>'9.Training Annex'!A27</f>
        <v>9.2.1.7</v>
      </c>
      <c r="B415" s="1878" t="str">
        <f>'9-A.Training Sub-Annex'!C140</f>
        <v>C.3</v>
      </c>
      <c r="C415" s="1879" t="str">
        <f>'9-A.Training Sub-Annex'!D140</f>
        <v>Training under Immunisation</v>
      </c>
      <c r="D415" s="1880" t="str">
        <f>'9-A.Training Sub-Annex'!E140</f>
        <v>RCH</v>
      </c>
      <c r="E415" s="1880" t="str">
        <f>'9-A.Training Sub-Annex'!F140</f>
        <v>RI</v>
      </c>
      <c r="F415" s="1880">
        <f>'9-A.Training Sub-Annex'!G140</f>
        <v>0</v>
      </c>
      <c r="G415" s="1880">
        <f>'9-A.Training Sub-Annex'!H140</f>
        <v>0</v>
      </c>
      <c r="H415" s="1880">
        <f>'9-A.Training Sub-Annex'!I140</f>
        <v>0</v>
      </c>
      <c r="I415" s="1880">
        <f>'9-A.Training Sub-Annex'!J140</f>
        <v>0</v>
      </c>
      <c r="J415" s="1880">
        <f>'9-A.Training Sub-Annex'!K140</f>
        <v>0</v>
      </c>
      <c r="K415" s="1880">
        <f>'9-A.Training Sub-Annex'!L140</f>
        <v>0</v>
      </c>
      <c r="L415" s="939">
        <f>'9-A.Training Sub-Annex'!M140</f>
        <v>0</v>
      </c>
      <c r="M415" s="1880">
        <f>'9-A.Training Sub-Annex'!N140</f>
        <v>0</v>
      </c>
      <c r="N415" s="1880">
        <f>'9-A.Training Sub-Annex'!O140</f>
        <v>0</v>
      </c>
      <c r="O415" s="939">
        <f>'9-A.Training Sub-Annex'!P140</f>
        <v>0</v>
      </c>
      <c r="P415" s="1878">
        <f>'9-A.Training Sub-Annex'!Q140</f>
        <v>0</v>
      </c>
      <c r="Q415" s="93"/>
      <c r="R415" s="1906"/>
      <c r="T415" s="3314"/>
    </row>
    <row r="416" spans="1:20" s="828" customFormat="1" x14ac:dyDescent="0.2">
      <c r="A416" s="4047"/>
      <c r="B416" s="1878">
        <f>'9-A.Training Sub-Annex'!C141</f>
        <v>0</v>
      </c>
      <c r="C416" s="1879" t="str">
        <f>'9-A.Training Sub-Annex'!D141</f>
        <v>Any other (please specify)</v>
      </c>
      <c r="D416" s="1880" t="str">
        <f>'9-A.Training Sub-Annex'!E141</f>
        <v>RCH</v>
      </c>
      <c r="E416" s="1880" t="str">
        <f>'9-A.Training Sub-Annex'!F141</f>
        <v>RI</v>
      </c>
      <c r="F416" s="1880">
        <f>'9-A.Training Sub-Annex'!G141</f>
        <v>0</v>
      </c>
      <c r="G416" s="1880">
        <f>'9-A.Training Sub-Annex'!H141</f>
        <v>0</v>
      </c>
      <c r="H416" s="1880">
        <f>'9-A.Training Sub-Annex'!I141</f>
        <v>0</v>
      </c>
      <c r="I416" s="1880">
        <f>'9-A.Training Sub-Annex'!J141</f>
        <v>0</v>
      </c>
      <c r="J416" s="1880">
        <f>'9-A.Training Sub-Annex'!K141</f>
        <v>0</v>
      </c>
      <c r="K416" s="1880">
        <f>'9-A.Training Sub-Annex'!L141</f>
        <v>0</v>
      </c>
      <c r="L416" s="939">
        <f>'9-A.Training Sub-Annex'!M141</f>
        <v>0</v>
      </c>
      <c r="M416" s="1880">
        <f>'9-A.Training Sub-Annex'!N141</f>
        <v>0</v>
      </c>
      <c r="N416" s="1880">
        <f>'9-A.Training Sub-Annex'!O141</f>
        <v>0</v>
      </c>
      <c r="O416" s="939">
        <f>'9-A.Training Sub-Annex'!P141</f>
        <v>0</v>
      </c>
      <c r="P416" s="1878">
        <f>'9-A.Training Sub-Annex'!Q141</f>
        <v>0</v>
      </c>
      <c r="Q416" s="124"/>
      <c r="R416" s="1906"/>
      <c r="T416" s="3314"/>
    </row>
    <row r="417" spans="1:20" s="828" customFormat="1" x14ac:dyDescent="0.2">
      <c r="A417" s="1875">
        <f>'11.IEC-BCC Annex'!A7</f>
        <v>11</v>
      </c>
      <c r="B417" s="1875"/>
      <c r="C417" s="1876" t="str">
        <f>'11.IEC-BCC Annex'!C7</f>
        <v>IEC/BCC</v>
      </c>
      <c r="D417" s="1877"/>
      <c r="E417" s="1877"/>
      <c r="F417" s="1877"/>
      <c r="G417" s="1877"/>
      <c r="H417" s="1877"/>
      <c r="I417" s="1877"/>
      <c r="J417" s="1877"/>
      <c r="K417" s="1877"/>
      <c r="L417" s="969"/>
      <c r="M417" s="1877"/>
      <c r="N417" s="1877"/>
      <c r="O417" s="969">
        <f>SUM(O418:O419)</f>
        <v>0</v>
      </c>
      <c r="P417" s="1875"/>
      <c r="Q417" s="162"/>
      <c r="R417" s="132">
        <f>SUM(R418:R419)</f>
        <v>0</v>
      </c>
      <c r="T417" s="3314"/>
    </row>
    <row r="418" spans="1:20" s="828" customFormat="1" x14ac:dyDescent="0.2">
      <c r="A418" s="4047" t="str">
        <f>'11.IEC-BCC Annex'!A13</f>
        <v>11.1.5</v>
      </c>
      <c r="B418" s="1878">
        <f>'11-A. IEC Sub-Annex'!C27</f>
        <v>0</v>
      </c>
      <c r="C418" s="1879" t="str">
        <f>'11-A. IEC Sub-Annex'!D27</f>
        <v>IEC activities for Immunization</v>
      </c>
      <c r="D418" s="1880" t="str">
        <f>'11-A. IEC Sub-Annex'!E27</f>
        <v>RCH</v>
      </c>
      <c r="E418" s="1880" t="str">
        <f>'11-A. IEC Sub-Annex'!F27</f>
        <v>RI</v>
      </c>
      <c r="F418" s="1880">
        <f>'11-A. IEC Sub-Annex'!G27</f>
        <v>0</v>
      </c>
      <c r="G418" s="1880">
        <f>'11-A. IEC Sub-Annex'!H27</f>
        <v>0</v>
      </c>
      <c r="H418" s="1880">
        <f>'11-A. IEC Sub-Annex'!I27</f>
        <v>0</v>
      </c>
      <c r="I418" s="1880">
        <f>'11-A. IEC Sub-Annex'!J27</f>
        <v>0</v>
      </c>
      <c r="J418" s="1880">
        <f>'11-A. IEC Sub-Annex'!K27</f>
        <v>0</v>
      </c>
      <c r="K418" s="1880">
        <f>'11-A. IEC Sub-Annex'!L27</f>
        <v>0</v>
      </c>
      <c r="L418" s="939">
        <f>'11-A. IEC Sub-Annex'!M27</f>
        <v>0</v>
      </c>
      <c r="M418" s="1880">
        <f>'11-A. IEC Sub-Annex'!N27</f>
        <v>0</v>
      </c>
      <c r="N418" s="1880">
        <f>'11-A. IEC Sub-Annex'!O27</f>
        <v>0</v>
      </c>
      <c r="O418" s="939">
        <f>'11-A. IEC Sub-Annex'!P27</f>
        <v>0</v>
      </c>
      <c r="P418" s="1878">
        <f>'11-A. IEC Sub-Annex'!Q27</f>
        <v>0</v>
      </c>
      <c r="Q418" s="124"/>
      <c r="R418" s="1880">
        <v>0</v>
      </c>
    </row>
    <row r="419" spans="1:20" s="828" customFormat="1" x14ac:dyDescent="0.2">
      <c r="A419" s="4047"/>
      <c r="B419" s="1878">
        <f>'11-A. IEC Sub-Annex'!C28</f>
        <v>0</v>
      </c>
      <c r="C419" s="1879" t="str">
        <f>'11-A. IEC Sub-Annex'!D28</f>
        <v>Any other IEC/BCC activities (please specify)</v>
      </c>
      <c r="D419" s="1880" t="str">
        <f>'11-A. IEC Sub-Annex'!E28</f>
        <v>RCH</v>
      </c>
      <c r="E419" s="1880" t="str">
        <f>'11-A. IEC Sub-Annex'!F28</f>
        <v>RI</v>
      </c>
      <c r="F419" s="1880">
        <f>'11-A. IEC Sub-Annex'!G28</f>
        <v>0</v>
      </c>
      <c r="G419" s="1880">
        <f>'11-A. IEC Sub-Annex'!H28</f>
        <v>0</v>
      </c>
      <c r="H419" s="1880">
        <f>'11-A. IEC Sub-Annex'!I28</f>
        <v>0</v>
      </c>
      <c r="I419" s="1880">
        <f>'11-A. IEC Sub-Annex'!J28</f>
        <v>0</v>
      </c>
      <c r="J419" s="1880">
        <f>'11-A. IEC Sub-Annex'!K28</f>
        <v>0</v>
      </c>
      <c r="K419" s="1880">
        <f>'11-A. IEC Sub-Annex'!L28</f>
        <v>0</v>
      </c>
      <c r="L419" s="939">
        <f>'11-A. IEC Sub-Annex'!M28</f>
        <v>0</v>
      </c>
      <c r="M419" s="1880">
        <f>'11-A. IEC Sub-Annex'!N28</f>
        <v>0</v>
      </c>
      <c r="N419" s="1880">
        <f>'11-A. IEC Sub-Annex'!O28</f>
        <v>0</v>
      </c>
      <c r="O419" s="939">
        <f>'11-A. IEC Sub-Annex'!P28</f>
        <v>0</v>
      </c>
      <c r="P419" s="1878">
        <f>'11-A. IEC Sub-Annex'!Q28</f>
        <v>0</v>
      </c>
      <c r="Q419" s="124"/>
      <c r="R419" s="1880">
        <v>0</v>
      </c>
    </row>
    <row r="420" spans="1:20" s="828" customFormat="1" x14ac:dyDescent="0.2">
      <c r="A420" s="1875">
        <f>'12.Printing Annex'!A7</f>
        <v>12</v>
      </c>
      <c r="B420" s="1885"/>
      <c r="C420" s="1876" t="str">
        <f>'12.Printing Annex'!C7</f>
        <v>Printing</v>
      </c>
      <c r="D420" s="1877"/>
      <c r="E420" s="1877"/>
      <c r="F420" s="1877"/>
      <c r="G420" s="1877"/>
      <c r="H420" s="969"/>
      <c r="I420" s="1877"/>
      <c r="J420" s="969"/>
      <c r="K420" s="1877"/>
      <c r="L420" s="969"/>
      <c r="M420" s="969"/>
      <c r="N420" s="1886"/>
      <c r="O420" s="1887">
        <f>SUM(O421:O422)</f>
        <v>0</v>
      </c>
      <c r="P420" s="1888"/>
      <c r="Q420" s="1908"/>
      <c r="R420" s="1909">
        <f>SUM(R421:R422)</f>
        <v>0</v>
      </c>
      <c r="T420" s="3314"/>
    </row>
    <row r="421" spans="1:20" s="828" customFormat="1" ht="30" x14ac:dyDescent="0.2">
      <c r="A421" s="4047" t="str">
        <f>'12.Printing Annex'!A14</f>
        <v>12.1.6</v>
      </c>
      <c r="B421" s="1878" t="str">
        <f>'12-A. Print Sub-Annex'!C48</f>
        <v>B.10.7.4.10</v>
      </c>
      <c r="C421" s="1879" t="str">
        <f>'12-A. Print Sub-Annex'!D48</f>
        <v>Printing and dissemination of Immunization cards, tally sheets, monitoring forms etc.</v>
      </c>
      <c r="D421" s="1880" t="str">
        <f>'12-A. Print Sub-Annex'!E48</f>
        <v>RCH</v>
      </c>
      <c r="E421" s="1880" t="str">
        <f>'12-A. Print Sub-Annex'!F48</f>
        <v>RI</v>
      </c>
      <c r="F421" s="1880">
        <f>'12-A. Print Sub-Annex'!G48</f>
        <v>0</v>
      </c>
      <c r="G421" s="1880">
        <f>'12-A. Print Sub-Annex'!H48</f>
        <v>0</v>
      </c>
      <c r="H421" s="1880">
        <f>'12-A. Print Sub-Annex'!I48</f>
        <v>0</v>
      </c>
      <c r="I421" s="1880">
        <f>'12-A. Print Sub-Annex'!J48</f>
        <v>0</v>
      </c>
      <c r="J421" s="1880">
        <f>'12-A. Print Sub-Annex'!K48</f>
        <v>0</v>
      </c>
      <c r="K421" s="1880">
        <f>'12-A. Print Sub-Annex'!L48</f>
        <v>0</v>
      </c>
      <c r="L421" s="939">
        <f>'12-A. Print Sub-Annex'!M48</f>
        <v>0</v>
      </c>
      <c r="M421" s="1880">
        <f>'12-A. Print Sub-Annex'!N48</f>
        <v>0</v>
      </c>
      <c r="N421" s="1880">
        <f>'12-A. Print Sub-Annex'!O48</f>
        <v>0</v>
      </c>
      <c r="O421" s="939">
        <f>'12-A. Print Sub-Annex'!P48</f>
        <v>0</v>
      </c>
      <c r="P421" s="1878">
        <f>'12-A. Print Sub-Annex'!Q48</f>
        <v>0</v>
      </c>
      <c r="Q421" s="124"/>
      <c r="R421" s="1906"/>
      <c r="T421" s="3314"/>
    </row>
    <row r="422" spans="1:20" s="828" customFormat="1" x14ac:dyDescent="0.2">
      <c r="A422" s="4047"/>
      <c r="B422" s="1878">
        <f>'12-A. Print Sub-Annex'!C49</f>
        <v>0</v>
      </c>
      <c r="C422" s="1879" t="str">
        <f>'12-A. Print Sub-Annex'!D49</f>
        <v>Any other (please specify)</v>
      </c>
      <c r="D422" s="1880" t="str">
        <f>'12-A. Print Sub-Annex'!E49</f>
        <v>RCH</v>
      </c>
      <c r="E422" s="1880" t="str">
        <f>'12-A. Print Sub-Annex'!F49</f>
        <v>RI</v>
      </c>
      <c r="F422" s="1880">
        <f>'12-A. Print Sub-Annex'!G49</f>
        <v>0</v>
      </c>
      <c r="G422" s="1880">
        <f>'12-A. Print Sub-Annex'!H49</f>
        <v>0</v>
      </c>
      <c r="H422" s="1880">
        <f>'12-A. Print Sub-Annex'!I49</f>
        <v>0</v>
      </c>
      <c r="I422" s="1880">
        <f>'12-A. Print Sub-Annex'!J49</f>
        <v>0</v>
      </c>
      <c r="J422" s="1880">
        <f>'12-A. Print Sub-Annex'!K49</f>
        <v>0</v>
      </c>
      <c r="K422" s="1880">
        <f>'12-A. Print Sub-Annex'!L49</f>
        <v>0</v>
      </c>
      <c r="L422" s="939">
        <f>'12-A. Print Sub-Annex'!M49</f>
        <v>0</v>
      </c>
      <c r="M422" s="1880">
        <f>'12-A. Print Sub-Annex'!N49</f>
        <v>0</v>
      </c>
      <c r="N422" s="1880">
        <f>'12-A. Print Sub-Annex'!O49</f>
        <v>0</v>
      </c>
      <c r="O422" s="939">
        <f>'12-A. Print Sub-Annex'!P49</f>
        <v>0</v>
      </c>
      <c r="P422" s="1878">
        <f>'12-A. Print Sub-Annex'!Q49</f>
        <v>0</v>
      </c>
      <c r="Q422" s="124"/>
      <c r="R422" s="1880">
        <v>0</v>
      </c>
    </row>
    <row r="423" spans="1:20" s="828" customFormat="1" x14ac:dyDescent="0.2">
      <c r="A423" s="1875">
        <f>'13.Quality Assurance Annex'!A7</f>
        <v>13</v>
      </c>
      <c r="B423" s="1885"/>
      <c r="C423" s="1876" t="str">
        <f>'13.Quality Assurance Annex'!C7</f>
        <v>Quality Assurance</v>
      </c>
      <c r="D423" s="1877"/>
      <c r="E423" s="1877"/>
      <c r="F423" s="1877"/>
      <c r="G423" s="1877"/>
      <c r="H423" s="969"/>
      <c r="I423" s="1877"/>
      <c r="J423" s="969"/>
      <c r="K423" s="1877"/>
      <c r="L423" s="969"/>
      <c r="M423" s="969"/>
      <c r="N423" s="1886"/>
      <c r="O423" s="1887">
        <f>O424</f>
        <v>0</v>
      </c>
      <c r="P423" s="1888"/>
      <c r="Q423" s="1908"/>
      <c r="R423" s="1909">
        <f>R424</f>
        <v>0</v>
      </c>
      <c r="T423" s="3314"/>
    </row>
    <row r="424" spans="1:20" s="828" customFormat="1" ht="45" x14ac:dyDescent="0.2">
      <c r="A424" s="1878" t="str">
        <f>'13.Quality Assurance Annex'!A34</f>
        <v>13.3.2</v>
      </c>
      <c r="B424" s="1878">
        <f>'13.Quality Assurance Annex'!B34</f>
        <v>0</v>
      </c>
      <c r="C424" s="1879" t="str">
        <f>'13.Quality Assurance Annex'!C34</f>
        <v>Quality Management System for AEFI surveillance under Universal Immunisation Programme</v>
      </c>
      <c r="D424" s="1880" t="str">
        <f>'13.Quality Assurance Annex'!D34</f>
        <v>RCH</v>
      </c>
      <c r="E424" s="1880" t="str">
        <f>'13.Quality Assurance Annex'!E34</f>
        <v>RI</v>
      </c>
      <c r="F424" s="1880">
        <f>'13.Quality Assurance Annex'!F34</f>
        <v>0</v>
      </c>
      <c r="G424" s="1880">
        <f>'13.Quality Assurance Annex'!G34</f>
        <v>0</v>
      </c>
      <c r="H424" s="1880">
        <f>'13.Quality Assurance Annex'!H34</f>
        <v>0</v>
      </c>
      <c r="I424" s="1880">
        <f>'13.Quality Assurance Annex'!I34</f>
        <v>0</v>
      </c>
      <c r="J424" s="1880">
        <f>'13.Quality Assurance Annex'!J34</f>
        <v>0</v>
      </c>
      <c r="K424" s="1880">
        <f>'13.Quality Assurance Annex'!K34</f>
        <v>0</v>
      </c>
      <c r="L424" s="939">
        <f>'13.Quality Assurance Annex'!L34</f>
        <v>0</v>
      </c>
      <c r="M424" s="1880">
        <f>'13.Quality Assurance Annex'!M34</f>
        <v>0</v>
      </c>
      <c r="N424" s="1880">
        <f>'13.Quality Assurance Annex'!N34</f>
        <v>0</v>
      </c>
      <c r="O424" s="939">
        <f>'13.Quality Assurance Annex'!O34</f>
        <v>0</v>
      </c>
      <c r="P424" s="1878">
        <f>'13.Quality Assurance Annex'!P34</f>
        <v>0</v>
      </c>
      <c r="Q424" s="124"/>
      <c r="R424" s="1880">
        <v>0</v>
      </c>
    </row>
    <row r="425" spans="1:20" s="828" customFormat="1" x14ac:dyDescent="0.2">
      <c r="A425" s="1875">
        <f>'14.Drug warehouse &amp;Logistic Anx'!A7</f>
        <v>14</v>
      </c>
      <c r="B425" s="1885"/>
      <c r="C425" s="1876" t="str">
        <f>'14.Drug warehouse &amp;Logistic Anx'!C7</f>
        <v>Drug Warehousing and Logistics</v>
      </c>
      <c r="D425" s="1877"/>
      <c r="E425" s="1877"/>
      <c r="F425" s="1877"/>
      <c r="G425" s="1877"/>
      <c r="H425" s="969"/>
      <c r="I425" s="1877"/>
      <c r="J425" s="969"/>
      <c r="K425" s="1877"/>
      <c r="L425" s="969"/>
      <c r="M425" s="969"/>
      <c r="N425" s="1886"/>
      <c r="O425" s="1887">
        <f>SUM(O426:O431)</f>
        <v>0</v>
      </c>
      <c r="P425" s="1888"/>
      <c r="Q425" s="1908"/>
      <c r="R425" s="1909">
        <f>SUM(R426:R431)</f>
        <v>0</v>
      </c>
      <c r="T425" s="3314"/>
    </row>
    <row r="426" spans="1:20" s="828" customFormat="1" ht="30" x14ac:dyDescent="0.2">
      <c r="A426" s="1878" t="str">
        <f>'14.Drug warehouse &amp;Logistic Anx'!A21</f>
        <v>14.2.4.1</v>
      </c>
      <c r="B426" s="1878" t="str">
        <f>'14.Drug warehouse &amp;Logistic Anx'!B21</f>
        <v>C.1.h</v>
      </c>
      <c r="C426" s="1879" t="str">
        <f>'14.Drug warehouse &amp;Logistic Anx'!C21</f>
        <v>Alternative vaccine delivery in hard to reach areas</v>
      </c>
      <c r="D426" s="1880" t="str">
        <f>'14.Drug warehouse &amp;Logistic Anx'!D21</f>
        <v>RCH</v>
      </c>
      <c r="E426" s="1880" t="str">
        <f>'14.Drug warehouse &amp;Logistic Anx'!E21</f>
        <v>RI</v>
      </c>
      <c r="F426" s="1880">
        <f>'14.Drug warehouse &amp;Logistic Anx'!F21</f>
        <v>0</v>
      </c>
      <c r="G426" s="1880">
        <f>'14.Drug warehouse &amp;Logistic Anx'!G21</f>
        <v>0</v>
      </c>
      <c r="H426" s="1880">
        <f>'14.Drug warehouse &amp;Logistic Anx'!H21</f>
        <v>0</v>
      </c>
      <c r="I426" s="1880">
        <f>'14.Drug warehouse &amp;Logistic Anx'!I21</f>
        <v>0</v>
      </c>
      <c r="J426" s="1880">
        <f>'14.Drug warehouse &amp;Logistic Anx'!J21</f>
        <v>0</v>
      </c>
      <c r="K426" s="1880">
        <f>'14.Drug warehouse &amp;Logistic Anx'!K21</f>
        <v>0</v>
      </c>
      <c r="L426" s="939">
        <f>'14.Drug warehouse &amp;Logistic Anx'!L21</f>
        <v>0</v>
      </c>
      <c r="M426" s="1880">
        <f>'14.Drug warehouse &amp;Logistic Anx'!M21</f>
        <v>0</v>
      </c>
      <c r="N426" s="1880">
        <f>'14.Drug warehouse &amp;Logistic Anx'!N21</f>
        <v>0</v>
      </c>
      <c r="O426" s="939">
        <f>'14.Drug warehouse &amp;Logistic Anx'!O21</f>
        <v>0</v>
      </c>
      <c r="P426" s="1878">
        <f>'14.Drug warehouse &amp;Logistic Anx'!P21</f>
        <v>0</v>
      </c>
      <c r="Q426" s="124"/>
      <c r="R426" s="1906"/>
      <c r="T426" s="3314"/>
    </row>
    <row r="427" spans="1:20" s="828" customFormat="1" ht="30" x14ac:dyDescent="0.2">
      <c r="A427" s="1878" t="str">
        <f>'14.Drug warehouse &amp;Logistic Anx'!A22</f>
        <v>14.2.4.2</v>
      </c>
      <c r="B427" s="1878">
        <f>'14.Drug warehouse &amp;Logistic Anx'!B22</f>
        <v>0</v>
      </c>
      <c r="C427" s="1879" t="str">
        <f>'14.Drug warehouse &amp;Logistic Anx'!C22</f>
        <v>AVD in very hard to reach areas esp. notified by States/districts</v>
      </c>
      <c r="D427" s="1880" t="str">
        <f>'14.Drug warehouse &amp;Logistic Anx'!D22</f>
        <v>RCH</v>
      </c>
      <c r="E427" s="1880" t="str">
        <f>'14.Drug warehouse &amp;Logistic Anx'!E22</f>
        <v>RI</v>
      </c>
      <c r="F427" s="1880">
        <f>'14.Drug warehouse &amp;Logistic Anx'!F22</f>
        <v>0</v>
      </c>
      <c r="G427" s="1880">
        <f>'14.Drug warehouse &amp;Logistic Anx'!G22</f>
        <v>0</v>
      </c>
      <c r="H427" s="1880">
        <f>'14.Drug warehouse &amp;Logistic Anx'!H22</f>
        <v>0</v>
      </c>
      <c r="I427" s="1880">
        <f>'14.Drug warehouse &amp;Logistic Anx'!I22</f>
        <v>0</v>
      </c>
      <c r="J427" s="1880">
        <f>'14.Drug warehouse &amp;Logistic Anx'!J22</f>
        <v>0</v>
      </c>
      <c r="K427" s="1880">
        <f>'14.Drug warehouse &amp;Logistic Anx'!K22</f>
        <v>0</v>
      </c>
      <c r="L427" s="939">
        <f>'14.Drug warehouse &amp;Logistic Anx'!L22</f>
        <v>0</v>
      </c>
      <c r="M427" s="1880">
        <f>'14.Drug warehouse &amp;Logistic Anx'!M22</f>
        <v>0</v>
      </c>
      <c r="N427" s="1880">
        <f>'14.Drug warehouse &amp;Logistic Anx'!N22</f>
        <v>0</v>
      </c>
      <c r="O427" s="939">
        <f>'14.Drug warehouse &amp;Logistic Anx'!O22</f>
        <v>0</v>
      </c>
      <c r="P427" s="1878">
        <f>'14.Drug warehouse &amp;Logistic Anx'!P22</f>
        <v>0</v>
      </c>
      <c r="Q427" s="124"/>
      <c r="R427" s="1880"/>
    </row>
    <row r="428" spans="1:20" s="828" customFormat="1" x14ac:dyDescent="0.2">
      <c r="A428" s="1878" t="str">
        <f>'14.Drug warehouse &amp;Logistic Anx'!A23</f>
        <v>14.2.5</v>
      </c>
      <c r="B428" s="1878" t="str">
        <f>'14.Drug warehouse &amp;Logistic Anx'!B23</f>
        <v>C.1.i</v>
      </c>
      <c r="C428" s="1879" t="str">
        <f>'14.Drug warehouse &amp;Logistic Anx'!C23</f>
        <v>Alternative Vaccine Delivery in other areas</v>
      </c>
      <c r="D428" s="1880" t="str">
        <f>'14.Drug warehouse &amp;Logistic Anx'!D23</f>
        <v>RCH</v>
      </c>
      <c r="E428" s="1880" t="str">
        <f>'14.Drug warehouse &amp;Logistic Anx'!E23</f>
        <v>RI</v>
      </c>
      <c r="F428" s="1880">
        <f>'14.Drug warehouse &amp;Logistic Anx'!F23</f>
        <v>0</v>
      </c>
      <c r="G428" s="1880">
        <f>'14.Drug warehouse &amp;Logistic Anx'!G23</f>
        <v>0</v>
      </c>
      <c r="H428" s="1880">
        <f>'14.Drug warehouse &amp;Logistic Anx'!H23</f>
        <v>0</v>
      </c>
      <c r="I428" s="1880">
        <f>'14.Drug warehouse &amp;Logistic Anx'!I23</f>
        <v>0</v>
      </c>
      <c r="J428" s="1880">
        <f>'14.Drug warehouse &amp;Logistic Anx'!J23</f>
        <v>0</v>
      </c>
      <c r="K428" s="1880">
        <f>'14.Drug warehouse &amp;Logistic Anx'!K23</f>
        <v>0</v>
      </c>
      <c r="L428" s="939">
        <f>'14.Drug warehouse &amp;Logistic Anx'!L23</f>
        <v>0</v>
      </c>
      <c r="M428" s="1880">
        <f>'14.Drug warehouse &amp;Logistic Anx'!M23</f>
        <v>0</v>
      </c>
      <c r="N428" s="1880">
        <f>'14.Drug warehouse &amp;Logistic Anx'!N23</f>
        <v>0</v>
      </c>
      <c r="O428" s="939">
        <f>'14.Drug warehouse &amp;Logistic Anx'!O23</f>
        <v>0</v>
      </c>
      <c r="P428" s="1878">
        <f>'14.Drug warehouse &amp;Logistic Anx'!P23</f>
        <v>0</v>
      </c>
      <c r="Q428" s="124"/>
      <c r="R428" s="1906"/>
      <c r="T428" s="3314"/>
    </row>
    <row r="429" spans="1:20" s="828" customFormat="1" ht="30" x14ac:dyDescent="0.2">
      <c r="A429" s="1878" t="str">
        <f>'14.Drug warehouse &amp;Logistic Anx'!A24</f>
        <v>14.2.6</v>
      </c>
      <c r="B429" s="1878" t="str">
        <f>'14.Drug warehouse &amp;Logistic Anx'!B24</f>
        <v>C.1.l</v>
      </c>
      <c r="C429" s="1879" t="str">
        <f>'14.Drug warehouse &amp;Logistic Anx'!C24</f>
        <v>POL for vaccine delivery from State to district and from district to PHC/CHCs</v>
      </c>
      <c r="D429" s="1880" t="str">
        <f>'14.Drug warehouse &amp;Logistic Anx'!D24</f>
        <v>RCH</v>
      </c>
      <c r="E429" s="1880" t="str">
        <f>'14.Drug warehouse &amp;Logistic Anx'!E24</f>
        <v>RI</v>
      </c>
      <c r="F429" s="1880">
        <f>'14.Drug warehouse &amp;Logistic Anx'!F24</f>
        <v>0</v>
      </c>
      <c r="G429" s="1880">
        <f>'14.Drug warehouse &amp;Logistic Anx'!G24</f>
        <v>0</v>
      </c>
      <c r="H429" s="1880">
        <f>'14.Drug warehouse &amp;Logistic Anx'!H24</f>
        <v>0</v>
      </c>
      <c r="I429" s="1880">
        <f>'14.Drug warehouse &amp;Logistic Anx'!I24</f>
        <v>0</v>
      </c>
      <c r="J429" s="1880">
        <f>'14.Drug warehouse &amp;Logistic Anx'!J24</f>
        <v>0</v>
      </c>
      <c r="K429" s="1880">
        <f>'14.Drug warehouse &amp;Logistic Anx'!K24</f>
        <v>0</v>
      </c>
      <c r="L429" s="939">
        <f>'14.Drug warehouse &amp;Logistic Anx'!L24</f>
        <v>0</v>
      </c>
      <c r="M429" s="1880">
        <f>'14.Drug warehouse &amp;Logistic Anx'!M24</f>
        <v>0</v>
      </c>
      <c r="N429" s="1880">
        <f>'14.Drug warehouse &amp;Logistic Anx'!N24</f>
        <v>0</v>
      </c>
      <c r="O429" s="939">
        <f>'14.Drug warehouse &amp;Logistic Anx'!O24</f>
        <v>0</v>
      </c>
      <c r="P429" s="1878">
        <f>'14.Drug warehouse &amp;Logistic Anx'!P24</f>
        <v>0</v>
      </c>
      <c r="Q429" s="124"/>
      <c r="R429" s="1906"/>
      <c r="T429" s="3314"/>
    </row>
    <row r="430" spans="1:20" s="828" customFormat="1" x14ac:dyDescent="0.2">
      <c r="A430" s="1878" t="str">
        <f>'14.Drug warehouse &amp;Logistic Anx'!A25</f>
        <v>14.2.7</v>
      </c>
      <c r="B430" s="1878" t="str">
        <f>'14.Drug warehouse &amp;Logistic Anx'!B25</f>
        <v>C.4</v>
      </c>
      <c r="C430" s="1879" t="str">
        <f>'14.Drug warehouse &amp;Logistic Anx'!C25</f>
        <v xml:space="preserve">Cold chain maintenance </v>
      </c>
      <c r="D430" s="1880" t="str">
        <f>'14.Drug warehouse &amp;Logistic Anx'!D25</f>
        <v>RCH</v>
      </c>
      <c r="E430" s="1880" t="str">
        <f>'14.Drug warehouse &amp;Logistic Anx'!E25</f>
        <v>RI</v>
      </c>
      <c r="F430" s="1880">
        <f>'14.Drug warehouse &amp;Logistic Anx'!F25</f>
        <v>0</v>
      </c>
      <c r="G430" s="1880">
        <f>'14.Drug warehouse &amp;Logistic Anx'!G25</f>
        <v>0</v>
      </c>
      <c r="H430" s="1880">
        <f>'14.Drug warehouse &amp;Logistic Anx'!H25</f>
        <v>0</v>
      </c>
      <c r="I430" s="1880">
        <f>'14.Drug warehouse &amp;Logistic Anx'!I25</f>
        <v>0</v>
      </c>
      <c r="J430" s="1880">
        <f>'14.Drug warehouse &amp;Logistic Anx'!J25</f>
        <v>0</v>
      </c>
      <c r="K430" s="1880">
        <f>'14.Drug warehouse &amp;Logistic Anx'!K25</f>
        <v>0</v>
      </c>
      <c r="L430" s="939">
        <f>'14.Drug warehouse &amp;Logistic Anx'!L25</f>
        <v>0</v>
      </c>
      <c r="M430" s="1880">
        <f>'14.Drug warehouse &amp;Logistic Anx'!M25</f>
        <v>0</v>
      </c>
      <c r="N430" s="1880">
        <f>'14.Drug warehouse &amp;Logistic Anx'!N25</f>
        <v>0</v>
      </c>
      <c r="O430" s="939">
        <f>'14.Drug warehouse &amp;Logistic Anx'!O25</f>
        <v>0</v>
      </c>
      <c r="P430" s="1878">
        <f>'14.Drug warehouse &amp;Logistic Anx'!P25</f>
        <v>0</v>
      </c>
      <c r="Q430" s="2044"/>
      <c r="R430" s="3326"/>
      <c r="T430" s="3315"/>
    </row>
    <row r="431" spans="1:20" s="828" customFormat="1" ht="30" x14ac:dyDescent="0.2">
      <c r="A431" s="1878" t="str">
        <f>'14.Drug warehouse &amp;Logistic Anx'!A26</f>
        <v>14.2.8</v>
      </c>
      <c r="B431" s="1878" t="str">
        <f>'14.Drug warehouse &amp;Logistic Anx'!B26</f>
        <v>C.1.u</v>
      </c>
      <c r="C431" s="1879" t="str">
        <f>'14.Drug warehouse &amp;Logistic Anx'!C26</f>
        <v>Operational cost of e-VIN (like temperature logger sim card and  Data sim card for e-VIN)</v>
      </c>
      <c r="D431" s="1880" t="str">
        <f>'14.Drug warehouse &amp;Logistic Anx'!D26</f>
        <v>RCH</v>
      </c>
      <c r="E431" s="1880" t="str">
        <f>'14.Drug warehouse &amp;Logistic Anx'!E26</f>
        <v>RI</v>
      </c>
      <c r="F431" s="1880">
        <f>'14.Drug warehouse &amp;Logistic Anx'!F26</f>
        <v>0</v>
      </c>
      <c r="G431" s="1880">
        <f>'14.Drug warehouse &amp;Logistic Anx'!G26</f>
        <v>0</v>
      </c>
      <c r="H431" s="1880">
        <f>'14.Drug warehouse &amp;Logistic Anx'!H26</f>
        <v>0</v>
      </c>
      <c r="I431" s="1880">
        <f>'14.Drug warehouse &amp;Logistic Anx'!I26</f>
        <v>0</v>
      </c>
      <c r="J431" s="1880">
        <f>'14.Drug warehouse &amp;Logistic Anx'!J26</f>
        <v>0</v>
      </c>
      <c r="K431" s="1880">
        <f>'14.Drug warehouse &amp;Logistic Anx'!K26</f>
        <v>0</v>
      </c>
      <c r="L431" s="939">
        <f>'14.Drug warehouse &amp;Logistic Anx'!L26</f>
        <v>0</v>
      </c>
      <c r="M431" s="1880">
        <f>'14.Drug warehouse &amp;Logistic Anx'!M26</f>
        <v>0</v>
      </c>
      <c r="N431" s="1880">
        <f>'14.Drug warehouse &amp;Logistic Anx'!N26</f>
        <v>0</v>
      </c>
      <c r="O431" s="939">
        <f>'14.Drug warehouse &amp;Logistic Anx'!O26</f>
        <v>0</v>
      </c>
      <c r="P431" s="1878">
        <f>'14.Drug warehouse &amp;Logistic Anx'!P26</f>
        <v>0</v>
      </c>
      <c r="Q431" s="124"/>
      <c r="R431" s="1906"/>
      <c r="T431" s="3314"/>
    </row>
    <row r="432" spans="1:20" s="828" customFormat="1" x14ac:dyDescent="0.2">
      <c r="A432" s="1869" t="s">
        <v>4675</v>
      </c>
      <c r="B432" s="1869"/>
      <c r="C432" s="1870" t="s">
        <v>5551</v>
      </c>
      <c r="D432" s="1871"/>
      <c r="E432" s="1871"/>
      <c r="F432" s="1871"/>
      <c r="G432" s="1871"/>
      <c r="H432" s="1872"/>
      <c r="I432" s="1871"/>
      <c r="J432" s="1872"/>
      <c r="K432" s="1871"/>
      <c r="L432" s="1872"/>
      <c r="M432" s="1872"/>
      <c r="N432" s="1895"/>
      <c r="O432" s="1896">
        <f>O433+O437+O440</f>
        <v>0</v>
      </c>
      <c r="P432" s="1897"/>
      <c r="Q432" s="1910"/>
      <c r="R432" s="1911">
        <f>R433+R437+R440</f>
        <v>0</v>
      </c>
      <c r="T432" s="3314"/>
    </row>
    <row r="433" spans="1:20" s="828" customFormat="1" x14ac:dyDescent="0.2">
      <c r="A433" s="1875">
        <f>'1.SD Facility Based Annex'!A7</f>
        <v>1</v>
      </c>
      <c r="B433" s="1875">
        <f>'1.SD Facility Based Annex'!B7</f>
        <v>0</v>
      </c>
      <c r="C433" s="1876" t="str">
        <f>'1.SD Facility Based Annex'!C7</f>
        <v>Service Delivery - Facility Based</v>
      </c>
      <c r="D433" s="1877"/>
      <c r="E433" s="1877"/>
      <c r="F433" s="1877"/>
      <c r="G433" s="1877"/>
      <c r="H433" s="1877"/>
      <c r="I433" s="1877"/>
      <c r="J433" s="1877"/>
      <c r="K433" s="1877"/>
      <c r="L433" s="969"/>
      <c r="M433" s="1877"/>
      <c r="N433" s="1877"/>
      <c r="O433" s="969">
        <f>SUM(O434:O436)</f>
        <v>0</v>
      </c>
      <c r="P433" s="1875"/>
      <c r="Q433" s="678"/>
      <c r="R433" s="132">
        <f>SUM(R434:R436)</f>
        <v>0</v>
      </c>
      <c r="T433" s="3314"/>
    </row>
    <row r="434" spans="1:20" s="828" customFormat="1" x14ac:dyDescent="0.2">
      <c r="A434" s="1878" t="str">
        <f>'1.SD Facility Based Annex'!A52</f>
        <v>1.1.7.1</v>
      </c>
      <c r="B434" s="1878" t="str">
        <f>'1.SD Facility Based Annex'!B52</f>
        <v>A.6.1</v>
      </c>
      <c r="C434" s="1879" t="str">
        <f>'1.SD Facility Based Annex'!C52</f>
        <v>Special plans for tribal areas</v>
      </c>
      <c r="D434" s="1880" t="str">
        <f>'1.SD Facility Based Annex'!D52</f>
        <v>RCH</v>
      </c>
      <c r="E434" s="1880" t="str">
        <f>'1.SD Facility Based Annex'!E52</f>
        <v>RCH</v>
      </c>
      <c r="F434" s="1880">
        <f>'1.SD Facility Based Annex'!F52</f>
        <v>0</v>
      </c>
      <c r="G434" s="1880">
        <f>'1.SD Facility Based Annex'!G52</f>
        <v>0</v>
      </c>
      <c r="H434" s="1880">
        <f>'1.SD Facility Based Annex'!H52</f>
        <v>0</v>
      </c>
      <c r="I434" s="1880">
        <f>'1.SD Facility Based Annex'!I52</f>
        <v>0</v>
      </c>
      <c r="J434" s="1880">
        <f>'1.SD Facility Based Annex'!J52</f>
        <v>0</v>
      </c>
      <c r="K434" s="1880">
        <f>'1.SD Facility Based Annex'!K52</f>
        <v>0</v>
      </c>
      <c r="L434" s="939">
        <f>'1.SD Facility Based Annex'!L52</f>
        <v>0</v>
      </c>
      <c r="M434" s="1880">
        <f>'1.SD Facility Based Annex'!M52</f>
        <v>0</v>
      </c>
      <c r="N434" s="1880">
        <f>'1.SD Facility Based Annex'!N52</f>
        <v>0</v>
      </c>
      <c r="O434" s="939">
        <f>'1.SD Facility Based Annex'!O52</f>
        <v>0</v>
      </c>
      <c r="P434" s="1878">
        <f>'1.SD Facility Based Annex'!P52</f>
        <v>0</v>
      </c>
      <c r="Q434" s="3335"/>
      <c r="R434" s="3327"/>
      <c r="T434" s="3314"/>
    </row>
    <row r="435" spans="1:20" s="828" customFormat="1" x14ac:dyDescent="0.2">
      <c r="A435" s="1878" t="str">
        <f>'1.SD Facility Based Annex'!A53</f>
        <v>1.1.7.2</v>
      </c>
      <c r="B435" s="1878" t="str">
        <f>'1.SD Facility Based Annex'!B53</f>
        <v>A.11.3</v>
      </c>
      <c r="C435" s="1879" t="str">
        <f>'1.SD Facility Based Annex'!C53</f>
        <v>LWE affected areas special plan</v>
      </c>
      <c r="D435" s="1880" t="str">
        <f>'1.SD Facility Based Annex'!D53</f>
        <v>RCH</v>
      </c>
      <c r="E435" s="1880" t="str">
        <f>'1.SD Facility Based Annex'!E53</f>
        <v>RCH</v>
      </c>
      <c r="F435" s="1880">
        <f>'1.SD Facility Based Annex'!F53</f>
        <v>0</v>
      </c>
      <c r="G435" s="1880">
        <f>'1.SD Facility Based Annex'!G53</f>
        <v>0</v>
      </c>
      <c r="H435" s="1880">
        <f>'1.SD Facility Based Annex'!H53</f>
        <v>0</v>
      </c>
      <c r="I435" s="1880">
        <f>'1.SD Facility Based Annex'!I53</f>
        <v>0</v>
      </c>
      <c r="J435" s="1880">
        <f>'1.SD Facility Based Annex'!J53</f>
        <v>0</v>
      </c>
      <c r="K435" s="1880">
        <f>'1.SD Facility Based Annex'!K53</f>
        <v>0</v>
      </c>
      <c r="L435" s="939">
        <f>'1.SD Facility Based Annex'!L53</f>
        <v>0</v>
      </c>
      <c r="M435" s="1880">
        <f>'1.SD Facility Based Annex'!M53</f>
        <v>0</v>
      </c>
      <c r="N435" s="1880">
        <f>'1.SD Facility Based Annex'!N53</f>
        <v>0</v>
      </c>
      <c r="O435" s="939">
        <f>'1.SD Facility Based Annex'!O53</f>
        <v>0</v>
      </c>
      <c r="P435" s="1878">
        <f>'1.SD Facility Based Annex'!P53</f>
        <v>0</v>
      </c>
      <c r="Q435" s="124"/>
      <c r="R435" s="1880"/>
    </row>
    <row r="436" spans="1:20" s="828" customFormat="1" ht="30" x14ac:dyDescent="0.2">
      <c r="A436" s="1878" t="str">
        <f>'1.SD Facility Based Annex'!A57</f>
        <v>1.1.7.6</v>
      </c>
      <c r="B436" s="1878">
        <f>'1.SD Facility Based Annex'!B57</f>
        <v>0</v>
      </c>
      <c r="C436" s="1879" t="str">
        <f>'1.SD Facility Based Annex'!C57</f>
        <v>Provision of free medical and surgical care to survivors of gender based violence</v>
      </c>
      <c r="D436" s="1880" t="str">
        <f>'1.SD Facility Based Annex'!D57</f>
        <v>RCH</v>
      </c>
      <c r="E436" s="1880" t="str">
        <f>'1.SD Facility Based Annex'!E57</f>
        <v>RCH</v>
      </c>
      <c r="F436" s="1880">
        <f>'1.SD Facility Based Annex'!F57</f>
        <v>0</v>
      </c>
      <c r="G436" s="1880">
        <f>'1.SD Facility Based Annex'!G57</f>
        <v>0</v>
      </c>
      <c r="H436" s="1880">
        <f>'1.SD Facility Based Annex'!H57</f>
        <v>0</v>
      </c>
      <c r="I436" s="1880">
        <f>'1.SD Facility Based Annex'!I57</f>
        <v>0</v>
      </c>
      <c r="J436" s="1880">
        <f>'1.SD Facility Based Annex'!J57</f>
        <v>0</v>
      </c>
      <c r="K436" s="1880">
        <f>'1.SD Facility Based Annex'!K57</f>
        <v>0</v>
      </c>
      <c r="L436" s="939">
        <f>'1.SD Facility Based Annex'!L57</f>
        <v>0</v>
      </c>
      <c r="M436" s="1880">
        <f>'1.SD Facility Based Annex'!M57</f>
        <v>0</v>
      </c>
      <c r="N436" s="1880">
        <f>'1.SD Facility Based Annex'!N57</f>
        <v>0</v>
      </c>
      <c r="O436" s="939">
        <f>'1.SD Facility Based Annex'!O57</f>
        <v>0</v>
      </c>
      <c r="P436" s="1878">
        <f>'1.SD Facility Based Annex'!P57</f>
        <v>0</v>
      </c>
      <c r="Q436" s="124"/>
      <c r="R436" s="1880"/>
    </row>
    <row r="437" spans="1:20" s="828" customFormat="1" x14ac:dyDescent="0.2">
      <c r="A437" s="1875">
        <f>'2.SD Community Based Annex'!A7</f>
        <v>2</v>
      </c>
      <c r="B437" s="1875"/>
      <c r="C437" s="1876" t="str">
        <f>'2.SD Community Based Annex'!C7</f>
        <v>Service Delivery - Community Based</v>
      </c>
      <c r="D437" s="1877"/>
      <c r="E437" s="1877"/>
      <c r="F437" s="1877"/>
      <c r="G437" s="1877"/>
      <c r="H437" s="969"/>
      <c r="I437" s="1877"/>
      <c r="J437" s="969"/>
      <c r="K437" s="1877"/>
      <c r="L437" s="969"/>
      <c r="M437" s="969"/>
      <c r="N437" s="1901"/>
      <c r="O437" s="969">
        <f>SUM(O438:O439)</f>
        <v>0</v>
      </c>
      <c r="P437" s="1883"/>
      <c r="Q437" s="162"/>
      <c r="R437" s="132">
        <f>SUM(R438:R439)</f>
        <v>0</v>
      </c>
      <c r="T437" s="3314"/>
    </row>
    <row r="438" spans="1:20" s="828" customFormat="1" x14ac:dyDescent="0.2">
      <c r="A438" s="1878" t="str">
        <f>'2.SD Community Based Annex'!A41</f>
        <v>2.3.1.7</v>
      </c>
      <c r="B438" s="1878" t="str">
        <f>'2.SD Community Based Annex'!B41</f>
        <v>A.6.2</v>
      </c>
      <c r="C438" s="1879" t="str">
        <f>'2.SD Community Based Annex'!C41</f>
        <v xml:space="preserve">Tribal RCH: Outreach activities </v>
      </c>
      <c r="D438" s="1880" t="str">
        <f>'2.SD Community Based Annex'!D41</f>
        <v>RCH</v>
      </c>
      <c r="E438" s="1880" t="str">
        <f>'2.SD Community Based Annex'!E41</f>
        <v>RCH</v>
      </c>
      <c r="F438" s="1880">
        <f>'2.SD Community Based Annex'!F41</f>
        <v>0</v>
      </c>
      <c r="G438" s="1880">
        <f>'2.SD Community Based Annex'!G41</f>
        <v>0</v>
      </c>
      <c r="H438" s="1880">
        <f>'2.SD Community Based Annex'!H41</f>
        <v>0</v>
      </c>
      <c r="I438" s="1880">
        <f>'2.SD Community Based Annex'!I41</f>
        <v>0</v>
      </c>
      <c r="J438" s="1880">
        <f>'2.SD Community Based Annex'!J41</f>
        <v>0</v>
      </c>
      <c r="K438" s="1880">
        <f>'2.SD Community Based Annex'!K41</f>
        <v>0</v>
      </c>
      <c r="L438" s="939">
        <f>'2.SD Community Based Annex'!L41</f>
        <v>0</v>
      </c>
      <c r="M438" s="1880">
        <f>'2.SD Community Based Annex'!M41</f>
        <v>0</v>
      </c>
      <c r="N438" s="1880">
        <f>'2.SD Community Based Annex'!N41</f>
        <v>0</v>
      </c>
      <c r="O438" s="939">
        <f>'2.SD Community Based Annex'!O41</f>
        <v>0</v>
      </c>
      <c r="P438" s="1878">
        <f>'2.SD Community Based Annex'!P41</f>
        <v>0</v>
      </c>
      <c r="Q438" s="124"/>
      <c r="R438" s="1880">
        <v>0</v>
      </c>
    </row>
    <row r="439" spans="1:20" s="828" customFormat="1" x14ac:dyDescent="0.2">
      <c r="A439" s="1878" t="str">
        <f>'2.SD Community Based Annex'!A42</f>
        <v>2.3.1.8</v>
      </c>
      <c r="B439" s="1878" t="str">
        <f>'2.SD Community Based Annex'!B42</f>
        <v>A.11.2</v>
      </c>
      <c r="C439" s="1879" t="str">
        <f>'2.SD Community Based Annex'!C42</f>
        <v>Services for Vulnerable groups</v>
      </c>
      <c r="D439" s="1880" t="str">
        <f>'2.SD Community Based Annex'!D42</f>
        <v>RCH</v>
      </c>
      <c r="E439" s="1880" t="str">
        <f>'2.SD Community Based Annex'!E42</f>
        <v>RCH</v>
      </c>
      <c r="F439" s="1880">
        <f>'2.SD Community Based Annex'!F42</f>
        <v>0</v>
      </c>
      <c r="G439" s="1880">
        <f>'2.SD Community Based Annex'!G42</f>
        <v>0</v>
      </c>
      <c r="H439" s="1880">
        <f>'2.SD Community Based Annex'!H42</f>
        <v>0</v>
      </c>
      <c r="I439" s="1880">
        <f>'2.SD Community Based Annex'!I42</f>
        <v>0</v>
      </c>
      <c r="J439" s="1880">
        <f>'2.SD Community Based Annex'!J42</f>
        <v>0</v>
      </c>
      <c r="K439" s="1880">
        <f>'2.SD Community Based Annex'!K42</f>
        <v>0</v>
      </c>
      <c r="L439" s="939">
        <f>'2.SD Community Based Annex'!L42</f>
        <v>0</v>
      </c>
      <c r="M439" s="1880">
        <f>'2.SD Community Based Annex'!M42</f>
        <v>0</v>
      </c>
      <c r="N439" s="1880">
        <f>'2.SD Community Based Annex'!N42</f>
        <v>0</v>
      </c>
      <c r="O439" s="939">
        <f>'2.SD Community Based Annex'!O42</f>
        <v>0</v>
      </c>
      <c r="P439" s="1878">
        <f>'2.SD Community Based Annex'!P42</f>
        <v>0</v>
      </c>
      <c r="Q439" s="3323"/>
      <c r="R439" s="1880"/>
    </row>
    <row r="440" spans="1:20" s="828" customFormat="1" x14ac:dyDescent="0.2">
      <c r="A440" s="1875">
        <f>'9.Training Annex'!A7</f>
        <v>9</v>
      </c>
      <c r="B440" s="1875"/>
      <c r="C440" s="1876" t="str">
        <f>'9.Training Annex'!C7</f>
        <v>Training and Capacity Building</v>
      </c>
      <c r="D440" s="1877"/>
      <c r="E440" s="1877"/>
      <c r="F440" s="1877"/>
      <c r="G440" s="1877"/>
      <c r="H440" s="1877"/>
      <c r="I440" s="1877"/>
      <c r="J440" s="1877"/>
      <c r="K440" s="1877"/>
      <c r="L440" s="969"/>
      <c r="M440" s="1877"/>
      <c r="N440" s="1877"/>
      <c r="O440" s="969">
        <f>SUM(O441:O442)</f>
        <v>0</v>
      </c>
      <c r="P440" s="1875"/>
      <c r="Q440" s="162"/>
      <c r="R440" s="132">
        <f>SUM(R441:R442)</f>
        <v>0</v>
      </c>
      <c r="T440" s="3314"/>
    </row>
    <row r="441" spans="1:20" s="828" customFormat="1" ht="45" x14ac:dyDescent="0.2">
      <c r="A441" s="4047" t="str">
        <f>'9.Training Annex'!A28</f>
        <v>9.2.1.8</v>
      </c>
      <c r="B441" s="1878">
        <f>'9-A.Training Sub-Annex'!C143</f>
        <v>0</v>
      </c>
      <c r="C441" s="1879" t="str">
        <f>'9-A.Training Sub-Annex'!D143</f>
        <v>Orientation and training of Human Resources for Health (HRH) and counsellors in public health response to Violence against women</v>
      </c>
      <c r="D441" s="1880" t="str">
        <f>'9-A.Training Sub-Annex'!E143</f>
        <v>RCH</v>
      </c>
      <c r="E441" s="1880" t="str">
        <f>'9-A.Training Sub-Annex'!F143</f>
        <v>RCH</v>
      </c>
      <c r="F441" s="1880">
        <f>'9-A.Training Sub-Annex'!G143</f>
        <v>0</v>
      </c>
      <c r="G441" s="1880">
        <f>'9-A.Training Sub-Annex'!H143</f>
        <v>0</v>
      </c>
      <c r="H441" s="1880">
        <f>'9-A.Training Sub-Annex'!I143</f>
        <v>0</v>
      </c>
      <c r="I441" s="1880">
        <f>'9-A.Training Sub-Annex'!J143</f>
        <v>0</v>
      </c>
      <c r="J441" s="1880">
        <f>'9-A.Training Sub-Annex'!K143</f>
        <v>0</v>
      </c>
      <c r="K441" s="1880">
        <f>'9-A.Training Sub-Annex'!L143</f>
        <v>0</v>
      </c>
      <c r="L441" s="939">
        <f>'9-A.Training Sub-Annex'!M143</f>
        <v>0</v>
      </c>
      <c r="M441" s="1880">
        <f>'9-A.Training Sub-Annex'!N143</f>
        <v>0</v>
      </c>
      <c r="N441" s="1880">
        <f>'9-A.Training Sub-Annex'!O143</f>
        <v>0</v>
      </c>
      <c r="O441" s="939">
        <f>'9-A.Training Sub-Annex'!P143</f>
        <v>0</v>
      </c>
      <c r="P441" s="1878">
        <f>'9-A.Training Sub-Annex'!Q143</f>
        <v>0</v>
      </c>
      <c r="Q441" s="124"/>
      <c r="R441" s="1880">
        <v>0</v>
      </c>
    </row>
    <row r="442" spans="1:20" s="828" customFormat="1" x14ac:dyDescent="0.2">
      <c r="A442" s="4047"/>
      <c r="B442" s="1878">
        <f>'9-A.Training Sub-Annex'!C144</f>
        <v>0</v>
      </c>
      <c r="C442" s="1879" t="str">
        <f>'9-A.Training Sub-Annex'!D144</f>
        <v>Any other (please specify)</v>
      </c>
      <c r="D442" s="1880" t="str">
        <f>'9-A.Training Sub-Annex'!E144</f>
        <v>RCH</v>
      </c>
      <c r="E442" s="1880" t="str">
        <f>'9-A.Training Sub-Annex'!F144</f>
        <v>RCH</v>
      </c>
      <c r="F442" s="1880">
        <f>'9-A.Training Sub-Annex'!G144</f>
        <v>0</v>
      </c>
      <c r="G442" s="1880">
        <f>'9-A.Training Sub-Annex'!H144</f>
        <v>0</v>
      </c>
      <c r="H442" s="1880">
        <f>'9-A.Training Sub-Annex'!I144</f>
        <v>0</v>
      </c>
      <c r="I442" s="1880">
        <f>'9-A.Training Sub-Annex'!J144</f>
        <v>0</v>
      </c>
      <c r="J442" s="1880">
        <f>'9-A.Training Sub-Annex'!K144</f>
        <v>0</v>
      </c>
      <c r="K442" s="1880">
        <f>'9-A.Training Sub-Annex'!L144</f>
        <v>0</v>
      </c>
      <c r="L442" s="939">
        <f>'9-A.Training Sub-Annex'!M144</f>
        <v>0</v>
      </c>
      <c r="M442" s="1880">
        <f>'9-A.Training Sub-Annex'!N144</f>
        <v>0</v>
      </c>
      <c r="N442" s="1880">
        <f>'9-A.Training Sub-Annex'!O144</f>
        <v>0</v>
      </c>
      <c r="O442" s="939">
        <f>'9-A.Training Sub-Annex'!P144</f>
        <v>0</v>
      </c>
      <c r="P442" s="1878">
        <f>'9-A.Training Sub-Annex'!Q144</f>
        <v>0</v>
      </c>
      <c r="Q442" s="3336"/>
      <c r="R442" s="1880"/>
    </row>
    <row r="443" spans="1:20" s="828" customFormat="1" ht="30" x14ac:dyDescent="0.2">
      <c r="A443" s="1878" t="str">
        <f>'9.Training Annex'!A14</f>
        <v>9.1.4.2</v>
      </c>
      <c r="B443" s="1878" t="str">
        <f>'9-A.Training Sub-Annex'!C18</f>
        <v>A.9.1.1</v>
      </c>
      <c r="C443" s="1878" t="str">
        <f>'9-A.Training Sub-Annex'!D18</f>
        <v>HR for Nursing Schools/ Institutions/ Nursing Directorate/ SIHFW supported under NHM</v>
      </c>
      <c r="D443" s="1880" t="str">
        <f>'9-A.Training Sub-Annex'!E18</f>
        <v>HSS</v>
      </c>
      <c r="E443" s="1880" t="str">
        <f>'9-A.Training Sub-Annex'!F18</f>
        <v>Training division/ HRH</v>
      </c>
      <c r="F443" s="1880">
        <f>'9-A.Training Sub-Annex'!G18</f>
        <v>0</v>
      </c>
      <c r="G443" s="1880">
        <f>'9-A.Training Sub-Annex'!H18</f>
        <v>0</v>
      </c>
      <c r="H443" s="1880">
        <f>'9-A.Training Sub-Annex'!I18</f>
        <v>0</v>
      </c>
      <c r="I443" s="1880">
        <f>'9-A.Training Sub-Annex'!J18</f>
        <v>0</v>
      </c>
      <c r="J443" s="1880">
        <f>'9-A.Training Sub-Annex'!K18</f>
        <v>0</v>
      </c>
      <c r="K443" s="1880">
        <f>'9-A.Training Sub-Annex'!L18</f>
        <v>0</v>
      </c>
      <c r="L443" s="619">
        <f>'9-A.Training Sub-Annex'!M18</f>
        <v>0</v>
      </c>
      <c r="M443" s="1880">
        <f>'9-A.Training Sub-Annex'!N18</f>
        <v>0</v>
      </c>
      <c r="N443" s="1880">
        <f>'9-A.Training Sub-Annex'!O18</f>
        <v>0</v>
      </c>
      <c r="O443" s="939">
        <f>'9-A.Training Sub-Annex'!P18</f>
        <v>0</v>
      </c>
      <c r="P443" s="1878">
        <f>'9-A.Training Sub-Annex'!Q18</f>
        <v>0</v>
      </c>
      <c r="Q443" s="3295"/>
      <c r="R443" s="1880"/>
    </row>
    <row r="444" spans="1:20" s="828" customFormat="1" x14ac:dyDescent="0.2">
      <c r="A444" s="1902">
        <f>'15.PPP Annex'!A7</f>
        <v>15</v>
      </c>
      <c r="B444" s="1902"/>
      <c r="C444" s="1903" t="str">
        <f>'15.PPP Annex'!C7</f>
        <v>PPP</v>
      </c>
      <c r="D444" s="1904"/>
      <c r="E444" s="1904"/>
      <c r="F444" s="1904"/>
      <c r="G444" s="1904"/>
      <c r="H444" s="1904"/>
      <c r="I444" s="1904"/>
      <c r="J444" s="1904"/>
      <c r="K444" s="1904"/>
      <c r="L444" s="1872"/>
      <c r="M444" s="1872"/>
      <c r="N444" s="1904"/>
      <c r="O444" s="1872">
        <f>O445</f>
        <v>0</v>
      </c>
      <c r="P444" s="1902"/>
      <c r="Q444" s="680"/>
      <c r="R444" s="681">
        <f>R445</f>
        <v>0</v>
      </c>
      <c r="T444" s="3314"/>
    </row>
    <row r="445" spans="1:20" s="828" customFormat="1" x14ac:dyDescent="0.2">
      <c r="A445" s="1878" t="str">
        <f>'15.PPP Annex'!A11</f>
        <v>15.1.3</v>
      </c>
      <c r="B445" s="1878">
        <f>'15.PPP Annex'!B11</f>
        <v>0</v>
      </c>
      <c r="C445" s="1879" t="str">
        <f>'15.PPP Annex'!C11</f>
        <v>Any other PPP initiative under RMNCH+A</v>
      </c>
      <c r="D445" s="1880" t="str">
        <f>'15.PPP Annex'!D11</f>
        <v xml:space="preserve">RCH </v>
      </c>
      <c r="E445" s="1880" t="str">
        <f>'15.PPP Annex'!E11</f>
        <v>RMNCH+A</v>
      </c>
      <c r="F445" s="1880">
        <f>'15.PPP Annex'!F11</f>
        <v>0</v>
      </c>
      <c r="G445" s="1880">
        <f>'15.PPP Annex'!G11</f>
        <v>0</v>
      </c>
      <c r="H445" s="1880">
        <f>'15.PPP Annex'!H11</f>
        <v>0</v>
      </c>
      <c r="I445" s="1880">
        <f>'15.PPP Annex'!I11</f>
        <v>0</v>
      </c>
      <c r="J445" s="1880">
        <f>'15.PPP Annex'!J11</f>
        <v>0</v>
      </c>
      <c r="K445" s="1880">
        <f>'15.PPP Annex'!K11</f>
        <v>0</v>
      </c>
      <c r="L445" s="939">
        <f>'15.PPP Annex'!L11</f>
        <v>0</v>
      </c>
      <c r="M445" s="1880">
        <f>'15.PPP Annex'!M11</f>
        <v>0</v>
      </c>
      <c r="N445" s="1880">
        <f>'15.PPP Annex'!N11</f>
        <v>0</v>
      </c>
      <c r="O445" s="939">
        <f>'15.PPP Annex'!O11</f>
        <v>0</v>
      </c>
      <c r="P445" s="1878">
        <f>'15.PPP Annex'!P11</f>
        <v>0</v>
      </c>
      <c r="Q445" s="124"/>
      <c r="R445" s="1880">
        <v>0</v>
      </c>
    </row>
    <row r="446" spans="1:20" x14ac:dyDescent="0.2">
      <c r="A446" s="1902">
        <f>'16.PM Annex'!A7</f>
        <v>16</v>
      </c>
      <c r="B446" s="1902"/>
      <c r="C446" s="1903" t="str">
        <f>'16.PM Annex'!C7</f>
        <v>Programme Management</v>
      </c>
      <c r="D446" s="1904"/>
      <c r="E446" s="1904"/>
      <c r="F446" s="1904"/>
      <c r="G446" s="1904"/>
      <c r="H446" s="1904"/>
      <c r="I446" s="1904"/>
      <c r="J446" s="1904"/>
      <c r="K446" s="1904"/>
      <c r="L446" s="1872"/>
      <c r="M446" s="1872"/>
      <c r="N446" s="1904"/>
      <c r="O446" s="1872">
        <f>O447</f>
        <v>0</v>
      </c>
      <c r="P446" s="1902"/>
      <c r="Q446" s="680"/>
      <c r="R446" s="681">
        <f>R447</f>
        <v>0</v>
      </c>
      <c r="T446" s="3313"/>
    </row>
    <row r="447" spans="1:20" ht="30" x14ac:dyDescent="0.2">
      <c r="A447" s="1883">
        <f>'16.PM Annex'!A8</f>
        <v>16.100000000000001</v>
      </c>
      <c r="B447" s="1883"/>
      <c r="C447" s="1905" t="str">
        <f>'16.PM Annex'!C8</f>
        <v>Programme Management Activities (as per PM sub annex)</v>
      </c>
      <c r="D447" s="1901"/>
      <c r="E447" s="1901"/>
      <c r="F447" s="1901"/>
      <c r="G447" s="1901"/>
      <c r="H447" s="1901"/>
      <c r="I447" s="1901"/>
      <c r="J447" s="1901"/>
      <c r="K447" s="1901"/>
      <c r="L447" s="969"/>
      <c r="M447" s="969"/>
      <c r="N447" s="1901"/>
      <c r="O447" s="969">
        <f>SUM(O448:O475)</f>
        <v>0</v>
      </c>
      <c r="P447" s="1883"/>
      <c r="Q447" s="162"/>
      <c r="R447" s="132">
        <f>SUM(R448:R475)</f>
        <v>0</v>
      </c>
      <c r="S447" s="3314"/>
      <c r="T447" s="3313"/>
    </row>
    <row r="448" spans="1:20" ht="60" x14ac:dyDescent="0.2">
      <c r="A448" s="103" t="str">
        <f>'16-A. PM sub Annex'!B12</f>
        <v>16.1.1.2</v>
      </c>
      <c r="B448" s="103" t="str">
        <f>'16-A. PM sub Annex'!D12</f>
        <v>A.2.1</v>
      </c>
      <c r="C448" s="870" t="str">
        <f>'16-A. PM sub Annex'!E12</f>
        <v>IMNCI (including F-IMNCI; primarily budget for  planning for pre-service IMNCI activities in medical colleges, nursing colleges, and ANMTCs other training)</v>
      </c>
      <c r="D448" s="174" t="str">
        <f>'16-A. PM sub Annex'!F12</f>
        <v>RCH</v>
      </c>
      <c r="E448" s="174" t="str">
        <f>'16-A. PM sub Annex'!G12</f>
        <v>HRH&amp;HPIP/CH</v>
      </c>
      <c r="F448" s="174">
        <f>'16-A. PM sub Annex'!H12</f>
        <v>0</v>
      </c>
      <c r="G448" s="174">
        <f>'16-A. PM sub Annex'!I12</f>
        <v>0</v>
      </c>
      <c r="H448" s="174">
        <f>'16-A. PM sub Annex'!J12</f>
        <v>0</v>
      </c>
      <c r="I448" s="174">
        <f>'16-A. PM sub Annex'!K12</f>
        <v>0</v>
      </c>
      <c r="J448" s="174">
        <f>'16-A. PM sub Annex'!L12</f>
        <v>0</v>
      </c>
      <c r="K448" s="174">
        <f>'16-A. PM sub Annex'!M12</f>
        <v>0</v>
      </c>
      <c r="L448" s="178">
        <f>'16-A. PM sub Annex'!N12</f>
        <v>0</v>
      </c>
      <c r="M448" s="178">
        <f>'16-A. PM sub Annex'!O12</f>
        <v>0</v>
      </c>
      <c r="N448" s="174">
        <f>'16-A. PM sub Annex'!P12</f>
        <v>0</v>
      </c>
      <c r="O448" s="178">
        <f>'16-A. PM sub Annex'!Q12</f>
        <v>0</v>
      </c>
      <c r="P448" s="103">
        <f>'16-A. PM sub Annex'!R12</f>
        <v>0</v>
      </c>
      <c r="Q448" s="67"/>
      <c r="R448" s="1880">
        <v>0</v>
      </c>
      <c r="S448" s="3314"/>
    </row>
    <row r="449" spans="1:20" x14ac:dyDescent="0.2">
      <c r="A449" s="103" t="str">
        <f>'16-A. PM sub Annex'!B13</f>
        <v>16.1.1.3</v>
      </c>
      <c r="B449" s="103" t="str">
        <f>'16-A. PM sub Annex'!D13</f>
        <v>A.5.1.1</v>
      </c>
      <c r="C449" s="870" t="str">
        <f>'16-A. PM sub Annex'!E13</f>
        <v>Prepare and disseminate guidelines for RBSK</v>
      </c>
      <c r="D449" s="174" t="str">
        <f>'16-A. PM sub Annex'!F13</f>
        <v>RCH</v>
      </c>
      <c r="E449" s="174" t="str">
        <f>'16-A. PM sub Annex'!G13</f>
        <v>HRH&amp;HPIP/RBSK</v>
      </c>
      <c r="F449" s="174">
        <f>'16-A. PM sub Annex'!H13</f>
        <v>0</v>
      </c>
      <c r="G449" s="174">
        <f>'16-A. PM sub Annex'!I13</f>
        <v>0</v>
      </c>
      <c r="H449" s="174">
        <f>'16-A. PM sub Annex'!J13</f>
        <v>0</v>
      </c>
      <c r="I449" s="174">
        <f>'16-A. PM sub Annex'!K13</f>
        <v>0</v>
      </c>
      <c r="J449" s="174">
        <f>'16-A. PM sub Annex'!L13</f>
        <v>0</v>
      </c>
      <c r="K449" s="174">
        <f>'16-A. PM sub Annex'!M13</f>
        <v>0</v>
      </c>
      <c r="L449" s="178">
        <f>'16-A. PM sub Annex'!N13</f>
        <v>0</v>
      </c>
      <c r="M449" s="178">
        <f>'16-A. PM sub Annex'!O13</f>
        <v>0</v>
      </c>
      <c r="N449" s="174">
        <f>'16-A. PM sub Annex'!P13</f>
        <v>0</v>
      </c>
      <c r="O449" s="178">
        <f>'16-A. PM sub Annex'!Q13</f>
        <v>0</v>
      </c>
      <c r="P449" s="103">
        <f>'16-A. PM sub Annex'!R13</f>
        <v>0</v>
      </c>
      <c r="Q449" s="67"/>
      <c r="R449" s="1880"/>
      <c r="S449" s="3314"/>
    </row>
    <row r="450" spans="1:20" ht="30" x14ac:dyDescent="0.2">
      <c r="A450" s="103" t="str">
        <f>'16-A. PM sub Annex'!B14</f>
        <v>16.1.1.4</v>
      </c>
      <c r="B450" s="103" t="str">
        <f>'16-A. PM sub Annex'!D14</f>
        <v>A.5.1.2</v>
      </c>
      <c r="C450" s="870" t="str">
        <f>'16-A. PM sub Annex'!E14</f>
        <v>Prepare detailed operational plan for RBSK across districts (including cost of plan)</v>
      </c>
      <c r="D450" s="174" t="str">
        <f>'16-A. PM sub Annex'!F14</f>
        <v>RCH</v>
      </c>
      <c r="E450" s="174" t="str">
        <f>'16-A. PM sub Annex'!G14</f>
        <v>HRH&amp;HPIP/RBSK</v>
      </c>
      <c r="F450" s="174">
        <f>'16-A. PM sub Annex'!H14</f>
        <v>0</v>
      </c>
      <c r="G450" s="174">
        <f>'16-A. PM sub Annex'!I14</f>
        <v>0</v>
      </c>
      <c r="H450" s="174">
        <f>'16-A. PM sub Annex'!J14</f>
        <v>0</v>
      </c>
      <c r="I450" s="174">
        <f>'16-A. PM sub Annex'!K14</f>
        <v>0</v>
      </c>
      <c r="J450" s="174">
        <f>'16-A. PM sub Annex'!L14</f>
        <v>0</v>
      </c>
      <c r="K450" s="174">
        <f>'16-A. PM sub Annex'!M14</f>
        <v>0</v>
      </c>
      <c r="L450" s="178">
        <f>'16-A. PM sub Annex'!N14</f>
        <v>0</v>
      </c>
      <c r="M450" s="178">
        <f>'16-A. PM sub Annex'!O14</f>
        <v>0</v>
      </c>
      <c r="N450" s="174">
        <f>'16-A. PM sub Annex'!P14</f>
        <v>0</v>
      </c>
      <c r="O450" s="178">
        <f>'16-A. PM sub Annex'!Q14</f>
        <v>0</v>
      </c>
      <c r="P450" s="103">
        <f>'16-A. PM sub Annex'!R14</f>
        <v>0</v>
      </c>
      <c r="Q450" s="67"/>
      <c r="R450" s="1880"/>
      <c r="S450" s="3314"/>
    </row>
    <row r="451" spans="1:20" ht="30" x14ac:dyDescent="0.2">
      <c r="A451" s="103" t="str">
        <f>'16-A. PM sub Annex'!B15</f>
        <v>16.1.1.5</v>
      </c>
      <c r="B451" s="103" t="str">
        <f>'16-A. PM sub Annex'!D15</f>
        <v>A.11.1</v>
      </c>
      <c r="C451" s="870" t="str">
        <f>'16-A. PM sub Annex'!E15</f>
        <v>Planning, including mapping and co-ordination with other departments</v>
      </c>
      <c r="D451" s="174" t="str">
        <f>'16-A. PM sub Annex'!F15</f>
        <v>RCH</v>
      </c>
      <c r="E451" s="174" t="str">
        <f>'16-A. PM sub Annex'!G15</f>
        <v>HRH&amp;HPIP/RCH</v>
      </c>
      <c r="F451" s="174">
        <f>'16-A. PM sub Annex'!H15</f>
        <v>0</v>
      </c>
      <c r="G451" s="174">
        <f>'16-A. PM sub Annex'!I15</f>
        <v>0</v>
      </c>
      <c r="H451" s="174">
        <f>'16-A. PM sub Annex'!J15</f>
        <v>0</v>
      </c>
      <c r="I451" s="174">
        <f>'16-A. PM sub Annex'!K15</f>
        <v>0</v>
      </c>
      <c r="J451" s="174">
        <f>'16-A. PM sub Annex'!L15</f>
        <v>0</v>
      </c>
      <c r="K451" s="174">
        <f>'16-A. PM sub Annex'!M15</f>
        <v>0</v>
      </c>
      <c r="L451" s="178">
        <f>'16-A. PM sub Annex'!N15</f>
        <v>0</v>
      </c>
      <c r="M451" s="178">
        <f>'16-A. PM sub Annex'!O15</f>
        <v>0</v>
      </c>
      <c r="N451" s="174">
        <f>'16-A. PM sub Annex'!P15</f>
        <v>0</v>
      </c>
      <c r="O451" s="178">
        <f>'16-A. PM sub Annex'!Q15</f>
        <v>0</v>
      </c>
      <c r="P451" s="103">
        <f>'16-A. PM sub Annex'!R15</f>
        <v>0</v>
      </c>
      <c r="Q451" s="67"/>
      <c r="R451" s="1880"/>
      <c r="S451" s="3314"/>
    </row>
    <row r="452" spans="1:20" x14ac:dyDescent="0.2">
      <c r="A452" s="103" t="str">
        <f>'16-A. PM sub Annex'!B16</f>
        <v>16.1.1.6</v>
      </c>
      <c r="B452" s="103" t="str">
        <f>'16-A. PM sub Annex'!D16</f>
        <v>C.1.j</v>
      </c>
      <c r="C452" s="870" t="str">
        <f>'16-A. PM sub Annex'!E16</f>
        <v>To develop micro plan at sub-centre level</v>
      </c>
      <c r="D452" s="174" t="str">
        <f>'16-A. PM sub Annex'!F16</f>
        <v>RCH</v>
      </c>
      <c r="E452" s="174" t="str">
        <f>'16-A. PM sub Annex'!G16</f>
        <v>HRH&amp;HPIP/RI</v>
      </c>
      <c r="F452" s="174">
        <f>'16-A. PM sub Annex'!H16</f>
        <v>0</v>
      </c>
      <c r="G452" s="174">
        <f>'16-A. PM sub Annex'!I16</f>
        <v>0</v>
      </c>
      <c r="H452" s="174">
        <f>'16-A. PM sub Annex'!J16</f>
        <v>0</v>
      </c>
      <c r="I452" s="174">
        <f>'16-A. PM sub Annex'!K16</f>
        <v>0</v>
      </c>
      <c r="J452" s="174">
        <f>'16-A. PM sub Annex'!L16</f>
        <v>0</v>
      </c>
      <c r="K452" s="174">
        <f>'16-A. PM sub Annex'!M16</f>
        <v>0</v>
      </c>
      <c r="L452" s="178">
        <f>'16-A. PM sub Annex'!N16</f>
        <v>0</v>
      </c>
      <c r="M452" s="178">
        <f>'16-A. PM sub Annex'!O16</f>
        <v>0</v>
      </c>
      <c r="N452" s="174">
        <f>'16-A. PM sub Annex'!P16</f>
        <v>0</v>
      </c>
      <c r="O452" s="178">
        <f>'16-A. PM sub Annex'!Q16</f>
        <v>0</v>
      </c>
      <c r="P452" s="103">
        <f>'16-A. PM sub Annex'!R16</f>
        <v>0</v>
      </c>
      <c r="Q452" s="124"/>
      <c r="R452" s="1906"/>
      <c r="S452" s="3314"/>
      <c r="T452" s="3313"/>
    </row>
    <row r="453" spans="1:20" x14ac:dyDescent="0.2">
      <c r="A453" s="103" t="str">
        <f>'16-A. PM sub Annex'!B17</f>
        <v>16.1.1.7</v>
      </c>
      <c r="B453" s="103" t="str">
        <f>'16-A. PM sub Annex'!D17</f>
        <v>C.1.k</v>
      </c>
      <c r="C453" s="870" t="str">
        <f>'16-A. PM sub Annex'!E17</f>
        <v>For consolidation of micro plans at block level</v>
      </c>
      <c r="D453" s="174" t="str">
        <f>'16-A. PM sub Annex'!F17</f>
        <v>RCH</v>
      </c>
      <c r="E453" s="174" t="str">
        <f>'16-A. PM sub Annex'!G17</f>
        <v>HRH&amp;HPIP/RI</v>
      </c>
      <c r="F453" s="174">
        <f>'16-A. PM sub Annex'!H17</f>
        <v>0</v>
      </c>
      <c r="G453" s="174">
        <f>'16-A. PM sub Annex'!I17</f>
        <v>0</v>
      </c>
      <c r="H453" s="174">
        <f>'16-A. PM sub Annex'!J17</f>
        <v>0</v>
      </c>
      <c r="I453" s="174">
        <f>'16-A. PM sub Annex'!K17</f>
        <v>0</v>
      </c>
      <c r="J453" s="174">
        <f>'16-A. PM sub Annex'!L17</f>
        <v>0</v>
      </c>
      <c r="K453" s="174">
        <f>'16-A. PM sub Annex'!M17</f>
        <v>0</v>
      </c>
      <c r="L453" s="178">
        <f>'16-A. PM sub Annex'!N17</f>
        <v>0</v>
      </c>
      <c r="M453" s="178">
        <f>'16-A. PM sub Annex'!O17</f>
        <v>0</v>
      </c>
      <c r="N453" s="174">
        <f>'16-A. PM sub Annex'!P17</f>
        <v>0</v>
      </c>
      <c r="O453" s="178">
        <f>'16-A. PM sub Annex'!Q17</f>
        <v>0</v>
      </c>
      <c r="P453" s="103">
        <f>'16-A. PM sub Annex'!R17</f>
        <v>0</v>
      </c>
      <c r="Q453" s="124"/>
      <c r="R453" s="1906"/>
      <c r="S453" s="3314"/>
      <c r="T453" s="3313"/>
    </row>
    <row r="454" spans="1:20" ht="30" x14ac:dyDescent="0.2">
      <c r="A454" s="103" t="str">
        <f>'16-A. PM sub Annex'!B22</f>
        <v>16.1.2.1.1</v>
      </c>
      <c r="B454" s="103" t="str">
        <f>'16-A. PM sub Annex'!D22</f>
        <v>A.2.11.1</v>
      </c>
      <c r="C454" s="870" t="str">
        <f>'16-A. PM sub Annex'!E22</f>
        <v>Provision for State &amp; District level (Meetings/ review meetings)</v>
      </c>
      <c r="D454" s="174" t="str">
        <f>'16-A. PM sub Annex'!F22</f>
        <v>RCH</v>
      </c>
      <c r="E454" s="174" t="str">
        <f>'16-A. PM sub Annex'!G22</f>
        <v>HRH&amp;HPIP/CH</v>
      </c>
      <c r="F454" s="174">
        <f>'16-A. PM sub Annex'!H22</f>
        <v>0</v>
      </c>
      <c r="G454" s="174">
        <f>'16-A. PM sub Annex'!I22</f>
        <v>0</v>
      </c>
      <c r="H454" s="174">
        <f>'16-A. PM sub Annex'!J22</f>
        <v>0</v>
      </c>
      <c r="I454" s="174">
        <f>'16-A. PM sub Annex'!K22</f>
        <v>0</v>
      </c>
      <c r="J454" s="174">
        <f>'16-A. PM sub Annex'!L22</f>
        <v>0</v>
      </c>
      <c r="K454" s="174">
        <f>'16-A. PM sub Annex'!M22</f>
        <v>0</v>
      </c>
      <c r="L454" s="178">
        <f>'16-A. PM sub Annex'!N22</f>
        <v>0</v>
      </c>
      <c r="M454" s="178">
        <f>'16-A. PM sub Annex'!O22</f>
        <v>0</v>
      </c>
      <c r="N454" s="174">
        <f>'16-A. PM sub Annex'!P22</f>
        <v>0</v>
      </c>
      <c r="O454" s="178">
        <f>'16-A. PM sub Annex'!Q22</f>
        <v>0</v>
      </c>
      <c r="P454" s="103">
        <f>'16-A. PM sub Annex'!R22</f>
        <v>0</v>
      </c>
      <c r="Q454" s="67"/>
      <c r="R454" s="1880">
        <v>0</v>
      </c>
      <c r="S454" s="3314"/>
    </row>
    <row r="455" spans="1:20" x14ac:dyDescent="0.2">
      <c r="A455" s="103" t="str">
        <f>'16-A. PM sub Annex'!B23</f>
        <v>16.1.2.1.2</v>
      </c>
      <c r="B455" s="103">
        <f>'16-A. PM sub Annex'!D23</f>
        <v>0</v>
      </c>
      <c r="C455" s="870" t="str">
        <f>'16-A. PM sub Annex'!E23</f>
        <v>Review/orientation meetings for HBNC</v>
      </c>
      <c r="D455" s="174" t="str">
        <f>'16-A. PM sub Annex'!F23</f>
        <v>RCH</v>
      </c>
      <c r="E455" s="174" t="str">
        <f>'16-A. PM sub Annex'!G23</f>
        <v>HRH&amp;HPIP/CH</v>
      </c>
      <c r="F455" s="174">
        <f>'16-A. PM sub Annex'!H23</f>
        <v>0</v>
      </c>
      <c r="G455" s="174">
        <f>'16-A. PM sub Annex'!I23</f>
        <v>0</v>
      </c>
      <c r="H455" s="174">
        <f>'16-A. PM sub Annex'!J23</f>
        <v>0</v>
      </c>
      <c r="I455" s="174">
        <f>'16-A. PM sub Annex'!K23</f>
        <v>0</v>
      </c>
      <c r="J455" s="174">
        <f>'16-A. PM sub Annex'!L23</f>
        <v>0</v>
      </c>
      <c r="K455" s="174">
        <f>'16-A. PM sub Annex'!M23</f>
        <v>0</v>
      </c>
      <c r="L455" s="178">
        <f>'16-A. PM sub Annex'!N23</f>
        <v>0</v>
      </c>
      <c r="M455" s="178">
        <f>'16-A. PM sub Annex'!O23</f>
        <v>0</v>
      </c>
      <c r="N455" s="174">
        <f>'16-A. PM sub Annex'!P23</f>
        <v>0</v>
      </c>
      <c r="O455" s="178">
        <f>'16-A. PM sub Annex'!Q23</f>
        <v>0</v>
      </c>
      <c r="P455" s="103">
        <f>'16-A. PM sub Annex'!R23</f>
        <v>0</v>
      </c>
      <c r="Q455" s="67"/>
      <c r="R455" s="1880">
        <v>0</v>
      </c>
      <c r="S455" s="3314"/>
    </row>
    <row r="456" spans="1:20" ht="30" x14ac:dyDescent="0.2">
      <c r="A456" s="103" t="str">
        <f>'16-A. PM sub Annex'!B24</f>
        <v>16.1.2.1.3</v>
      </c>
      <c r="B456" s="103">
        <f>'16-A. PM sub Annex'!D24</f>
        <v>0</v>
      </c>
      <c r="C456" s="870" t="str">
        <f>'16-A. PM sub Annex'!E24</f>
        <v>Review/orientation meetings for child health programmes</v>
      </c>
      <c r="D456" s="174" t="str">
        <f>'16-A. PM sub Annex'!F24</f>
        <v>RCH</v>
      </c>
      <c r="E456" s="174" t="str">
        <f>'16-A. PM sub Annex'!G24</f>
        <v>HRH&amp;HPIP/CH</v>
      </c>
      <c r="F456" s="174">
        <f>'16-A. PM sub Annex'!H24</f>
        <v>0</v>
      </c>
      <c r="G456" s="174">
        <f>'16-A. PM sub Annex'!I24</f>
        <v>0</v>
      </c>
      <c r="H456" s="174">
        <f>'16-A. PM sub Annex'!J24</f>
        <v>0</v>
      </c>
      <c r="I456" s="174">
        <f>'16-A. PM sub Annex'!K24</f>
        <v>0</v>
      </c>
      <c r="J456" s="174">
        <f>'16-A. PM sub Annex'!L24</f>
        <v>0</v>
      </c>
      <c r="K456" s="174">
        <f>'16-A. PM sub Annex'!M24</f>
        <v>0</v>
      </c>
      <c r="L456" s="178">
        <f>'16-A. PM sub Annex'!N24</f>
        <v>0</v>
      </c>
      <c r="M456" s="178">
        <f>'16-A. PM sub Annex'!O24</f>
        <v>0</v>
      </c>
      <c r="N456" s="174">
        <f>'16-A. PM sub Annex'!P24</f>
        <v>0</v>
      </c>
      <c r="O456" s="178">
        <f>'16-A. PM sub Annex'!Q24</f>
        <v>0</v>
      </c>
      <c r="P456" s="103">
        <f>'16-A. PM sub Annex'!R24</f>
        <v>0</v>
      </c>
      <c r="Q456" s="67"/>
      <c r="R456" s="1880">
        <v>0</v>
      </c>
      <c r="S456" s="3314"/>
    </row>
    <row r="457" spans="1:20" ht="60" x14ac:dyDescent="0.2">
      <c r="A457" s="103" t="str">
        <f>'16-A. PM sub Annex'!B25</f>
        <v>16.1.2.1.4</v>
      </c>
      <c r="B457" s="103" t="str">
        <f>'16-A. PM sub Annex'!D25</f>
        <v>A.3.5.1</v>
      </c>
      <c r="C457" s="870" t="str">
        <f>'16-A. PM sub Annex'!E25</f>
        <v>FP QAC meetings (Minimum frequency of QAC meetings as per Supreme court mandate: State level - Biannual meeting; District level - Quarterly)</v>
      </c>
      <c r="D457" s="174" t="str">
        <f>'16-A. PM sub Annex'!F25</f>
        <v>RCH</v>
      </c>
      <c r="E457" s="174" t="str">
        <f>'16-A. PM sub Annex'!G25</f>
        <v>HRH&amp;HPIP/FP</v>
      </c>
      <c r="F457" s="174">
        <f>'16-A. PM sub Annex'!H25</f>
        <v>0</v>
      </c>
      <c r="G457" s="174">
        <f>'16-A. PM sub Annex'!I25</f>
        <v>0</v>
      </c>
      <c r="H457" s="174">
        <f>'16-A. PM sub Annex'!J25</f>
        <v>0</v>
      </c>
      <c r="I457" s="174">
        <f>'16-A. PM sub Annex'!K25</f>
        <v>0</v>
      </c>
      <c r="J457" s="174">
        <f>'16-A. PM sub Annex'!L25</f>
        <v>0</v>
      </c>
      <c r="K457" s="174">
        <f>'16-A. PM sub Annex'!M25</f>
        <v>0</v>
      </c>
      <c r="L457" s="178">
        <f>'16-A. PM sub Annex'!N25</f>
        <v>0</v>
      </c>
      <c r="M457" s="178">
        <f>'16-A. PM sub Annex'!O25</f>
        <v>0</v>
      </c>
      <c r="N457" s="174">
        <f>'16-A. PM sub Annex'!P25</f>
        <v>0</v>
      </c>
      <c r="O457" s="178">
        <f>'16-A. PM sub Annex'!Q25</f>
        <v>0</v>
      </c>
      <c r="P457" s="103">
        <f>'16-A. PM sub Annex'!R25</f>
        <v>0</v>
      </c>
      <c r="Q457" s="3328"/>
      <c r="R457" s="3337"/>
      <c r="S457" s="3314"/>
      <c r="T457" s="2845"/>
    </row>
    <row r="458" spans="1:20" ht="30" x14ac:dyDescent="0.2">
      <c r="A458" s="103" t="str">
        <f>'16-A. PM sub Annex'!B26</f>
        <v>16.1.2.1.5</v>
      </c>
      <c r="B458" s="103" t="str">
        <f>'16-A. PM sub Annex'!D26</f>
        <v>A.3.5.2</v>
      </c>
      <c r="C458" s="870" t="str">
        <f>'16-A. PM sub Annex'!E26</f>
        <v>FP review meetings (As per Hon'ble SC judgement)</v>
      </c>
      <c r="D458" s="174" t="str">
        <f>'16-A. PM sub Annex'!F26</f>
        <v>RCH</v>
      </c>
      <c r="E458" s="174" t="str">
        <f>'16-A. PM sub Annex'!G26</f>
        <v>HRH&amp;HPIP/FP</v>
      </c>
      <c r="F458" s="174">
        <f>'16-A. PM sub Annex'!H26</f>
        <v>0</v>
      </c>
      <c r="G458" s="174">
        <f>'16-A. PM sub Annex'!I26</f>
        <v>0</v>
      </c>
      <c r="H458" s="174">
        <f>'16-A. PM sub Annex'!J26</f>
        <v>0</v>
      </c>
      <c r="I458" s="174">
        <f>'16-A. PM sub Annex'!K26</f>
        <v>0</v>
      </c>
      <c r="J458" s="174">
        <f>'16-A. PM sub Annex'!L26</f>
        <v>0</v>
      </c>
      <c r="K458" s="174">
        <f>'16-A. PM sub Annex'!M26</f>
        <v>0</v>
      </c>
      <c r="L458" s="178">
        <f>'16-A. PM sub Annex'!N26</f>
        <v>0</v>
      </c>
      <c r="M458" s="178">
        <f>'16-A. PM sub Annex'!O26</f>
        <v>0</v>
      </c>
      <c r="N458" s="174">
        <f>'16-A. PM sub Annex'!P26</f>
        <v>0</v>
      </c>
      <c r="O458" s="178">
        <f>'16-A. PM sub Annex'!Q26</f>
        <v>0</v>
      </c>
      <c r="P458" s="103">
        <f>'16-A. PM sub Annex'!R26</f>
        <v>0</v>
      </c>
      <c r="Q458" s="2044"/>
      <c r="R458" s="3326"/>
      <c r="S458" s="3314"/>
      <c r="T458" s="3313"/>
    </row>
    <row r="459" spans="1:20" x14ac:dyDescent="0.2">
      <c r="A459" s="103" t="str">
        <f>'16-A. PM sub Annex'!B27</f>
        <v>16.1.2.1.6</v>
      </c>
      <c r="B459" s="103" t="str">
        <f>'16-A. PM sub Annex'!D27</f>
        <v>A.4.1.1</v>
      </c>
      <c r="C459" s="870" t="str">
        <f>'16-A. PM sub Annex'!E27</f>
        <v xml:space="preserve">Review meetings/ workshops under RKSK </v>
      </c>
      <c r="D459" s="174" t="str">
        <f>'16-A. PM sub Annex'!F27</f>
        <v>RCH</v>
      </c>
      <c r="E459" s="174" t="str">
        <f>'16-A. PM sub Annex'!G27</f>
        <v>HRH&amp;HPIP/AH</v>
      </c>
      <c r="F459" s="174">
        <f>'16-A. PM sub Annex'!H27</f>
        <v>0</v>
      </c>
      <c r="G459" s="174">
        <f>'16-A. PM sub Annex'!I27</f>
        <v>0</v>
      </c>
      <c r="H459" s="174">
        <f>'16-A. PM sub Annex'!J27</f>
        <v>0</v>
      </c>
      <c r="I459" s="174">
        <f>'16-A. PM sub Annex'!K27</f>
        <v>0</v>
      </c>
      <c r="J459" s="174">
        <f>'16-A. PM sub Annex'!L27</f>
        <v>0</v>
      </c>
      <c r="K459" s="174">
        <f>'16-A. PM sub Annex'!M27</f>
        <v>0</v>
      </c>
      <c r="L459" s="178">
        <f>'16-A. PM sub Annex'!N27</f>
        <v>0</v>
      </c>
      <c r="M459" s="178">
        <f>'16-A. PM sub Annex'!O27</f>
        <v>0</v>
      </c>
      <c r="N459" s="174">
        <f>'16-A. PM sub Annex'!P27</f>
        <v>0</v>
      </c>
      <c r="O459" s="178">
        <f>'16-A. PM sub Annex'!Q27</f>
        <v>0</v>
      </c>
      <c r="P459" s="103">
        <f>'16-A. PM sub Annex'!R27</f>
        <v>0</v>
      </c>
      <c r="Q459" s="2044"/>
      <c r="R459" s="3338">
        <v>0</v>
      </c>
      <c r="S459" s="3314"/>
    </row>
    <row r="460" spans="1:20" ht="216.75" customHeight="1" x14ac:dyDescent="0.2">
      <c r="A460" s="103" t="str">
        <f>'16-A. PM sub Annex'!B28</f>
        <v>16.1.2.1.7</v>
      </c>
      <c r="B460" s="103" t="str">
        <f>'16-A. PM sub Annex'!D28</f>
        <v>A.5.1.2</v>
      </c>
      <c r="C460" s="870" t="str">
        <f>'16-A. PM sub Annex'!E28</f>
        <v xml:space="preserve">RBSK Convergence/Monitoring meetings   </v>
      </c>
      <c r="D460" s="174" t="str">
        <f>'16-A. PM sub Annex'!F28</f>
        <v>RCH</v>
      </c>
      <c r="E460" s="174" t="str">
        <f>'16-A. PM sub Annex'!G28</f>
        <v>HRH&amp;HPIP/RBSK</v>
      </c>
      <c r="F460" s="174">
        <f>'16-A. PM sub Annex'!H28</f>
        <v>0</v>
      </c>
      <c r="G460" s="174">
        <f>'16-A. PM sub Annex'!I28</f>
        <v>0</v>
      </c>
      <c r="H460" s="174">
        <f>'16-A. PM sub Annex'!J28</f>
        <v>0</v>
      </c>
      <c r="I460" s="174">
        <f>'16-A. PM sub Annex'!K28</f>
        <v>0</v>
      </c>
      <c r="J460" s="174">
        <f>'16-A. PM sub Annex'!L28</f>
        <v>0</v>
      </c>
      <c r="K460" s="174">
        <f>'16-A. PM sub Annex'!M28</f>
        <v>0</v>
      </c>
      <c r="L460" s="178">
        <f>'16-A. PM sub Annex'!N28</f>
        <v>0</v>
      </c>
      <c r="M460" s="178">
        <f>'16-A. PM sub Annex'!O28</f>
        <v>0</v>
      </c>
      <c r="N460" s="174">
        <f>'16-A. PM sub Annex'!P28</f>
        <v>0</v>
      </c>
      <c r="O460" s="178">
        <f>'16-A. PM sub Annex'!Q28</f>
        <v>0</v>
      </c>
      <c r="P460" s="103">
        <f>'16-A. PM sub Annex'!R28</f>
        <v>0</v>
      </c>
      <c r="Q460" s="2044"/>
      <c r="R460" s="3338"/>
      <c r="S460" s="3314"/>
    </row>
    <row r="461" spans="1:20" ht="30" x14ac:dyDescent="0.2">
      <c r="A461" s="103" t="str">
        <f>'16-A. PM sub Annex'!B34</f>
        <v>16.1.2.1.13</v>
      </c>
      <c r="B461" s="103" t="str">
        <f>'16-A. PM sub Annex'!D34</f>
        <v>C.1.c</v>
      </c>
      <c r="C461" s="870" t="str">
        <f>'16-A. PM sub Annex'!E34</f>
        <v>Support for Quarterly State level review meetings of district officer</v>
      </c>
      <c r="D461" s="174" t="str">
        <f>'16-A. PM sub Annex'!F34</f>
        <v>RCH</v>
      </c>
      <c r="E461" s="174" t="str">
        <f>'16-A. PM sub Annex'!G34</f>
        <v>HRH&amp;HPIP/RI</v>
      </c>
      <c r="F461" s="174">
        <f>'16-A. PM sub Annex'!H34</f>
        <v>0</v>
      </c>
      <c r="G461" s="174">
        <f>'16-A. PM sub Annex'!I34</f>
        <v>0</v>
      </c>
      <c r="H461" s="174">
        <f>'16-A. PM sub Annex'!J34</f>
        <v>0</v>
      </c>
      <c r="I461" s="174">
        <f>'16-A. PM sub Annex'!K34</f>
        <v>0</v>
      </c>
      <c r="J461" s="174">
        <f>'16-A. PM sub Annex'!L34</f>
        <v>0</v>
      </c>
      <c r="K461" s="174">
        <f>'16-A. PM sub Annex'!M34</f>
        <v>0</v>
      </c>
      <c r="L461" s="178">
        <f>'16-A. PM sub Annex'!N34</f>
        <v>0</v>
      </c>
      <c r="M461" s="178">
        <f>'16-A. PM sub Annex'!O34</f>
        <v>0</v>
      </c>
      <c r="N461" s="174">
        <f>'16-A. PM sub Annex'!P34</f>
        <v>0</v>
      </c>
      <c r="O461" s="178">
        <f>'16-A. PM sub Annex'!Q34</f>
        <v>0</v>
      </c>
      <c r="P461" s="103">
        <f>'16-A. PM sub Annex'!R34</f>
        <v>0</v>
      </c>
      <c r="Q461" s="124"/>
      <c r="R461" s="1906"/>
      <c r="S461" s="3314"/>
      <c r="T461" s="3313"/>
    </row>
    <row r="462" spans="1:20" ht="45" x14ac:dyDescent="0.2">
      <c r="A462" s="103" t="str">
        <f>'16-A. PM sub Annex'!B35</f>
        <v>16.1.2.1.14</v>
      </c>
      <c r="B462" s="103" t="str">
        <f>'16-A. PM sub Annex'!D35</f>
        <v>C.1.d</v>
      </c>
      <c r="C462" s="870" t="str">
        <f>'16-A. PM sub Annex'!E35</f>
        <v>Quarterly review meetings exclusive for RI at district level with Block MOs, CDPO, and other stake holders</v>
      </c>
      <c r="D462" s="174" t="str">
        <f>'16-A. PM sub Annex'!F35</f>
        <v>RCH</v>
      </c>
      <c r="E462" s="174" t="str">
        <f>'16-A. PM sub Annex'!G35</f>
        <v>HRH&amp;HPIP/RI</v>
      </c>
      <c r="F462" s="174">
        <f>'16-A. PM sub Annex'!H35</f>
        <v>0</v>
      </c>
      <c r="G462" s="174">
        <f>'16-A. PM sub Annex'!I35</f>
        <v>0</v>
      </c>
      <c r="H462" s="174">
        <f>'16-A. PM sub Annex'!J35</f>
        <v>0</v>
      </c>
      <c r="I462" s="174">
        <f>'16-A. PM sub Annex'!K35</f>
        <v>0</v>
      </c>
      <c r="J462" s="174">
        <f>'16-A. PM sub Annex'!L35</f>
        <v>0</v>
      </c>
      <c r="K462" s="174">
        <f>'16-A. PM sub Annex'!M35</f>
        <v>0</v>
      </c>
      <c r="L462" s="178">
        <f>'16-A. PM sub Annex'!N35</f>
        <v>0</v>
      </c>
      <c r="M462" s="178">
        <f>'16-A. PM sub Annex'!O35</f>
        <v>0</v>
      </c>
      <c r="N462" s="174">
        <f>'16-A. PM sub Annex'!P35</f>
        <v>0</v>
      </c>
      <c r="O462" s="178">
        <f>'16-A. PM sub Annex'!Q35</f>
        <v>0</v>
      </c>
      <c r="P462" s="103">
        <f>'16-A. PM sub Annex'!R35</f>
        <v>0</v>
      </c>
      <c r="Q462" s="124"/>
      <c r="R462" s="1906"/>
      <c r="S462" s="3314"/>
      <c r="T462" s="3313"/>
    </row>
    <row r="463" spans="1:20" ht="30" x14ac:dyDescent="0.2">
      <c r="A463" s="103" t="str">
        <f>'16-A. PM sub Annex'!B36</f>
        <v>16.1.2.1.15</v>
      </c>
      <c r="B463" s="103" t="str">
        <f>'16-A. PM sub Annex'!D36</f>
        <v>C.1.e</v>
      </c>
      <c r="C463" s="870" t="str">
        <f>'16-A. PM sub Annex'!E36</f>
        <v>Quarterly review meetings exclusive for RI at block level</v>
      </c>
      <c r="D463" s="174" t="str">
        <f>'16-A. PM sub Annex'!F36</f>
        <v>RCH</v>
      </c>
      <c r="E463" s="174" t="str">
        <f>'16-A. PM sub Annex'!G36</f>
        <v>HRH&amp;HPIP/RI</v>
      </c>
      <c r="F463" s="174">
        <f>'16-A. PM sub Annex'!H36</f>
        <v>0</v>
      </c>
      <c r="G463" s="174">
        <f>'16-A. PM sub Annex'!I36</f>
        <v>0</v>
      </c>
      <c r="H463" s="174">
        <f>'16-A. PM sub Annex'!J36</f>
        <v>0</v>
      </c>
      <c r="I463" s="174">
        <f>'16-A. PM sub Annex'!K36</f>
        <v>0</v>
      </c>
      <c r="J463" s="174">
        <f>'16-A. PM sub Annex'!L36</f>
        <v>0</v>
      </c>
      <c r="K463" s="174">
        <f>'16-A. PM sub Annex'!M36</f>
        <v>0</v>
      </c>
      <c r="L463" s="178">
        <f>'16-A. PM sub Annex'!N36</f>
        <v>0</v>
      </c>
      <c r="M463" s="178">
        <f>'16-A. PM sub Annex'!O36</f>
        <v>0</v>
      </c>
      <c r="N463" s="174">
        <f>'16-A. PM sub Annex'!P36</f>
        <v>0</v>
      </c>
      <c r="O463" s="178">
        <f>'16-A. PM sub Annex'!Q36</f>
        <v>0</v>
      </c>
      <c r="P463" s="103">
        <f>'16-A. PM sub Annex'!R36</f>
        <v>0</v>
      </c>
      <c r="Q463" s="124"/>
      <c r="R463" s="1906"/>
      <c r="S463" s="3314"/>
      <c r="T463" s="3313"/>
    </row>
    <row r="464" spans="1:20" ht="30" x14ac:dyDescent="0.2">
      <c r="A464" s="103" t="str">
        <f>'16-A. PM sub Annex'!B51</f>
        <v>16.1.2.2.1</v>
      </c>
      <c r="B464" s="103" t="str">
        <f>'16-A. PM sub Annex'!D51</f>
        <v>A.2.4.2</v>
      </c>
      <c r="C464" s="870" t="str">
        <f>'16-A. PM sub Annex'!E51</f>
        <v>Monitoring and Award/ Recognition  for MAA programme</v>
      </c>
      <c r="D464" s="174" t="str">
        <f>'16-A. PM sub Annex'!F51</f>
        <v>RCH</v>
      </c>
      <c r="E464" s="174" t="str">
        <f>'16-A. PM sub Annex'!G51</f>
        <v>HRH&amp;HPIP/CH</v>
      </c>
      <c r="F464" s="174">
        <f>'16-A. PM sub Annex'!H51</f>
        <v>0</v>
      </c>
      <c r="G464" s="174">
        <f>'16-A. PM sub Annex'!I51</f>
        <v>0</v>
      </c>
      <c r="H464" s="174">
        <f>'16-A. PM sub Annex'!J51</f>
        <v>0</v>
      </c>
      <c r="I464" s="174">
        <f>'16-A. PM sub Annex'!K51</f>
        <v>0</v>
      </c>
      <c r="J464" s="174">
        <f>'16-A. PM sub Annex'!L51</f>
        <v>0</v>
      </c>
      <c r="K464" s="174">
        <f>'16-A. PM sub Annex'!M51</f>
        <v>0</v>
      </c>
      <c r="L464" s="178">
        <f>'16-A. PM sub Annex'!N51</f>
        <v>0</v>
      </c>
      <c r="M464" s="178">
        <f>'16-A. PM sub Annex'!O51</f>
        <v>0</v>
      </c>
      <c r="N464" s="174">
        <f>'16-A. PM sub Annex'!P51</f>
        <v>0</v>
      </c>
      <c r="O464" s="178">
        <f>'16-A. PM sub Annex'!Q51</f>
        <v>0</v>
      </c>
      <c r="P464" s="103">
        <f>'16-A. PM sub Annex'!R51</f>
        <v>0</v>
      </c>
      <c r="Q464" s="67"/>
      <c r="R464" s="1880"/>
      <c r="S464" s="3314"/>
    </row>
    <row r="465" spans="1:20" ht="30" x14ac:dyDescent="0.2">
      <c r="A465" s="103" t="str">
        <f>'16-A. PM sub Annex'!B71</f>
        <v>16.1.3.1.2</v>
      </c>
      <c r="B465" s="103" t="str">
        <f>'16-A. PM sub Annex'!D71</f>
        <v>A.4.1.4</v>
      </c>
      <c r="C465" s="870" t="str">
        <f>'16-A. PM sub Annex'!E71</f>
        <v>Mobility and communication support for RKSK district coordinator/ consultant</v>
      </c>
      <c r="D465" s="174" t="str">
        <f>'16-A. PM sub Annex'!F71</f>
        <v>RCH</v>
      </c>
      <c r="E465" s="174" t="str">
        <f>'16-A. PM sub Annex'!G71</f>
        <v>HRH&amp;HPIP/AH</v>
      </c>
      <c r="F465" s="174">
        <f>'16-A. PM sub Annex'!H71</f>
        <v>0</v>
      </c>
      <c r="G465" s="174">
        <f>'16-A. PM sub Annex'!I71</f>
        <v>0</v>
      </c>
      <c r="H465" s="174">
        <f>'16-A. PM sub Annex'!J71</f>
        <v>0</v>
      </c>
      <c r="I465" s="174">
        <f>'16-A. PM sub Annex'!K71</f>
        <v>0</v>
      </c>
      <c r="J465" s="174">
        <f>'16-A. PM sub Annex'!L71</f>
        <v>0</v>
      </c>
      <c r="K465" s="174">
        <f>'16-A. PM sub Annex'!M71</f>
        <v>0</v>
      </c>
      <c r="L465" s="178">
        <f>'16-A. PM sub Annex'!N71</f>
        <v>0</v>
      </c>
      <c r="M465" s="178">
        <f>'16-A. PM sub Annex'!O71</f>
        <v>0</v>
      </c>
      <c r="N465" s="174">
        <f>'16-A. PM sub Annex'!P71</f>
        <v>0</v>
      </c>
      <c r="O465" s="178">
        <f>'16-A. PM sub Annex'!Q71</f>
        <v>0</v>
      </c>
      <c r="P465" s="103">
        <f>'16-A. PM sub Annex'!R71</f>
        <v>0</v>
      </c>
      <c r="Q465" s="124"/>
      <c r="R465" s="1906"/>
      <c r="S465" s="3314"/>
      <c r="T465" s="3313"/>
    </row>
    <row r="466" spans="1:20" ht="30" x14ac:dyDescent="0.2">
      <c r="A466" s="103" t="str">
        <f>'16-A. PM sub Annex'!B74</f>
        <v>16.1.3.1.5</v>
      </c>
      <c r="B466" s="103" t="str">
        <f>'16-A. PM sub Annex'!D74</f>
        <v>C.1.b</v>
      </c>
      <c r="C466" s="870" t="str">
        <f>'16-A. PM sub Annex'!E74</f>
        <v>Mobility support for supervision at State level (including SAANS supportive supervision)</v>
      </c>
      <c r="D466" s="174" t="str">
        <f>'16-A. PM sub Annex'!F74</f>
        <v>RCH</v>
      </c>
      <c r="E466" s="174" t="str">
        <f>'16-A. PM sub Annex'!G74</f>
        <v>HRH&amp;HPIP/RI/CH</v>
      </c>
      <c r="F466" s="174">
        <f>'16-A. PM sub Annex'!H74</f>
        <v>0</v>
      </c>
      <c r="G466" s="174">
        <f>'16-A. PM sub Annex'!I74</f>
        <v>0</v>
      </c>
      <c r="H466" s="174">
        <f>'16-A. PM sub Annex'!J74</f>
        <v>0</v>
      </c>
      <c r="I466" s="174">
        <f>'16-A. PM sub Annex'!K74</f>
        <v>0</v>
      </c>
      <c r="J466" s="174">
        <f>'16-A. PM sub Annex'!L74</f>
        <v>0</v>
      </c>
      <c r="K466" s="174">
        <f>'16-A. PM sub Annex'!M74</f>
        <v>0</v>
      </c>
      <c r="L466" s="178">
        <f>'16-A. PM sub Annex'!N74</f>
        <v>0</v>
      </c>
      <c r="M466" s="178">
        <f>'16-A. PM sub Annex'!O74</f>
        <v>0</v>
      </c>
      <c r="N466" s="174">
        <f>'16-A. PM sub Annex'!P74</f>
        <v>0</v>
      </c>
      <c r="O466" s="178">
        <f>'16-A. PM sub Annex'!Q74</f>
        <v>0</v>
      </c>
      <c r="P466" s="103">
        <f>'16-A. PM sub Annex'!R74</f>
        <v>0</v>
      </c>
      <c r="Q466" s="124"/>
      <c r="R466" s="1906"/>
      <c r="S466" s="3314"/>
      <c r="T466" s="3313"/>
    </row>
    <row r="467" spans="1:20" x14ac:dyDescent="0.2">
      <c r="A467" s="103" t="str">
        <f>'16-A. PM sub Annex'!B75</f>
        <v>16.1.3.1.6</v>
      </c>
      <c r="B467" s="103" t="str">
        <f>'16-A. PM sub Annex'!D75</f>
        <v>C.2.3</v>
      </c>
      <c r="C467" s="870" t="str">
        <f>'16-A. PM sub Annex'!E75</f>
        <v>Mobility support for staff for E-Vin (VCCM)</v>
      </c>
      <c r="D467" s="174" t="str">
        <f>'16-A. PM sub Annex'!F75</f>
        <v>RCH</v>
      </c>
      <c r="E467" s="174" t="str">
        <f>'16-A. PM sub Annex'!G75</f>
        <v>HRH&amp;HPIP/RI</v>
      </c>
      <c r="F467" s="174">
        <f>'16-A. PM sub Annex'!H75</f>
        <v>0</v>
      </c>
      <c r="G467" s="174">
        <f>'16-A. PM sub Annex'!I75</f>
        <v>0</v>
      </c>
      <c r="H467" s="174">
        <f>'16-A. PM sub Annex'!J75</f>
        <v>0</v>
      </c>
      <c r="I467" s="174">
        <f>'16-A. PM sub Annex'!K75</f>
        <v>0</v>
      </c>
      <c r="J467" s="174">
        <f>'16-A. PM sub Annex'!L75</f>
        <v>0</v>
      </c>
      <c r="K467" s="174">
        <f>'16-A. PM sub Annex'!M75</f>
        <v>0</v>
      </c>
      <c r="L467" s="178">
        <f>'16-A. PM sub Annex'!N75</f>
        <v>0</v>
      </c>
      <c r="M467" s="178">
        <f>'16-A. PM sub Annex'!O75</f>
        <v>0</v>
      </c>
      <c r="N467" s="174">
        <f>'16-A. PM sub Annex'!P75</f>
        <v>0</v>
      </c>
      <c r="O467" s="178">
        <f>'16-A. PM sub Annex'!Q75</f>
        <v>0</v>
      </c>
      <c r="P467" s="103">
        <f>'16-A. PM sub Annex'!R75</f>
        <v>0</v>
      </c>
      <c r="Q467" s="124"/>
      <c r="R467" s="1906"/>
      <c r="S467" s="3314"/>
      <c r="T467" s="3313"/>
    </row>
    <row r="468" spans="1:20" ht="45" x14ac:dyDescent="0.2">
      <c r="A468" s="103" t="str">
        <f>'16-A. PM sub Annex'!B95</f>
        <v>16.1.3.3.1</v>
      </c>
      <c r="B468" s="103" t="str">
        <f>'16-A. PM sub Annex'!D95</f>
        <v>A.3.5.4</v>
      </c>
      <c r="C468" s="870" t="str">
        <f>'16-A. PM sub Annex'!E95</f>
        <v>PM activities for World Population Day’ celebration (Only mobility cost): funds earmarked for district level activities</v>
      </c>
      <c r="D468" s="174" t="str">
        <f>'16-A. PM sub Annex'!F95</f>
        <v>RCH</v>
      </c>
      <c r="E468" s="174" t="str">
        <f>'16-A. PM sub Annex'!G95</f>
        <v>HRH&amp;HPIP/FP</v>
      </c>
      <c r="F468" s="174">
        <f>'16-A. PM sub Annex'!H95</f>
        <v>0</v>
      </c>
      <c r="G468" s="174">
        <f>'16-A. PM sub Annex'!I95</f>
        <v>0</v>
      </c>
      <c r="H468" s="174">
        <f>'16-A. PM sub Annex'!J95</f>
        <v>0</v>
      </c>
      <c r="I468" s="174">
        <f>'16-A. PM sub Annex'!K95</f>
        <v>0</v>
      </c>
      <c r="J468" s="174">
        <f>'16-A. PM sub Annex'!L95</f>
        <v>0</v>
      </c>
      <c r="K468" s="174">
        <f>'16-A. PM sub Annex'!M95</f>
        <v>0</v>
      </c>
      <c r="L468" s="178">
        <f>'16-A. PM sub Annex'!N95</f>
        <v>0</v>
      </c>
      <c r="M468" s="178">
        <f>'16-A. PM sub Annex'!O95</f>
        <v>0</v>
      </c>
      <c r="N468" s="174">
        <f>'16-A. PM sub Annex'!P95</f>
        <v>0</v>
      </c>
      <c r="O468" s="178">
        <f>'16-A. PM sub Annex'!Q95</f>
        <v>0</v>
      </c>
      <c r="P468" s="103">
        <f>'16-A. PM sub Annex'!R95</f>
        <v>0</v>
      </c>
      <c r="Q468" s="3293"/>
      <c r="R468" s="1906"/>
      <c r="S468" s="3314"/>
      <c r="T468" s="3313"/>
    </row>
    <row r="469" spans="1:20" ht="45" x14ac:dyDescent="0.2">
      <c r="A469" s="103" t="str">
        <f>'16-A. PM sub Annex'!B96</f>
        <v>16.1.3.3.2</v>
      </c>
      <c r="B469" s="103" t="str">
        <f>'16-A. PM sub Annex'!D96</f>
        <v>A.3.5.5</v>
      </c>
      <c r="C469" s="870" t="str">
        <f>'16-A. PM sub Annex'!E96</f>
        <v>PM activities for Vasectomy Fortnight celebration  (Only mobility cost): funds earmarked for district level activities</v>
      </c>
      <c r="D469" s="174" t="str">
        <f>'16-A. PM sub Annex'!F96</f>
        <v>RCH</v>
      </c>
      <c r="E469" s="174" t="str">
        <f>'16-A. PM sub Annex'!G96</f>
        <v>HRH&amp;HPIP/FP</v>
      </c>
      <c r="F469" s="174">
        <f>'16-A. PM sub Annex'!H96</f>
        <v>0</v>
      </c>
      <c r="G469" s="174">
        <f>'16-A. PM sub Annex'!I96</f>
        <v>0</v>
      </c>
      <c r="H469" s="174">
        <f>'16-A. PM sub Annex'!J96</f>
        <v>0</v>
      </c>
      <c r="I469" s="174">
        <f>'16-A. PM sub Annex'!K96</f>
        <v>0</v>
      </c>
      <c r="J469" s="174">
        <f>'16-A. PM sub Annex'!L96</f>
        <v>0</v>
      </c>
      <c r="K469" s="174">
        <f>'16-A. PM sub Annex'!M96</f>
        <v>0</v>
      </c>
      <c r="L469" s="178">
        <f>'16-A. PM sub Annex'!N96</f>
        <v>0</v>
      </c>
      <c r="M469" s="178">
        <f>'16-A. PM sub Annex'!O96</f>
        <v>0</v>
      </c>
      <c r="N469" s="174">
        <f>'16-A. PM sub Annex'!P96</f>
        <v>0</v>
      </c>
      <c r="O469" s="178">
        <f>'16-A. PM sub Annex'!Q96</f>
        <v>0</v>
      </c>
      <c r="P469" s="103">
        <f>'16-A. PM sub Annex'!R96</f>
        <v>0</v>
      </c>
      <c r="Q469" s="3293"/>
      <c r="R469" s="1906"/>
      <c r="S469" s="3314"/>
      <c r="T469" s="3313"/>
    </row>
    <row r="470" spans="1:20" ht="30" x14ac:dyDescent="0.2">
      <c r="A470" s="103" t="str">
        <f>'16-A. PM sub Annex'!B101</f>
        <v>16.1.3.3.7</v>
      </c>
      <c r="B470" s="103" t="str">
        <f>'16-A. PM sub Annex'!D101</f>
        <v>C.1.a</v>
      </c>
      <c r="C470" s="870" t="str">
        <f>'16-A. PM sub Annex'!E101</f>
        <v>Mobility Support for supervision for district level officers.</v>
      </c>
      <c r="D470" s="174" t="str">
        <f>'16-A. PM sub Annex'!F101</f>
        <v>RCH</v>
      </c>
      <c r="E470" s="174" t="str">
        <f>'16-A. PM sub Annex'!G101</f>
        <v>HRH&amp;HPIP/RI</v>
      </c>
      <c r="F470" s="174">
        <f>'16-A. PM sub Annex'!H101</f>
        <v>0</v>
      </c>
      <c r="G470" s="174">
        <f>'16-A. PM sub Annex'!I101</f>
        <v>0</v>
      </c>
      <c r="H470" s="174">
        <f>'16-A. PM sub Annex'!J101</f>
        <v>0</v>
      </c>
      <c r="I470" s="174">
        <f>'16-A. PM sub Annex'!K101</f>
        <v>0</v>
      </c>
      <c r="J470" s="174">
        <f>'16-A. PM sub Annex'!L101</f>
        <v>0</v>
      </c>
      <c r="K470" s="174">
        <f>'16-A. PM sub Annex'!M101</f>
        <v>0</v>
      </c>
      <c r="L470" s="178">
        <f>'16-A. PM sub Annex'!N101</f>
        <v>0</v>
      </c>
      <c r="M470" s="178">
        <f>'16-A. PM sub Annex'!O101</f>
        <v>0</v>
      </c>
      <c r="N470" s="174">
        <f>'16-A. PM sub Annex'!P101</f>
        <v>0</v>
      </c>
      <c r="O470" s="178">
        <f>'16-A. PM sub Annex'!Q101</f>
        <v>0</v>
      </c>
      <c r="P470" s="103">
        <f>'16-A. PM sub Annex'!R101</f>
        <v>0</v>
      </c>
      <c r="Q470" s="2044"/>
      <c r="R470" s="3326"/>
      <c r="S470" s="3314"/>
      <c r="T470" s="3313"/>
    </row>
    <row r="471" spans="1:20" ht="51.75" customHeight="1" x14ac:dyDescent="0.2">
      <c r="A471" s="103" t="str">
        <f>'16-A. PM sub Annex'!B112</f>
        <v>16.1.3.4.1</v>
      </c>
      <c r="B471" s="103" t="str">
        <f>'16-A. PM sub Annex'!D112</f>
        <v>A.3.5.4</v>
      </c>
      <c r="C471" s="870" t="str">
        <f>'16-A. PM sub Annex'!E112</f>
        <v>PM activities for World Population Day’ celebration (Only mobility cost): funds earmarked for block level activities</v>
      </c>
      <c r="D471" s="174" t="str">
        <f>'16-A. PM sub Annex'!F112</f>
        <v>RCH</v>
      </c>
      <c r="E471" s="174" t="str">
        <f>'16-A. PM sub Annex'!G112</f>
        <v>HRH&amp;HPIP/FP</v>
      </c>
      <c r="F471" s="174">
        <f>'16-A. PM sub Annex'!H112</f>
        <v>0</v>
      </c>
      <c r="G471" s="174">
        <f>'16-A. PM sub Annex'!I112</f>
        <v>0</v>
      </c>
      <c r="H471" s="174">
        <f>'16-A. PM sub Annex'!J112</f>
        <v>0</v>
      </c>
      <c r="I471" s="174">
        <f>'16-A. PM sub Annex'!K112</f>
        <v>0</v>
      </c>
      <c r="J471" s="174">
        <f>'16-A. PM sub Annex'!L112</f>
        <v>0</v>
      </c>
      <c r="K471" s="174">
        <f>'16-A. PM sub Annex'!M112</f>
        <v>0</v>
      </c>
      <c r="L471" s="178">
        <f>'16-A. PM sub Annex'!N112</f>
        <v>0</v>
      </c>
      <c r="M471" s="178">
        <f>'16-A. PM sub Annex'!O112</f>
        <v>0</v>
      </c>
      <c r="N471" s="174">
        <f>'16-A. PM sub Annex'!P112</f>
        <v>0</v>
      </c>
      <c r="O471" s="178">
        <f>'16-A. PM sub Annex'!Q112</f>
        <v>0</v>
      </c>
      <c r="P471" s="103">
        <f>'16-A. PM sub Annex'!R112</f>
        <v>0</v>
      </c>
      <c r="Q471" s="3293"/>
      <c r="R471" s="1906"/>
      <c r="S471" s="3314"/>
      <c r="T471" s="3313"/>
    </row>
    <row r="472" spans="1:20" ht="45" x14ac:dyDescent="0.2">
      <c r="A472" s="103" t="str">
        <f>'16-A. PM sub Annex'!B113</f>
        <v>16.1.3.4.2</v>
      </c>
      <c r="B472" s="103" t="str">
        <f>'16-A. PM sub Annex'!D113</f>
        <v>A.3.5.5</v>
      </c>
      <c r="C472" s="870" t="str">
        <f>'16-A. PM sub Annex'!E113</f>
        <v>PM activities for Vasectomy Fortnight celebration  (Only mobility cost): funds earmarked for block level activities</v>
      </c>
      <c r="D472" s="174" t="str">
        <f>'16-A. PM sub Annex'!F113</f>
        <v>RCH</v>
      </c>
      <c r="E472" s="174" t="str">
        <f>'16-A. PM sub Annex'!G113</f>
        <v>HRH&amp;HPIP/FP</v>
      </c>
      <c r="F472" s="174">
        <f>'16-A. PM sub Annex'!H113</f>
        <v>0</v>
      </c>
      <c r="G472" s="174">
        <f>'16-A. PM sub Annex'!I113</f>
        <v>0</v>
      </c>
      <c r="H472" s="174">
        <f>'16-A. PM sub Annex'!J113</f>
        <v>0</v>
      </c>
      <c r="I472" s="174">
        <f>'16-A. PM sub Annex'!K113</f>
        <v>0</v>
      </c>
      <c r="J472" s="174">
        <f>'16-A. PM sub Annex'!L113</f>
        <v>0</v>
      </c>
      <c r="K472" s="174">
        <f>'16-A. PM sub Annex'!M113</f>
        <v>0</v>
      </c>
      <c r="L472" s="178">
        <f>'16-A. PM sub Annex'!N113</f>
        <v>0</v>
      </c>
      <c r="M472" s="178">
        <f>'16-A. PM sub Annex'!O113</f>
        <v>0</v>
      </c>
      <c r="N472" s="174">
        <f>'16-A. PM sub Annex'!P113</f>
        <v>0</v>
      </c>
      <c r="O472" s="178">
        <f>'16-A. PM sub Annex'!Q113</f>
        <v>0</v>
      </c>
      <c r="P472" s="103">
        <f>'16-A. PM sub Annex'!R113</f>
        <v>0</v>
      </c>
      <c r="Q472" s="3293"/>
      <c r="R472" s="1906"/>
      <c r="S472" s="3314"/>
      <c r="T472" s="3313"/>
    </row>
    <row r="473" spans="1:20" ht="118.5" customHeight="1" x14ac:dyDescent="0.2">
      <c r="A473" s="103" t="str">
        <f>'16-A. PM sub Annex'!B121</f>
        <v>16.1.4.1.1</v>
      </c>
      <c r="B473" s="103" t="str">
        <f>'16-A. PM sub Annex'!D121</f>
        <v>A.1.3.3</v>
      </c>
      <c r="C473" s="870" t="str">
        <f>'16-A. PM sub Annex'!E121</f>
        <v xml:space="preserve">JSY Administrative Expenses </v>
      </c>
      <c r="D473" s="174" t="str">
        <f>'16-A. PM sub Annex'!F121</f>
        <v>RCH</v>
      </c>
      <c r="E473" s="174" t="str">
        <f>'16-A. PM sub Annex'!G121</f>
        <v>HRH&amp;HPIP/MH</v>
      </c>
      <c r="F473" s="174">
        <f>'16-A. PM sub Annex'!H121</f>
        <v>0</v>
      </c>
      <c r="G473" s="174">
        <f>'16-A. PM sub Annex'!I121</f>
        <v>0</v>
      </c>
      <c r="H473" s="174">
        <f>'16-A. PM sub Annex'!J121</f>
        <v>0</v>
      </c>
      <c r="I473" s="174">
        <f>'16-A. PM sub Annex'!K121</f>
        <v>0</v>
      </c>
      <c r="J473" s="174">
        <f>'16-A. PM sub Annex'!L121</f>
        <v>0</v>
      </c>
      <c r="K473" s="174">
        <f>'16-A. PM sub Annex'!M121</f>
        <v>0</v>
      </c>
      <c r="L473" s="178">
        <f>'16-A. PM sub Annex'!N121</f>
        <v>0</v>
      </c>
      <c r="M473" s="174">
        <f>'16-A. PM sub Annex'!O121</f>
        <v>0</v>
      </c>
      <c r="N473" s="174">
        <f>'16-A. PM sub Annex'!P121</f>
        <v>0</v>
      </c>
      <c r="O473" s="178">
        <f>'16-A. PM sub Annex'!Q121</f>
        <v>0</v>
      </c>
      <c r="P473" s="103">
        <f>'16-A. PM sub Annex'!R121</f>
        <v>0</v>
      </c>
      <c r="Q473" s="3302"/>
      <c r="R473" s="3504"/>
      <c r="S473" s="3314"/>
    </row>
    <row r="474" spans="1:20" x14ac:dyDescent="0.2">
      <c r="A474" s="103" t="str">
        <f>'16-A. PM sub Annex'!B147</f>
        <v>16.1.4.3.1</v>
      </c>
      <c r="B474" s="103" t="str">
        <f>'16-A. PM sub Annex'!D147</f>
        <v>A.2.2.1.1</v>
      </c>
      <c r="C474" s="870" t="str">
        <f>'16-A. PM sub Annex'!E147</f>
        <v>SNCU Data management (excluding HR)</v>
      </c>
      <c r="D474" s="174" t="str">
        <f>'16-A. PM sub Annex'!F147</f>
        <v>RCH</v>
      </c>
      <c r="E474" s="174" t="str">
        <f>'16-A. PM sub Annex'!G147</f>
        <v>HRH&amp;HPIP/CH</v>
      </c>
      <c r="F474" s="174">
        <f>'16-A. PM sub Annex'!H147</f>
        <v>0</v>
      </c>
      <c r="G474" s="174">
        <f>'16-A. PM sub Annex'!I147</f>
        <v>0</v>
      </c>
      <c r="H474" s="174">
        <f>'16-A. PM sub Annex'!J147</f>
        <v>0</v>
      </c>
      <c r="I474" s="174">
        <f>'16-A. PM sub Annex'!K147</f>
        <v>0</v>
      </c>
      <c r="J474" s="174">
        <f>'16-A. PM sub Annex'!L147</f>
        <v>0</v>
      </c>
      <c r="K474" s="174">
        <f>'16-A. PM sub Annex'!M147</f>
        <v>0</v>
      </c>
      <c r="L474" s="178">
        <f>'16-A. PM sub Annex'!N147</f>
        <v>0</v>
      </c>
      <c r="M474" s="174">
        <f>'16-A. PM sub Annex'!O147</f>
        <v>0</v>
      </c>
      <c r="N474" s="174">
        <f>'16-A. PM sub Annex'!P147</f>
        <v>0</v>
      </c>
      <c r="O474" s="178">
        <f>'16-A. PM sub Annex'!Q147</f>
        <v>0</v>
      </c>
      <c r="P474" s="103">
        <f>'16-A. PM sub Annex'!R147</f>
        <v>0</v>
      </c>
      <c r="Q474" s="2044"/>
      <c r="R474" s="3326"/>
      <c r="S474" s="3314"/>
      <c r="T474" s="3313"/>
    </row>
    <row r="475" spans="1:20" ht="30" x14ac:dyDescent="0.2">
      <c r="A475" s="103" t="str">
        <f>'16-A. PM sub Annex'!B164</f>
        <v>16.1.5.3.1</v>
      </c>
      <c r="B475" s="103" t="str">
        <f>'16-A. PM sub Annex'!D164</f>
        <v>A.2.7</v>
      </c>
      <c r="C475" s="870" t="str">
        <f>'16-A. PM sub Annex'!E164</f>
        <v>PM activities under Micronutrient Supplementation Programme</v>
      </c>
      <c r="D475" s="174" t="str">
        <f>'16-A. PM sub Annex'!F164</f>
        <v>RCH</v>
      </c>
      <c r="E475" s="174" t="str">
        <f>'16-A. PM sub Annex'!G164</f>
        <v>HRH&amp;HPIP/CH</v>
      </c>
      <c r="F475" s="174">
        <f>'16-A. PM sub Annex'!H164</f>
        <v>0</v>
      </c>
      <c r="G475" s="174">
        <f>'16-A. PM sub Annex'!I164</f>
        <v>0</v>
      </c>
      <c r="H475" s="174">
        <f>'16-A. PM sub Annex'!J164</f>
        <v>0</v>
      </c>
      <c r="I475" s="174">
        <f>'16-A. PM sub Annex'!K164</f>
        <v>0</v>
      </c>
      <c r="J475" s="174">
        <f>'16-A. PM sub Annex'!L164</f>
        <v>0</v>
      </c>
      <c r="K475" s="174">
        <f>'16-A. PM sub Annex'!M164</f>
        <v>0</v>
      </c>
      <c r="L475" s="178">
        <f>'16-A. PM sub Annex'!N164</f>
        <v>0</v>
      </c>
      <c r="M475" s="174">
        <f>'16-A. PM sub Annex'!O164</f>
        <v>0</v>
      </c>
      <c r="N475" s="174">
        <f>'16-A. PM sub Annex'!P164</f>
        <v>0</v>
      </c>
      <c r="O475" s="178">
        <f>'16-A. PM sub Annex'!Q164</f>
        <v>0</v>
      </c>
      <c r="P475" s="103">
        <f>'16-A. PM sub Annex'!R164</f>
        <v>0</v>
      </c>
      <c r="Q475" s="67"/>
      <c r="R475" s="1880">
        <v>0</v>
      </c>
      <c r="S475" s="3314"/>
    </row>
    <row r="476" spans="1:20" x14ac:dyDescent="0.2">
      <c r="A476" s="1902">
        <f>'18.Innovation'!A7</f>
        <v>18</v>
      </c>
      <c r="B476" s="1902"/>
      <c r="C476" s="1903" t="str">
        <f>'18.Innovation'!C7</f>
        <v>Innovations (if any)</v>
      </c>
      <c r="D476" s="1904"/>
      <c r="E476" s="1904"/>
      <c r="F476" s="1904"/>
      <c r="G476" s="1904"/>
      <c r="H476" s="1904"/>
      <c r="I476" s="1904"/>
      <c r="J476" s="1904"/>
      <c r="K476" s="1904"/>
      <c r="L476" s="1872"/>
      <c r="M476" s="1872"/>
      <c r="N476" s="1904"/>
      <c r="O476" s="1872">
        <f>SUM(O477:O481)</f>
        <v>0</v>
      </c>
      <c r="P476" s="1902"/>
      <c r="Q476" s="680"/>
      <c r="R476" s="681">
        <f>SUM(R477:R481)</f>
        <v>0</v>
      </c>
      <c r="T476" s="3313"/>
    </row>
    <row r="477" spans="1:20" x14ac:dyDescent="0.2">
      <c r="A477" s="103" t="str">
        <f>'18.Innovation'!A9</f>
        <v>18.1.1</v>
      </c>
      <c r="B477" s="103">
        <f>'18.Innovation'!B9</f>
        <v>0</v>
      </c>
      <c r="C477" s="870">
        <f>'18.Innovation'!C9</f>
        <v>0</v>
      </c>
      <c r="D477" s="174" t="str">
        <f>'18.Innovation'!D9</f>
        <v>RCH</v>
      </c>
      <c r="E477" s="174" t="str">
        <f>'18.Innovation'!E9</f>
        <v>RI</v>
      </c>
      <c r="F477" s="174">
        <f>'18.Innovation'!F9</f>
        <v>0</v>
      </c>
      <c r="G477" s="174">
        <f>'18.Innovation'!G9</f>
        <v>0</v>
      </c>
      <c r="H477" s="174">
        <f>'18.Innovation'!H9</f>
        <v>0</v>
      </c>
      <c r="I477" s="174">
        <f>'18.Innovation'!I9</f>
        <v>0</v>
      </c>
      <c r="J477" s="174">
        <f>'18.Innovation'!J9</f>
        <v>0</v>
      </c>
      <c r="K477" s="174">
        <f>'18.Innovation'!K9</f>
        <v>0</v>
      </c>
      <c r="L477" s="178">
        <f>'18.Innovation'!L9</f>
        <v>0</v>
      </c>
      <c r="M477" s="174">
        <f>'18.Innovation'!M9</f>
        <v>0</v>
      </c>
      <c r="N477" s="174">
        <f>'18.Innovation'!N9</f>
        <v>0</v>
      </c>
      <c r="O477" s="178">
        <f>'18.Innovation'!O9</f>
        <v>0</v>
      </c>
      <c r="P477" s="103">
        <f>'18.Innovation'!P9</f>
        <v>0</v>
      </c>
      <c r="Q477" s="67"/>
      <c r="R477" s="1880">
        <v>0</v>
      </c>
    </row>
    <row r="478" spans="1:20" x14ac:dyDescent="0.2">
      <c r="A478" s="103" t="str">
        <f>'18.Innovation'!A10</f>
        <v>18.1.2</v>
      </c>
      <c r="B478" s="103">
        <f>'18.Innovation'!B10</f>
        <v>0</v>
      </c>
      <c r="C478" s="870">
        <f>'18.Innovation'!C10</f>
        <v>0</v>
      </c>
      <c r="D478" s="174" t="str">
        <f>'18.Innovation'!D10</f>
        <v>RCH</v>
      </c>
      <c r="E478" s="174">
        <f>'18.Innovation'!E10</f>
        <v>0</v>
      </c>
      <c r="F478" s="174">
        <f>'18.Innovation'!F10</f>
        <v>0</v>
      </c>
      <c r="G478" s="174">
        <f>'18.Innovation'!G10</f>
        <v>0</v>
      </c>
      <c r="H478" s="174">
        <f>'18.Innovation'!H10</f>
        <v>0</v>
      </c>
      <c r="I478" s="174">
        <f>'18.Innovation'!I10</f>
        <v>0</v>
      </c>
      <c r="J478" s="174">
        <f>'18.Innovation'!J10</f>
        <v>0</v>
      </c>
      <c r="K478" s="174">
        <f>'18.Innovation'!K10</f>
        <v>0</v>
      </c>
      <c r="L478" s="178">
        <f>'18.Innovation'!L10</f>
        <v>0</v>
      </c>
      <c r="M478" s="174">
        <f>'18.Innovation'!M10</f>
        <v>0</v>
      </c>
      <c r="N478" s="174">
        <f>'18.Innovation'!N10</f>
        <v>0</v>
      </c>
      <c r="O478" s="178">
        <f>'18.Innovation'!O10</f>
        <v>0</v>
      </c>
      <c r="P478" s="103">
        <f>'18.Innovation'!P10</f>
        <v>0</v>
      </c>
      <c r="Q478" s="3357"/>
      <c r="R478" s="3326"/>
      <c r="S478" s="3348"/>
      <c r="T478" s="3313"/>
    </row>
    <row r="479" spans="1:20" x14ac:dyDescent="0.2">
      <c r="A479" s="103" t="str">
        <f>'18.Innovation'!A11</f>
        <v>18.1.3</v>
      </c>
      <c r="B479" s="103">
        <f>'18.Innovation'!B11</f>
        <v>0</v>
      </c>
      <c r="C479" s="870">
        <f>'18.Innovation'!C11</f>
        <v>0</v>
      </c>
      <c r="D479" s="174" t="str">
        <f>'18.Innovation'!D11</f>
        <v>RCH</v>
      </c>
      <c r="E479" s="174">
        <f>'18.Innovation'!E11</f>
        <v>0</v>
      </c>
      <c r="F479" s="174">
        <f>'18.Innovation'!F11</f>
        <v>0</v>
      </c>
      <c r="G479" s="174">
        <f>'18.Innovation'!G11</f>
        <v>0</v>
      </c>
      <c r="H479" s="174">
        <f>'18.Innovation'!H11</f>
        <v>0</v>
      </c>
      <c r="I479" s="174">
        <f>'18.Innovation'!I11</f>
        <v>0</v>
      </c>
      <c r="J479" s="174">
        <f>'18.Innovation'!J11</f>
        <v>0</v>
      </c>
      <c r="K479" s="174">
        <f>'18.Innovation'!K11</f>
        <v>0</v>
      </c>
      <c r="L479" s="178">
        <f>'18.Innovation'!L11</f>
        <v>0</v>
      </c>
      <c r="M479" s="174">
        <f>'18.Innovation'!M11</f>
        <v>0</v>
      </c>
      <c r="N479" s="174">
        <f>'18.Innovation'!N11</f>
        <v>0</v>
      </c>
      <c r="O479" s="178">
        <f>'18.Innovation'!O11</f>
        <v>0</v>
      </c>
      <c r="P479" s="103">
        <f>'18.Innovation'!P11</f>
        <v>0</v>
      </c>
      <c r="Q479" s="67"/>
      <c r="R479" s="1880"/>
    </row>
    <row r="480" spans="1:20" x14ac:dyDescent="0.2">
      <c r="A480" s="103" t="str">
        <f>'18.Innovation'!A12</f>
        <v>18.1.4</v>
      </c>
      <c r="B480" s="103">
        <f>'18.Innovation'!B12</f>
        <v>0</v>
      </c>
      <c r="C480" s="870">
        <f>'18.Innovation'!C12</f>
        <v>0</v>
      </c>
      <c r="D480" s="174" t="str">
        <f>'18.Innovation'!D12</f>
        <v>RCH</v>
      </c>
      <c r="E480" s="174">
        <f>'18.Innovation'!E12</f>
        <v>0</v>
      </c>
      <c r="F480" s="174">
        <f>'18.Innovation'!F12</f>
        <v>0</v>
      </c>
      <c r="G480" s="174">
        <f>'18.Innovation'!G12</f>
        <v>0</v>
      </c>
      <c r="H480" s="174">
        <f>'18.Innovation'!H12</f>
        <v>0</v>
      </c>
      <c r="I480" s="174">
        <f>'18.Innovation'!I12</f>
        <v>0</v>
      </c>
      <c r="J480" s="174">
        <f>'18.Innovation'!J12</f>
        <v>0</v>
      </c>
      <c r="K480" s="174">
        <f>'18.Innovation'!K12</f>
        <v>0</v>
      </c>
      <c r="L480" s="178">
        <f>'18.Innovation'!L12</f>
        <v>0</v>
      </c>
      <c r="M480" s="174">
        <f>'18.Innovation'!M12</f>
        <v>0</v>
      </c>
      <c r="N480" s="174">
        <f>'18.Innovation'!N12</f>
        <v>0</v>
      </c>
      <c r="O480" s="178">
        <f>'18.Innovation'!O12</f>
        <v>0</v>
      </c>
      <c r="P480" s="103">
        <f>'18.Innovation'!P12</f>
        <v>0</v>
      </c>
      <c r="Q480" s="3357"/>
      <c r="R480" s="159"/>
      <c r="T480" s="3313"/>
    </row>
    <row r="481" spans="1:18" x14ac:dyDescent="0.2">
      <c r="A481" s="103" t="str">
        <f>'18.Innovation'!A13</f>
        <v>18.1.5</v>
      </c>
      <c r="B481" s="103">
        <f>'18.Innovation'!B13</f>
        <v>0</v>
      </c>
      <c r="C481" s="870">
        <f>'18.Innovation'!C13</f>
        <v>0</v>
      </c>
      <c r="D481" s="174" t="str">
        <f>'18.Innovation'!D13</f>
        <v>RCH</v>
      </c>
      <c r="E481" s="174">
        <f>'18.Innovation'!E13</f>
        <v>0</v>
      </c>
      <c r="F481" s="174">
        <f>'18.Innovation'!F13</f>
        <v>0</v>
      </c>
      <c r="G481" s="174">
        <f>'18.Innovation'!G13</f>
        <v>0</v>
      </c>
      <c r="H481" s="174">
        <f>'18.Innovation'!H13</f>
        <v>0</v>
      </c>
      <c r="I481" s="174">
        <f>'18.Innovation'!I13</f>
        <v>0</v>
      </c>
      <c r="J481" s="174">
        <f>'18.Innovation'!J13</f>
        <v>0</v>
      </c>
      <c r="K481" s="174">
        <f>'18.Innovation'!K13</f>
        <v>0</v>
      </c>
      <c r="L481" s="178">
        <f>'18.Innovation'!L13</f>
        <v>0</v>
      </c>
      <c r="M481" s="174">
        <f>'18.Innovation'!M13</f>
        <v>0</v>
      </c>
      <c r="N481" s="174">
        <f>'18.Innovation'!N13</f>
        <v>0</v>
      </c>
      <c r="O481" s="178">
        <f>'18.Innovation'!O13</f>
        <v>0</v>
      </c>
      <c r="P481" s="103">
        <f>'18.Innovation'!P13</f>
        <v>0</v>
      </c>
      <c r="Q481" s="67"/>
      <c r="R481" s="1880">
        <v>0</v>
      </c>
    </row>
  </sheetData>
  <sheetProtection formatCells="0" formatColumns="0" formatRows="0" autoFilter="0"/>
  <autoFilter ref="A5:M481"/>
  <mergeCells count="42">
    <mergeCell ref="A97:A100"/>
    <mergeCell ref="A1:C1"/>
    <mergeCell ref="D4:D5"/>
    <mergeCell ref="A4:A5"/>
    <mergeCell ref="B4:B5"/>
    <mergeCell ref="C4:C5"/>
    <mergeCell ref="Q4:R4"/>
    <mergeCell ref="A27:A30"/>
    <mergeCell ref="A114:A120"/>
    <mergeCell ref="A214:A222"/>
    <mergeCell ref="A299:A300"/>
    <mergeCell ref="A42:A53"/>
    <mergeCell ref="A36:A40"/>
    <mergeCell ref="A57:A60"/>
    <mergeCell ref="A63:A89"/>
    <mergeCell ref="E4:E5"/>
    <mergeCell ref="F4:J4"/>
    <mergeCell ref="K4:P4"/>
    <mergeCell ref="A271:A276"/>
    <mergeCell ref="A176:A179"/>
    <mergeCell ref="A93:A95"/>
    <mergeCell ref="A278:A282"/>
    <mergeCell ref="A127:A131"/>
    <mergeCell ref="A133:A143"/>
    <mergeCell ref="A225:A230"/>
    <mergeCell ref="A232:A233"/>
    <mergeCell ref="A147:A172"/>
    <mergeCell ref="A314:A329"/>
    <mergeCell ref="A379:A382"/>
    <mergeCell ref="A365:A369"/>
    <mergeCell ref="A305:A306"/>
    <mergeCell ref="A307:A310"/>
    <mergeCell ref="A331:A333"/>
    <mergeCell ref="A335:A340"/>
    <mergeCell ref="A415:A416"/>
    <mergeCell ref="A441:A442"/>
    <mergeCell ref="A360:A361"/>
    <mergeCell ref="A355:A359"/>
    <mergeCell ref="A410:A411"/>
    <mergeCell ref="A412:A413"/>
    <mergeCell ref="A418:A419"/>
    <mergeCell ref="A421:A422"/>
  </mergeCells>
  <phoneticPr fontId="57" type="noConversion"/>
  <pageMargins left="0.7" right="0.7" top="0.75" bottom="0.75" header="0.3" footer="0.3"/>
  <pageSetup orientation="portrait"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8" tint="0.79998168889431442"/>
  </sheetPr>
  <dimension ref="A1:V24"/>
  <sheetViews>
    <sheetView zoomScale="70" zoomScaleNormal="70" workbookViewId="0">
      <pane xSplit="3" ySplit="5" topLeftCell="L21" activePane="bottomRight" state="frozen"/>
      <selection activeCell="A4" sqref="A4:R5"/>
      <selection pane="topRight" activeCell="A4" sqref="A4:R5"/>
      <selection pane="bottomLeft" activeCell="A4" sqref="A4:R5"/>
      <selection pane="bottomRight" activeCell="R20" sqref="R20"/>
    </sheetView>
  </sheetViews>
  <sheetFormatPr defaultColWidth="11.85546875" defaultRowHeight="15" x14ac:dyDescent="0.25"/>
  <cols>
    <col min="1" max="1" width="11.85546875" style="144"/>
    <col min="2" max="2" width="16.28515625" style="144" hidden="1" customWidth="1"/>
    <col min="3" max="3" width="40.5703125" style="144" customWidth="1"/>
    <col min="4" max="4" width="5.5703125" style="146" hidden="1" customWidth="1"/>
    <col min="5" max="5" width="17.5703125" style="146" hidden="1" customWidth="1"/>
    <col min="6" max="6" width="22.7109375" style="146" hidden="1" customWidth="1"/>
    <col min="7" max="7" width="16.85546875" style="146" hidden="1" customWidth="1"/>
    <col min="8" max="8" width="18.28515625" style="151" hidden="1" customWidth="1"/>
    <col min="9" max="9" width="0" style="146" hidden="1" customWidth="1"/>
    <col min="10" max="10" width="14.42578125" style="151" hidden="1" customWidth="1"/>
    <col min="11" max="11" width="16.5703125" style="126" hidden="1" customWidth="1"/>
    <col min="12" max="12" width="11.42578125" style="126" customWidth="1"/>
    <col min="13" max="13" width="14" style="154" hidden="1" customWidth="1"/>
    <col min="14" max="14" width="11.85546875" style="143"/>
    <col min="15" max="15" width="16" style="143" customWidth="1"/>
    <col min="16" max="16" width="0" style="143" hidden="1" customWidth="1"/>
    <col min="17" max="17" width="28" style="143" customWidth="1"/>
    <col min="18" max="16384" width="11.85546875" style="143"/>
  </cols>
  <sheetData>
    <row r="1" spans="1:22" s="1921" customFormat="1" x14ac:dyDescent="0.25">
      <c r="A1" s="4056" t="s">
        <v>2132</v>
      </c>
      <c r="B1" s="4057"/>
      <c r="C1" s="4058"/>
      <c r="D1" s="1913"/>
      <c r="E1" s="1914"/>
      <c r="F1" s="1915" t="s">
        <v>3925</v>
      </c>
      <c r="G1" s="1916"/>
      <c r="H1" s="1917"/>
      <c r="I1" s="1913"/>
      <c r="J1" s="1918"/>
      <c r="K1" s="1919"/>
      <c r="L1" s="1919"/>
      <c r="M1" s="1920"/>
    </row>
    <row r="2" spans="1:22" s="140" customFormat="1" ht="30" x14ac:dyDescent="0.25">
      <c r="A2" s="127" t="str">
        <f>HYPERLINK("#Index!F3", "Index Pg")</f>
        <v>Index Pg</v>
      </c>
      <c r="B2" s="278" t="str">
        <f>HYPERLINK("#'Summary of Abstracts'!A2", "Summary of Abst.")</f>
        <v>Summary of Abst.</v>
      </c>
      <c r="C2" s="277" t="str">
        <f>HYPERLINK("#'Budget Summary I'!A1:AL1", "Budget Summary I")</f>
        <v>Budget Summary I</v>
      </c>
      <c r="D2" s="106"/>
      <c r="E2" s="139" t="s">
        <v>4608</v>
      </c>
      <c r="F2" s="156">
        <f>R6+R8+R10+R15+R18</f>
        <v>0</v>
      </c>
      <c r="G2" s="137"/>
      <c r="H2" s="136"/>
      <c r="I2" s="83"/>
      <c r="J2" s="149"/>
      <c r="K2" s="56"/>
      <c r="L2" s="56"/>
      <c r="M2" s="152"/>
    </row>
    <row r="3" spans="1:22" s="140" customFormat="1" x14ac:dyDescent="0.25">
      <c r="A3" s="138"/>
      <c r="B3" s="135"/>
      <c r="C3" s="277" t="str">
        <f>HYPERLINK("#'Budget Summary II'!A3:B5", "Budget Summary II")</f>
        <v>Budget Summary II</v>
      </c>
      <c r="D3" s="145"/>
      <c r="E3" s="139" t="s">
        <v>4609</v>
      </c>
      <c r="F3" s="155">
        <f>O6+O8+O10+O15+O18</f>
        <v>0</v>
      </c>
      <c r="G3" s="137"/>
      <c r="H3" s="136"/>
      <c r="I3" s="148"/>
      <c r="J3" s="150"/>
      <c r="K3" s="141"/>
      <c r="L3" s="142"/>
      <c r="M3" s="153"/>
    </row>
    <row r="4" spans="1:22" s="146" customFormat="1" ht="12.75" customHeight="1" x14ac:dyDescent="0.25">
      <c r="A4" s="4026" t="s">
        <v>53</v>
      </c>
      <c r="B4" s="4026" t="s">
        <v>54</v>
      </c>
      <c r="C4" s="4026" t="s">
        <v>55</v>
      </c>
      <c r="D4" s="4026" t="s">
        <v>56</v>
      </c>
      <c r="E4" s="4026" t="s">
        <v>57</v>
      </c>
      <c r="F4" s="4059" t="s">
        <v>4629</v>
      </c>
      <c r="G4" s="4059"/>
      <c r="H4" s="4059"/>
      <c r="I4" s="4059"/>
      <c r="J4" s="4059"/>
      <c r="K4" s="4059" t="s">
        <v>4640</v>
      </c>
      <c r="L4" s="4059"/>
      <c r="M4" s="4059"/>
      <c r="N4" s="4059"/>
      <c r="O4" s="4059"/>
      <c r="P4" s="4059"/>
      <c r="Q4" s="4055" t="s">
        <v>4670</v>
      </c>
      <c r="R4" s="4055"/>
    </row>
    <row r="5" spans="1:22" s="61" customFormat="1" ht="60" x14ac:dyDescent="0.25">
      <c r="A5" s="4026"/>
      <c r="B5" s="4026"/>
      <c r="C5" s="4026"/>
      <c r="D5" s="4026"/>
      <c r="E5" s="4026"/>
      <c r="F5" s="57" t="s">
        <v>4630</v>
      </c>
      <c r="G5" s="57" t="s">
        <v>4638</v>
      </c>
      <c r="H5" s="57" t="s">
        <v>4631</v>
      </c>
      <c r="I5" s="57" t="s">
        <v>4639</v>
      </c>
      <c r="J5" s="58" t="s">
        <v>2538</v>
      </c>
      <c r="K5" s="59" t="s">
        <v>58</v>
      </c>
      <c r="L5" s="59" t="s">
        <v>59</v>
      </c>
      <c r="M5" s="129" t="s">
        <v>60</v>
      </c>
      <c r="N5" s="59" t="s">
        <v>61</v>
      </c>
      <c r="O5" s="129" t="s">
        <v>62</v>
      </c>
      <c r="P5" s="59" t="s">
        <v>63</v>
      </c>
      <c r="Q5" s="60" t="s">
        <v>2540</v>
      </c>
      <c r="R5" s="134" t="s">
        <v>4671</v>
      </c>
    </row>
    <row r="6" spans="1:22" x14ac:dyDescent="0.25">
      <c r="A6" s="122">
        <f>'3.Community Intervention Annexn'!A7</f>
        <v>3</v>
      </c>
      <c r="B6" s="683"/>
      <c r="C6" s="122" t="str">
        <f>'3.Community Intervention Annexn'!C7</f>
        <v>Community Interventions</v>
      </c>
      <c r="D6" s="683"/>
      <c r="E6" s="683"/>
      <c r="F6" s="683"/>
      <c r="G6" s="683"/>
      <c r="H6" s="683"/>
      <c r="I6" s="683"/>
      <c r="J6" s="683"/>
      <c r="K6" s="684"/>
      <c r="L6" s="684"/>
      <c r="M6" s="131"/>
      <c r="N6" s="684"/>
      <c r="O6" s="131">
        <f>O7</f>
        <v>0</v>
      </c>
      <c r="P6" s="684"/>
      <c r="Q6" s="684"/>
      <c r="R6" s="131">
        <f>R7</f>
        <v>0</v>
      </c>
    </row>
    <row r="7" spans="1:22" ht="30" x14ac:dyDescent="0.25">
      <c r="A7" s="682" t="str">
        <f>'3.Community Intervention Annexn'!A17</f>
        <v>3.1.1.2</v>
      </c>
      <c r="B7" s="682" t="str">
        <f>'3-A. CI Sub-Annex'!C37</f>
        <v>D.5</v>
      </c>
      <c r="C7" s="682" t="str">
        <f>'3-A. CI Sub-Annex'!D37</f>
        <v>ASHA Incentive under NIDDCP</v>
      </c>
      <c r="D7" s="682" t="str">
        <f>'3-A. CI Sub-Annex'!E37</f>
        <v>RCH</v>
      </c>
      <c r="E7" s="682" t="str">
        <f>'3-A. CI Sub-Annex'!F37</f>
        <v>NIDDCP/NHSRC-CP</v>
      </c>
      <c r="F7" s="682">
        <f>'3-A. CI Sub-Annex'!G37</f>
        <v>0</v>
      </c>
      <c r="G7" s="682">
        <f>'3-A. CI Sub-Annex'!H37</f>
        <v>0</v>
      </c>
      <c r="H7" s="682">
        <f>'3-A. CI Sub-Annex'!I37</f>
        <v>0</v>
      </c>
      <c r="I7" s="682">
        <f>'3-A. CI Sub-Annex'!J37</f>
        <v>0</v>
      </c>
      <c r="J7" s="682">
        <f>'3-A. CI Sub-Annex'!K37</f>
        <v>0</v>
      </c>
      <c r="K7" s="682">
        <f>'3-A. CI Sub-Annex'!L37</f>
        <v>0</v>
      </c>
      <c r="L7" s="682">
        <f>'3-A. CI Sub-Annex'!M37</f>
        <v>0</v>
      </c>
      <c r="M7" s="682">
        <f>'3-A. CI Sub-Annex'!N37</f>
        <v>0</v>
      </c>
      <c r="N7" s="682">
        <f>'3-A. CI Sub-Annex'!O37</f>
        <v>0</v>
      </c>
      <c r="O7" s="682">
        <f>'3-A. CI Sub-Annex'!P37</f>
        <v>0</v>
      </c>
      <c r="P7" s="682">
        <f>'3-A. CI Sub-Annex'!Q37</f>
        <v>0</v>
      </c>
      <c r="Q7" s="3303"/>
      <c r="R7" s="1906"/>
      <c r="S7" s="140"/>
      <c r="T7" s="140"/>
      <c r="U7" s="140"/>
      <c r="V7" s="140"/>
    </row>
    <row r="8" spans="1:22" x14ac:dyDescent="0.25">
      <c r="A8" s="122">
        <f>'5.Infrastructure Annex'!A7</f>
        <v>5</v>
      </c>
      <c r="B8" s="122"/>
      <c r="C8" s="122" t="str">
        <f>'5.Infrastructure Annex'!C7</f>
        <v>Infrastructure</v>
      </c>
      <c r="D8" s="128"/>
      <c r="E8" s="128"/>
      <c r="F8" s="128"/>
      <c r="G8" s="128"/>
      <c r="H8" s="128"/>
      <c r="I8" s="128"/>
      <c r="J8" s="128"/>
      <c r="K8" s="685"/>
      <c r="L8" s="685"/>
      <c r="M8" s="686"/>
      <c r="N8" s="685"/>
      <c r="O8" s="131">
        <f>O9</f>
        <v>0</v>
      </c>
      <c r="P8" s="687"/>
      <c r="Q8" s="688"/>
      <c r="R8" s="170">
        <f>R9</f>
        <v>0</v>
      </c>
      <c r="S8" s="140"/>
      <c r="T8" s="140"/>
      <c r="U8" s="140"/>
      <c r="V8" s="140"/>
    </row>
    <row r="9" spans="1:22" x14ac:dyDescent="0.25">
      <c r="A9" s="88" t="str">
        <f>'5.Infrastructure Annex'!A90</f>
        <v>5.3.10</v>
      </c>
      <c r="B9" s="88" t="str">
        <f>'5.Infrastructure Annex'!B90</f>
        <v>D.2</v>
      </c>
      <c r="C9" s="88" t="str">
        <f>'5.Infrastructure Annex'!C90</f>
        <v>Establishment of IDD Monitoring Lab</v>
      </c>
      <c r="D9" s="88" t="str">
        <f>'5.Infrastructure Annex'!D90</f>
        <v>RCH</v>
      </c>
      <c r="E9" s="88" t="str">
        <f>'5.Infrastructure Annex'!E90</f>
        <v>NIDDCP</v>
      </c>
      <c r="F9" s="88">
        <f>'5.Infrastructure Annex'!F90</f>
        <v>0</v>
      </c>
      <c r="G9" s="88">
        <f>'5.Infrastructure Annex'!G90</f>
        <v>0</v>
      </c>
      <c r="H9" s="88">
        <f>'5.Infrastructure Annex'!H90</f>
        <v>0</v>
      </c>
      <c r="I9" s="88">
        <f>'5.Infrastructure Annex'!I90</f>
        <v>0</v>
      </c>
      <c r="J9" s="88">
        <f>'5.Infrastructure Annex'!J90</f>
        <v>0</v>
      </c>
      <c r="K9" s="88">
        <f>'5.Infrastructure Annex'!K90</f>
        <v>0</v>
      </c>
      <c r="L9" s="88">
        <f>'5.Infrastructure Annex'!L90</f>
        <v>0</v>
      </c>
      <c r="M9" s="88">
        <f>'5.Infrastructure Annex'!M90</f>
        <v>0</v>
      </c>
      <c r="N9" s="88">
        <f>'5.Infrastructure Annex'!N90</f>
        <v>0</v>
      </c>
      <c r="O9" s="88">
        <f>'5.Infrastructure Annex'!O90</f>
        <v>0</v>
      </c>
      <c r="P9" s="88">
        <f>'[1]5.Infrastructure Annex'!P92</f>
        <v>0</v>
      </c>
      <c r="Q9" s="67"/>
      <c r="R9" s="679"/>
      <c r="S9" s="140"/>
      <c r="T9" s="140"/>
      <c r="U9" s="140"/>
      <c r="V9" s="140"/>
    </row>
    <row r="10" spans="1:22" x14ac:dyDescent="0.25">
      <c r="A10" s="122">
        <f>'6.Procurement Annex'!A7</f>
        <v>6</v>
      </c>
      <c r="B10" s="122"/>
      <c r="C10" s="122" t="str">
        <f>'6.Procurement Annex'!C7</f>
        <v>Procurement</v>
      </c>
      <c r="D10" s="128"/>
      <c r="E10" s="128"/>
      <c r="F10" s="128"/>
      <c r="G10" s="128"/>
      <c r="H10" s="128"/>
      <c r="I10" s="128"/>
      <c r="J10" s="128"/>
      <c r="K10" s="685"/>
      <c r="L10" s="685"/>
      <c r="M10" s="686"/>
      <c r="N10" s="685"/>
      <c r="O10" s="689">
        <f>SUM(O11:O14)</f>
        <v>0</v>
      </c>
      <c r="P10" s="687"/>
      <c r="Q10" s="688"/>
      <c r="R10" s="689">
        <f>SUM(R11:R14)</f>
        <v>0</v>
      </c>
      <c r="S10" s="140"/>
      <c r="T10" s="140"/>
      <c r="U10" s="140"/>
      <c r="V10" s="140"/>
    </row>
    <row r="11" spans="1:22" x14ac:dyDescent="0.25">
      <c r="A11" s="88" t="str">
        <f>'6.Procurement Annex'!A16</f>
        <v>6.1.1.7</v>
      </c>
      <c r="B11" s="88">
        <f>'6-A. Proc. Sub-Annex'!C39</f>
        <v>0</v>
      </c>
      <c r="C11" s="88" t="str">
        <f>'6-A. Proc. Sub-Annex'!D39</f>
        <v>Procurement of lab equipment</v>
      </c>
      <c r="D11" s="88" t="str">
        <f>'6-A. Proc. Sub-Annex'!E39</f>
        <v>RCH</v>
      </c>
      <c r="E11" s="88" t="str">
        <f>'6-A. Proc. Sub-Annex'!F39</f>
        <v>NIDDCP</v>
      </c>
      <c r="F11" s="88">
        <f>'6-A. Proc. Sub-Annex'!G39</f>
        <v>0</v>
      </c>
      <c r="G11" s="88">
        <f>'6-A. Proc. Sub-Annex'!H39</f>
        <v>0</v>
      </c>
      <c r="H11" s="88">
        <f>'6-A. Proc. Sub-Annex'!I39</f>
        <v>0</v>
      </c>
      <c r="I11" s="88">
        <f>'6-A. Proc. Sub-Annex'!J39</f>
        <v>0</v>
      </c>
      <c r="J11" s="88">
        <f>'6-A. Proc. Sub-Annex'!K39</f>
        <v>0</v>
      </c>
      <c r="K11" s="88">
        <f>'6-A. Proc. Sub-Annex'!L39</f>
        <v>0</v>
      </c>
      <c r="L11" s="88">
        <f>'6-A. Proc. Sub-Annex'!M39</f>
        <v>0</v>
      </c>
      <c r="M11" s="88">
        <f>'6-A. Proc. Sub-Annex'!N39</f>
        <v>0</v>
      </c>
      <c r="N11" s="88">
        <f>'6-A. Proc. Sub-Annex'!O39</f>
        <v>0</v>
      </c>
      <c r="O11" s="88">
        <f>'6-A. Proc. Sub-Annex'!P39</f>
        <v>0</v>
      </c>
      <c r="P11" s="88">
        <f>'6-A. Proc. Sub-Annex'!Q39</f>
        <v>0</v>
      </c>
      <c r="Q11" s="67"/>
      <c r="R11" s="679"/>
      <c r="S11" s="140"/>
      <c r="T11" s="140"/>
      <c r="U11" s="140"/>
      <c r="V11" s="140"/>
    </row>
    <row r="12" spans="1:22" x14ac:dyDescent="0.25">
      <c r="A12" s="88"/>
      <c r="B12" s="88">
        <f>'6-A. Proc. Sub-Annex'!C40</f>
        <v>0</v>
      </c>
      <c r="C12" s="88" t="str">
        <f>'6-A. Proc. Sub-Annex'!D40</f>
        <v>Any other equipment (please specify)</v>
      </c>
      <c r="D12" s="88" t="str">
        <f>'6-A. Proc. Sub-Annex'!E40</f>
        <v>RCH</v>
      </c>
      <c r="E12" s="88" t="str">
        <f>'6-A. Proc. Sub-Annex'!F40</f>
        <v>NIDDCP</v>
      </c>
      <c r="F12" s="88">
        <f>'6-A. Proc. Sub-Annex'!G40</f>
        <v>0</v>
      </c>
      <c r="G12" s="88">
        <f>'6-A. Proc. Sub-Annex'!H40</f>
        <v>0</v>
      </c>
      <c r="H12" s="88">
        <f>'6-A. Proc. Sub-Annex'!I40</f>
        <v>0</v>
      </c>
      <c r="I12" s="88">
        <f>'6-A. Proc. Sub-Annex'!J40</f>
        <v>0</v>
      </c>
      <c r="J12" s="88">
        <f>'6-A. Proc. Sub-Annex'!K40</f>
        <v>0</v>
      </c>
      <c r="K12" s="88">
        <f>'6-A. Proc. Sub-Annex'!L40</f>
        <v>0</v>
      </c>
      <c r="L12" s="88">
        <f>'6-A. Proc. Sub-Annex'!M40</f>
        <v>0</v>
      </c>
      <c r="M12" s="88">
        <f>'6-A. Proc. Sub-Annex'!N40</f>
        <v>0</v>
      </c>
      <c r="N12" s="88">
        <f>'6-A. Proc. Sub-Annex'!O40</f>
        <v>0</v>
      </c>
      <c r="O12" s="88">
        <f>'6-A. Proc. Sub-Annex'!P40</f>
        <v>0</v>
      </c>
      <c r="P12" s="88">
        <f>'6-A. Proc. Sub-Annex'!Q40</f>
        <v>0</v>
      </c>
      <c r="Q12" s="67"/>
      <c r="R12" s="679"/>
      <c r="S12" s="140"/>
      <c r="T12" s="140"/>
      <c r="U12" s="140"/>
      <c r="V12" s="140"/>
    </row>
    <row r="13" spans="1:22" x14ac:dyDescent="0.25">
      <c r="A13" s="88" t="str">
        <f>'6.Procurement Annex'!A62</f>
        <v>6.2.1.7</v>
      </c>
      <c r="B13" s="88" t="str">
        <f>'6-A. Proc. Sub-Annex'!C188</f>
        <v>D.4</v>
      </c>
      <c r="C13" s="88" t="str">
        <f>'6-A. Proc. Sub-Annex'!D188</f>
        <v xml:space="preserve">Supply of Salt Testing Kit </v>
      </c>
      <c r="D13" s="88" t="str">
        <f>'6-A. Proc. Sub-Annex'!E188</f>
        <v>RCH</v>
      </c>
      <c r="E13" s="88" t="str">
        <f>'6-A. Proc. Sub-Annex'!F188</f>
        <v>NIDDCP</v>
      </c>
      <c r="F13" s="88">
        <f>'6-A. Proc. Sub-Annex'!G188</f>
        <v>0</v>
      </c>
      <c r="G13" s="88">
        <f>'6-A. Proc. Sub-Annex'!H188</f>
        <v>0</v>
      </c>
      <c r="H13" s="88">
        <f>'6-A. Proc. Sub-Annex'!I188</f>
        <v>0</v>
      </c>
      <c r="I13" s="88">
        <f>'6-A. Proc. Sub-Annex'!J188</f>
        <v>0</v>
      </c>
      <c r="J13" s="88">
        <f>'6-A. Proc. Sub-Annex'!K188</f>
        <v>0</v>
      </c>
      <c r="K13" s="88">
        <f>'6-A. Proc. Sub-Annex'!L188</f>
        <v>0</v>
      </c>
      <c r="L13" s="88">
        <f>'6-A. Proc. Sub-Annex'!M188</f>
        <v>0</v>
      </c>
      <c r="M13" s="88">
        <f>'6-A. Proc. Sub-Annex'!N188</f>
        <v>0</v>
      </c>
      <c r="N13" s="88">
        <f>'6-A. Proc. Sub-Annex'!O188</f>
        <v>0</v>
      </c>
      <c r="O13" s="88">
        <f>'6-A. Proc. Sub-Annex'!P188</f>
        <v>0</v>
      </c>
      <c r="P13" s="88">
        <f>'6-A. Proc. Sub-Annex'!Q188</f>
        <v>0</v>
      </c>
      <c r="Q13" s="124"/>
      <c r="R13" s="3304"/>
      <c r="S13" s="140"/>
      <c r="T13" s="140"/>
      <c r="U13" s="140"/>
      <c r="V13" s="140"/>
    </row>
    <row r="14" spans="1:22" x14ac:dyDescent="0.25">
      <c r="A14" s="88"/>
      <c r="B14" s="88">
        <f>'6-A. Proc. Sub-Annex'!C189</f>
        <v>0</v>
      </c>
      <c r="C14" s="88" t="str">
        <f>'6-A. Proc. Sub-Annex'!D189</f>
        <v>Any other supplies (please specify)</v>
      </c>
      <c r="D14" s="88" t="str">
        <f>'6-A. Proc. Sub-Annex'!E189</f>
        <v>RCH</v>
      </c>
      <c r="E14" s="88" t="str">
        <f>'6-A. Proc. Sub-Annex'!F189</f>
        <v>NIDDCP</v>
      </c>
      <c r="F14" s="88">
        <f>'6-A. Proc. Sub-Annex'!G189</f>
        <v>0</v>
      </c>
      <c r="G14" s="88">
        <f>'6-A. Proc. Sub-Annex'!H189</f>
        <v>0</v>
      </c>
      <c r="H14" s="88">
        <f>'6-A. Proc. Sub-Annex'!I189</f>
        <v>0</v>
      </c>
      <c r="I14" s="88">
        <f>'6-A. Proc. Sub-Annex'!J189</f>
        <v>0</v>
      </c>
      <c r="J14" s="88">
        <f>'6-A. Proc. Sub-Annex'!K189</f>
        <v>0</v>
      </c>
      <c r="K14" s="88">
        <f>'6-A. Proc. Sub-Annex'!L189</f>
        <v>0</v>
      </c>
      <c r="L14" s="88">
        <f>'6-A. Proc. Sub-Annex'!M189</f>
        <v>0</v>
      </c>
      <c r="M14" s="88">
        <f>'6-A. Proc. Sub-Annex'!N189</f>
        <v>0</v>
      </c>
      <c r="N14" s="88">
        <f>'6-A. Proc. Sub-Annex'!O189</f>
        <v>0</v>
      </c>
      <c r="O14" s="88">
        <f>'6-A. Proc. Sub-Annex'!P189</f>
        <v>0</v>
      </c>
      <c r="P14" s="88">
        <f>'6-A. Proc. Sub-Annex'!Q189</f>
        <v>0</v>
      </c>
      <c r="Q14" s="67"/>
      <c r="R14" s="679"/>
      <c r="S14" s="140"/>
      <c r="T14" s="140"/>
      <c r="U14" s="140"/>
      <c r="V14" s="140"/>
    </row>
    <row r="15" spans="1:22" ht="30" x14ac:dyDescent="0.25">
      <c r="A15" s="122">
        <f>'10.Review Research &amp; Surveillen'!A7</f>
        <v>10</v>
      </c>
      <c r="B15" s="122"/>
      <c r="C15" s="122" t="str">
        <f>'10.Review Research &amp; Surveillen'!C7</f>
        <v>Reviews, Research, Surveys and Surveillance</v>
      </c>
      <c r="D15" s="128"/>
      <c r="E15" s="128"/>
      <c r="F15" s="128"/>
      <c r="G15" s="128"/>
      <c r="H15" s="128"/>
      <c r="I15" s="128"/>
      <c r="J15" s="128"/>
      <c r="K15" s="685"/>
      <c r="L15" s="685"/>
      <c r="M15" s="686"/>
      <c r="N15" s="685"/>
      <c r="O15" s="131">
        <f>SUM(O16:O17)</f>
        <v>0</v>
      </c>
      <c r="P15" s="687"/>
      <c r="Q15" s="688"/>
      <c r="R15" s="170">
        <f>SUM(R16:R17)</f>
        <v>0</v>
      </c>
      <c r="S15" s="140"/>
      <c r="T15" s="140"/>
      <c r="U15" s="140"/>
      <c r="V15" s="140"/>
    </row>
    <row r="16" spans="1:22" x14ac:dyDescent="0.25">
      <c r="A16" s="116" t="str">
        <f>'10.Review Research &amp; Surveillen'!A14</f>
        <v>10.2.2</v>
      </c>
      <c r="B16" s="116" t="str">
        <f>'10.Review Research &amp; Surveillen'!B14</f>
        <v>D.3</v>
      </c>
      <c r="C16" s="116" t="str">
        <f>'10.Review Research &amp; Surveillen'!C14</f>
        <v>IDD Surveys/Re-surveys</v>
      </c>
      <c r="D16" s="116" t="str">
        <f>'10.Review Research &amp; Surveillen'!D14</f>
        <v>RCH</v>
      </c>
      <c r="E16" s="116" t="str">
        <f>'10.Review Research &amp; Surveillen'!E14</f>
        <v>NIDDCP</v>
      </c>
      <c r="F16" s="88">
        <f>'10.Review Research &amp; Surveillen'!F14</f>
        <v>0</v>
      </c>
      <c r="G16" s="88">
        <f>'10.Review Research &amp; Surveillen'!G14</f>
        <v>0</v>
      </c>
      <c r="H16" s="88">
        <f>'10.Review Research &amp; Surveillen'!H14</f>
        <v>0</v>
      </c>
      <c r="I16" s="88">
        <f>'10.Review Research &amp; Surveillen'!I14</f>
        <v>0</v>
      </c>
      <c r="J16" s="88">
        <f>'10.Review Research &amp; Surveillen'!J14</f>
        <v>0</v>
      </c>
      <c r="K16" s="88">
        <f>'10.Review Research &amp; Surveillen'!K14</f>
        <v>0</v>
      </c>
      <c r="L16" s="88">
        <f>'10.Review Research &amp; Surveillen'!L14</f>
        <v>0</v>
      </c>
      <c r="M16" s="88">
        <f>'10.Review Research &amp; Surveillen'!M14</f>
        <v>0</v>
      </c>
      <c r="N16" s="88">
        <f>'10.Review Research &amp; Surveillen'!N14</f>
        <v>0</v>
      </c>
      <c r="O16" s="88">
        <f>'10.Review Research &amp; Surveillen'!O14</f>
        <v>0</v>
      </c>
      <c r="P16" s="88">
        <f>'10.Review Research &amp; Surveillen'!P14</f>
        <v>0</v>
      </c>
      <c r="Q16" s="3305"/>
      <c r="R16" s="3304"/>
      <c r="S16" s="140"/>
      <c r="T16" s="140"/>
      <c r="U16" s="140"/>
      <c r="V16" s="140"/>
    </row>
    <row r="17" spans="1:22" x14ac:dyDescent="0.25">
      <c r="A17" s="116" t="str">
        <f>'10.Review Research &amp; Surveillen'!A48</f>
        <v>10.4.1</v>
      </c>
      <c r="B17" s="116" t="str">
        <f>'10.Review Research &amp; Surveillen'!B48</f>
        <v>D.6</v>
      </c>
      <c r="C17" s="116" t="str">
        <f>'10.Review Research &amp; Surveillen'!C48</f>
        <v>Management of IDD Monitoring Laboratory</v>
      </c>
      <c r="D17" s="116" t="str">
        <f>'10.Review Research &amp; Surveillen'!D48</f>
        <v>RCH</v>
      </c>
      <c r="E17" s="116" t="str">
        <f>'10.Review Research &amp; Surveillen'!E48</f>
        <v>NIDDCP</v>
      </c>
      <c r="F17" s="88">
        <f>'10.Review Research &amp; Surveillen'!F48</f>
        <v>0</v>
      </c>
      <c r="G17" s="88">
        <f>'10.Review Research &amp; Surveillen'!G48</f>
        <v>0</v>
      </c>
      <c r="H17" s="88">
        <f>'10.Review Research &amp; Surveillen'!H48</f>
        <v>0</v>
      </c>
      <c r="I17" s="88">
        <f>'10.Review Research &amp; Surveillen'!I48</f>
        <v>0</v>
      </c>
      <c r="J17" s="88">
        <f>'10.Review Research &amp; Surveillen'!J48</f>
        <v>0</v>
      </c>
      <c r="K17" s="88">
        <f>'10.Review Research &amp; Surveillen'!K48</f>
        <v>0</v>
      </c>
      <c r="L17" s="88">
        <f>'10.Review Research &amp; Surveillen'!L48</f>
        <v>0</v>
      </c>
      <c r="M17" s="88">
        <f>'10.Review Research &amp; Surveillen'!M48</f>
        <v>0</v>
      </c>
      <c r="N17" s="88">
        <f>'10.Review Research &amp; Surveillen'!N48</f>
        <v>0</v>
      </c>
      <c r="O17" s="88">
        <f>'10.Review Research &amp; Surveillen'!O48</f>
        <v>0</v>
      </c>
      <c r="P17" s="88">
        <f>'10.Review Research &amp; Surveillen'!P48</f>
        <v>0</v>
      </c>
      <c r="Q17" s="120"/>
      <c r="R17" s="679"/>
      <c r="S17" s="140"/>
      <c r="T17" s="140"/>
      <c r="U17" s="140"/>
      <c r="V17" s="140"/>
    </row>
    <row r="18" spans="1:22" x14ac:dyDescent="0.25">
      <c r="A18" s="122">
        <f>'11.IEC-BCC Annex'!A7</f>
        <v>11</v>
      </c>
      <c r="B18" s="122"/>
      <c r="C18" s="122" t="str">
        <f>'11.IEC-BCC Annex'!C7</f>
        <v>IEC/BCC</v>
      </c>
      <c r="D18" s="128"/>
      <c r="E18" s="128"/>
      <c r="F18" s="128"/>
      <c r="G18" s="128"/>
      <c r="H18" s="128"/>
      <c r="I18" s="128"/>
      <c r="J18" s="128"/>
      <c r="K18" s="685"/>
      <c r="L18" s="685"/>
      <c r="M18" s="686"/>
      <c r="N18" s="685"/>
      <c r="O18" s="131">
        <f>SUM(O19:O20)</f>
        <v>0</v>
      </c>
      <c r="P18" s="687"/>
      <c r="Q18" s="688"/>
      <c r="R18" s="170">
        <f>SUM(R19:R20)</f>
        <v>0</v>
      </c>
      <c r="S18" s="140"/>
      <c r="T18" s="140"/>
      <c r="U18" s="140"/>
      <c r="V18" s="140"/>
    </row>
    <row r="19" spans="1:22" x14ac:dyDescent="0.25">
      <c r="A19" s="88" t="str">
        <f>'11.IEC-BCC Annex'!A15</f>
        <v>11.1.7</v>
      </c>
      <c r="B19" s="88" t="str">
        <f>'11-A. IEC Sub-Annex'!C33</f>
        <v>B.10.6.7</v>
      </c>
      <c r="C19" s="88" t="str">
        <f>'11-A. IEC Sub-Annex'!D33</f>
        <v>Health Education &amp; Publicity for NIDDCP</v>
      </c>
      <c r="D19" s="88" t="str">
        <f>'11-A. IEC Sub-Annex'!E33</f>
        <v>RCH</v>
      </c>
      <c r="E19" s="88" t="str">
        <f>'11-A. IEC Sub-Annex'!F33</f>
        <v>NIDDCP</v>
      </c>
      <c r="F19" s="88">
        <f>'11-A. IEC Sub-Annex'!G33</f>
        <v>0</v>
      </c>
      <c r="G19" s="88">
        <f>'11-A. IEC Sub-Annex'!H33</f>
        <v>0</v>
      </c>
      <c r="H19" s="88">
        <f>'11-A. IEC Sub-Annex'!I33</f>
        <v>0</v>
      </c>
      <c r="I19" s="88">
        <f>'11-A. IEC Sub-Annex'!J33</f>
        <v>0</v>
      </c>
      <c r="J19" s="88">
        <f>'11-A. IEC Sub-Annex'!K33</f>
        <v>0</v>
      </c>
      <c r="K19" s="88">
        <f>'11-A. IEC Sub-Annex'!L33</f>
        <v>0</v>
      </c>
      <c r="L19" s="88">
        <f>'11-A. IEC Sub-Annex'!M33</f>
        <v>0</v>
      </c>
      <c r="M19" s="88">
        <f>'11-A. IEC Sub-Annex'!N33</f>
        <v>0</v>
      </c>
      <c r="N19" s="88">
        <f>'11-A. IEC Sub-Annex'!O33</f>
        <v>0</v>
      </c>
      <c r="O19" s="88">
        <f>'11-A. IEC Sub-Annex'!P33</f>
        <v>0</v>
      </c>
      <c r="P19" s="88">
        <f>'11-A. IEC Sub-Annex'!Q33</f>
        <v>0</v>
      </c>
      <c r="Q19" s="124"/>
      <c r="R19" s="3304"/>
      <c r="S19" s="140"/>
      <c r="T19" s="140"/>
      <c r="U19" s="140"/>
      <c r="V19" s="140"/>
    </row>
    <row r="20" spans="1:22" ht="30" x14ac:dyDescent="0.25">
      <c r="A20" s="88"/>
      <c r="B20" s="88">
        <f>'11-A. IEC Sub-Annex'!C34</f>
        <v>0</v>
      </c>
      <c r="C20" s="88" t="str">
        <f>'11-A. IEC Sub-Annex'!D34</f>
        <v>Any other IEC/BCC activities (please specify)</v>
      </c>
      <c r="D20" s="88" t="str">
        <f>'11-A. IEC Sub-Annex'!E34</f>
        <v>RCH</v>
      </c>
      <c r="E20" s="88" t="str">
        <f>'11-A. IEC Sub-Annex'!F34</f>
        <v>NIDDCP</v>
      </c>
      <c r="F20" s="88">
        <f>'11-A. IEC Sub-Annex'!G34</f>
        <v>0</v>
      </c>
      <c r="G20" s="88">
        <f>'11-A. IEC Sub-Annex'!H34</f>
        <v>0</v>
      </c>
      <c r="H20" s="88">
        <f>'11-A. IEC Sub-Annex'!I34</f>
        <v>0</v>
      </c>
      <c r="I20" s="88">
        <f>'11-A. IEC Sub-Annex'!J34</f>
        <v>0</v>
      </c>
      <c r="J20" s="88">
        <f>'11-A. IEC Sub-Annex'!K34</f>
        <v>0</v>
      </c>
      <c r="K20" s="88">
        <f>'11-A. IEC Sub-Annex'!L34</f>
        <v>0</v>
      </c>
      <c r="L20" s="88">
        <f>'11-A. IEC Sub-Annex'!M34</f>
        <v>0</v>
      </c>
      <c r="M20" s="88">
        <f>'11-A. IEC Sub-Annex'!N34</f>
        <v>0</v>
      </c>
      <c r="N20" s="88">
        <f>'11-A. IEC Sub-Annex'!O34</f>
        <v>0</v>
      </c>
      <c r="O20" s="88">
        <f>'11-A. IEC Sub-Annex'!P34</f>
        <v>0</v>
      </c>
      <c r="P20" s="88">
        <f>'11-A. IEC Sub-Annex'!Q34</f>
        <v>0</v>
      </c>
      <c r="Q20" s="124"/>
      <c r="R20" s="3304"/>
      <c r="S20" s="140"/>
      <c r="T20" s="140"/>
      <c r="U20" s="140"/>
      <c r="V20" s="140"/>
    </row>
    <row r="21" spans="1:22" x14ac:dyDescent="0.25">
      <c r="S21" s="140"/>
      <c r="T21" s="140"/>
      <c r="U21" s="140"/>
      <c r="V21" s="140"/>
    </row>
    <row r="22" spans="1:22" x14ac:dyDescent="0.25">
      <c r="S22" s="140"/>
      <c r="T22" s="140"/>
      <c r="U22" s="140"/>
      <c r="V22" s="140"/>
    </row>
    <row r="23" spans="1:22" x14ac:dyDescent="0.25">
      <c r="S23" s="140"/>
      <c r="T23" s="140"/>
      <c r="U23" s="140"/>
      <c r="V23" s="140"/>
    </row>
    <row r="24" spans="1:22" x14ac:dyDescent="0.25">
      <c r="S24" s="140"/>
      <c r="T24" s="140"/>
      <c r="U24" s="140"/>
      <c r="V24" s="140"/>
    </row>
  </sheetData>
  <sheetProtection formatCells="0" formatColumns="0" formatRows="0" autoFilter="0"/>
  <autoFilter ref="A5:M20"/>
  <mergeCells count="9">
    <mergeCell ref="Q4:R4"/>
    <mergeCell ref="E4:E5"/>
    <mergeCell ref="A1:C1"/>
    <mergeCell ref="A4:A5"/>
    <mergeCell ref="B4:B5"/>
    <mergeCell ref="C4:C5"/>
    <mergeCell ref="D4:D5"/>
    <mergeCell ref="F4:J4"/>
    <mergeCell ref="K4:P4"/>
  </mergeCells>
  <pageMargins left="0.7" right="0.7" top="0.75" bottom="0.75" header="0.3" footer="0.3"/>
  <pageSetup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R107"/>
  <sheetViews>
    <sheetView zoomScale="80" zoomScaleNormal="80" workbookViewId="0">
      <pane xSplit="3" ySplit="5" topLeftCell="L90" activePane="bottomRight" state="frozen"/>
      <selection activeCell="C107" sqref="C107"/>
      <selection pane="topRight" activeCell="C107" sqref="C107"/>
      <selection pane="bottomLeft" activeCell="C107" sqref="C107"/>
      <selection pane="bottomRight" activeCell="Q98" sqref="Q98:R102"/>
    </sheetView>
  </sheetViews>
  <sheetFormatPr defaultColWidth="8.85546875" defaultRowHeight="15" x14ac:dyDescent="0.2"/>
  <cols>
    <col min="1" max="1" width="13.140625" style="1196" customWidth="1"/>
    <col min="2" max="2" width="16.5703125" style="1196" hidden="1" customWidth="1"/>
    <col min="3" max="3" width="51" style="881" customWidth="1"/>
    <col min="4" max="4" width="6.140625" style="835" hidden="1" customWidth="1"/>
    <col min="5" max="5" width="18.5703125" style="835" hidden="1" customWidth="1"/>
    <col min="6" max="6" width="16.42578125" style="1196" hidden="1" customWidth="1"/>
    <col min="7" max="7" width="16.85546875" style="1196" hidden="1" customWidth="1"/>
    <col min="8" max="8" width="18.28515625" style="1962" hidden="1" customWidth="1"/>
    <col min="9" max="9" width="17.28515625" style="1196" hidden="1" customWidth="1"/>
    <col min="10" max="10" width="18.28515625" style="1962" hidden="1" customWidth="1"/>
    <col min="11" max="11" width="18.140625" style="1196" hidden="1" customWidth="1"/>
    <col min="12" max="12" width="11.140625" style="1196" customWidth="1"/>
    <col min="13" max="13" width="12.5703125" style="1962" hidden="1" customWidth="1"/>
    <col min="14" max="14" width="8.85546875" style="1196"/>
    <col min="15" max="15" width="12.140625" style="1962" customWidth="1"/>
    <col min="16" max="16" width="30.28515625" style="1825" hidden="1" customWidth="1"/>
    <col min="17" max="17" width="36.42578125" style="3348" customWidth="1"/>
    <col min="18" max="18" width="14.140625" style="1962" customWidth="1"/>
    <col min="19" max="16384" width="8.85546875" style="1196"/>
  </cols>
  <sheetData>
    <row r="1" spans="1:18" s="1923" customFormat="1" ht="30" x14ac:dyDescent="0.2">
      <c r="A1" s="4060" t="s">
        <v>2128</v>
      </c>
      <c r="B1" s="4060"/>
      <c r="C1" s="4060"/>
      <c r="D1" s="1922"/>
      <c r="F1" s="1924" t="s">
        <v>3960</v>
      </c>
      <c r="G1" s="1101"/>
      <c r="H1" s="1101"/>
      <c r="I1" s="1101"/>
      <c r="J1" s="1856"/>
      <c r="K1" s="1925"/>
      <c r="L1" s="1925"/>
      <c r="M1" s="1926"/>
      <c r="O1" s="1927"/>
      <c r="P1" s="1928"/>
      <c r="Q1" s="3358"/>
      <c r="R1" s="1927"/>
    </row>
    <row r="2" spans="1:18" s="1923" customFormat="1" ht="30" x14ac:dyDescent="0.25">
      <c r="A2" s="1929" t="str">
        <f>HYPERLINK("#Index!F3", "Index Pg")</f>
        <v>Index Pg</v>
      </c>
      <c r="B2" s="1405" t="str">
        <f>HYPERLINK("#'Summary of Abstracts'!A2", "Summary of Abst.")</f>
        <v>Summary of Abst.</v>
      </c>
      <c r="C2" s="831" t="str">
        <f>HYPERLINK("#'Budget Summary I'!A1:AL1", "Budget Summary I")</f>
        <v>Budget Summary I</v>
      </c>
      <c r="D2" s="1930"/>
      <c r="E2" s="1084" t="s">
        <v>4608</v>
      </c>
      <c r="F2" s="1931" t="e">
        <f>M97+M88+M82+#REF!+M6+M94+M103</f>
        <v>#REF!</v>
      </c>
      <c r="G2" s="1932"/>
      <c r="H2" s="1933"/>
      <c r="I2" s="1934"/>
      <c r="J2" s="1932"/>
      <c r="K2" s="1934"/>
      <c r="L2" s="1932"/>
      <c r="M2" s="1926"/>
      <c r="O2" s="1927"/>
      <c r="P2" s="1928"/>
      <c r="Q2" s="3358"/>
      <c r="R2" s="1927"/>
    </row>
    <row r="3" spans="1:18" s="1942" customFormat="1" x14ac:dyDescent="0.25">
      <c r="A3" s="1935"/>
      <c r="B3" s="1936"/>
      <c r="C3" s="1937" t="str">
        <f>HYPERLINK("#'Budget Summary II'!A3:B5", "Budget Summary II")</f>
        <v>Budget Summary II</v>
      </c>
      <c r="D3" s="1938"/>
      <c r="E3" s="1939" t="s">
        <v>4609</v>
      </c>
      <c r="F3" s="1940" t="e">
        <f>J97+J88+J82+#REF!+J6+J94+J103</f>
        <v>#REF!</v>
      </c>
      <c r="G3" s="1932"/>
      <c r="H3" s="1933"/>
      <c r="I3" s="1934"/>
      <c r="J3" s="1932"/>
      <c r="K3" s="1934"/>
      <c r="L3" s="1932"/>
      <c r="M3" s="1941"/>
      <c r="O3" s="1943"/>
      <c r="P3" s="1944"/>
      <c r="Q3" s="3356"/>
      <c r="R3" s="1943"/>
    </row>
    <row r="4" spans="1:18" ht="14.45" customHeight="1" x14ac:dyDescent="0.2">
      <c r="A4" s="3823" t="s">
        <v>53</v>
      </c>
      <c r="B4" s="3823" t="s">
        <v>54</v>
      </c>
      <c r="C4" s="4061" t="s">
        <v>55</v>
      </c>
      <c r="D4" s="3823" t="s">
        <v>56</v>
      </c>
      <c r="E4" s="3823" t="s">
        <v>57</v>
      </c>
      <c r="F4" s="3876" t="s">
        <v>4629</v>
      </c>
      <c r="G4" s="3876"/>
      <c r="H4" s="3876"/>
      <c r="I4" s="3876"/>
      <c r="J4" s="3876"/>
      <c r="K4" s="3876" t="s">
        <v>4640</v>
      </c>
      <c r="L4" s="3876"/>
      <c r="M4" s="3876"/>
      <c r="N4" s="3876"/>
      <c r="O4" s="3876"/>
      <c r="P4" s="3876"/>
      <c r="Q4" s="3823" t="s">
        <v>4670</v>
      </c>
      <c r="R4" s="3823"/>
    </row>
    <row r="5" spans="1:18" ht="45" x14ac:dyDescent="0.2">
      <c r="A5" s="3823"/>
      <c r="B5" s="3823"/>
      <c r="C5" s="4061"/>
      <c r="D5" s="3823"/>
      <c r="E5" s="3823"/>
      <c r="F5" s="896" t="s">
        <v>4630</v>
      </c>
      <c r="G5" s="896" t="s">
        <v>4638</v>
      </c>
      <c r="H5" s="896" t="s">
        <v>4631</v>
      </c>
      <c r="I5" s="896" t="s">
        <v>4639</v>
      </c>
      <c r="J5" s="896" t="s">
        <v>2538</v>
      </c>
      <c r="K5" s="897" t="s">
        <v>58</v>
      </c>
      <c r="L5" s="897" t="s">
        <v>59</v>
      </c>
      <c r="M5" s="898" t="s">
        <v>60</v>
      </c>
      <c r="N5" s="897" t="s">
        <v>61</v>
      </c>
      <c r="O5" s="898" t="s">
        <v>62</v>
      </c>
      <c r="P5" s="1945" t="s">
        <v>63</v>
      </c>
      <c r="Q5" s="1946" t="s">
        <v>2540</v>
      </c>
      <c r="R5" s="900" t="s">
        <v>4671</v>
      </c>
    </row>
    <row r="6" spans="1:18" x14ac:dyDescent="0.2">
      <c r="A6" s="1947">
        <f>'3.Community Intervention Annexn'!A7</f>
        <v>3</v>
      </c>
      <c r="B6" s="1947"/>
      <c r="C6" s="1948" t="str">
        <f>'3.Community Intervention Annexn'!C7</f>
        <v>Community Interventions</v>
      </c>
      <c r="D6" s="1842"/>
      <c r="E6" s="1842"/>
      <c r="F6" s="1947"/>
      <c r="G6" s="1947"/>
      <c r="H6" s="1949"/>
      <c r="I6" s="1947"/>
      <c r="J6" s="1949"/>
      <c r="K6" s="1947"/>
      <c r="L6" s="1947"/>
      <c r="M6" s="969"/>
      <c r="N6" s="1950"/>
      <c r="O6" s="1951"/>
      <c r="P6" s="1952"/>
      <c r="Q6" s="3353"/>
      <c r="R6" s="1951">
        <f>+R7+R12+R20+R33+R37+R38+R46+R50+R51+R55+R58+R69+R73</f>
        <v>0</v>
      </c>
    </row>
    <row r="7" spans="1:18" x14ac:dyDescent="0.2">
      <c r="A7" s="1428" t="str">
        <f>'3.Community Intervention Annexn'!A11</f>
        <v>3.1.1.1.1</v>
      </c>
      <c r="B7" s="1428"/>
      <c r="C7" s="1427" t="str">
        <f>'3-A. CI Sub-Annex'!D7</f>
        <v>Incentive for MH Services</v>
      </c>
      <c r="D7" s="1428"/>
      <c r="E7" s="1428"/>
      <c r="F7" s="1428"/>
      <c r="G7" s="1428"/>
      <c r="H7" s="1423"/>
      <c r="I7" s="1428"/>
      <c r="J7" s="1423"/>
      <c r="K7" s="1428"/>
      <c r="L7" s="1428"/>
      <c r="M7" s="1423"/>
      <c r="N7" s="1423"/>
      <c r="O7" s="1423"/>
      <c r="P7" s="1953"/>
      <c r="Q7" s="1953"/>
      <c r="R7" s="1423">
        <f>SUM(R8:R10)</f>
        <v>0</v>
      </c>
    </row>
    <row r="8" spans="1:18" x14ac:dyDescent="0.2">
      <c r="A8" s="1138">
        <f>'3-A. CI Sub-Annex'!A8</f>
        <v>1</v>
      </c>
      <c r="B8" s="1138" t="str">
        <f>'3-A. CI Sub-Annex'!C8</f>
        <v xml:space="preserve">A.1.3.4 </v>
      </c>
      <c r="C8" s="441" t="str">
        <f>'3-A. CI Sub-Annex'!D8</f>
        <v xml:space="preserve">JSY Incentive to ASHA </v>
      </c>
      <c r="D8" s="1129" t="str">
        <f>'3-A. CI Sub-Annex'!E8</f>
        <v>RCH</v>
      </c>
      <c r="E8" s="1138" t="str">
        <f>'3-A. CI Sub-Annex'!F8</f>
        <v>MH</v>
      </c>
      <c r="F8" s="1138">
        <f>'3-A. CI Sub-Annex'!G8</f>
        <v>0</v>
      </c>
      <c r="G8" s="1138">
        <f>'3-A. CI Sub-Annex'!H8</f>
        <v>0</v>
      </c>
      <c r="H8" s="1138">
        <f>'3-A. CI Sub-Annex'!I8</f>
        <v>0</v>
      </c>
      <c r="I8" s="1138">
        <f>'3-A. CI Sub-Annex'!J8</f>
        <v>0</v>
      </c>
      <c r="J8" s="1138">
        <f>'3-A. CI Sub-Annex'!K8</f>
        <v>0</v>
      </c>
      <c r="K8" s="1138">
        <f>'3-A. CI Sub-Annex'!L8</f>
        <v>0</v>
      </c>
      <c r="L8" s="1138">
        <f>'3-A. CI Sub-Annex'!M8</f>
        <v>0</v>
      </c>
      <c r="M8" s="178">
        <f>'3-A. CI Sub-Annex'!N8</f>
        <v>0</v>
      </c>
      <c r="N8" s="1138">
        <f>'3-A. CI Sub-Annex'!O8</f>
        <v>0</v>
      </c>
      <c r="O8" s="178">
        <f>'3-A. CI Sub-Annex'!P8</f>
        <v>0</v>
      </c>
      <c r="P8" s="441">
        <f>'3-A. CI Sub-Annex'!Q8</f>
        <v>0</v>
      </c>
      <c r="Q8" s="3345">
        <f>'Ab1. RMNCH+A'!Q27</f>
        <v>0</v>
      </c>
      <c r="R8" s="1906">
        <f>'Ab1. RMNCH+A'!R27</f>
        <v>0</v>
      </c>
    </row>
    <row r="9" spans="1:18" ht="30" x14ac:dyDescent="0.2">
      <c r="A9" s="1138">
        <f>'3-A. CI Sub-Annex'!A9</f>
        <v>2</v>
      </c>
      <c r="B9" s="1138" t="str">
        <f>'3-A. CI Sub-Annex'!C9</f>
        <v>B1.1.3.5.1</v>
      </c>
      <c r="C9" s="441" t="str">
        <f>'3-A. CI Sub-Annex'!D9</f>
        <v>National Iron Plus Incentive for mobilizing WRA (non pregnant &amp; non-lactating Women 20-49 years)</v>
      </c>
      <c r="D9" s="1129" t="str">
        <f>'3-A. CI Sub-Annex'!E9</f>
        <v>RCH</v>
      </c>
      <c r="E9" s="1138" t="str">
        <f>'3-A. CI Sub-Annex'!F9</f>
        <v>MH/ CP</v>
      </c>
      <c r="F9" s="1138">
        <f>'3-A. CI Sub-Annex'!G9</f>
        <v>0</v>
      </c>
      <c r="G9" s="1138">
        <f>'3-A. CI Sub-Annex'!H9</f>
        <v>0</v>
      </c>
      <c r="H9" s="1138">
        <f>'3-A. CI Sub-Annex'!I9</f>
        <v>0</v>
      </c>
      <c r="I9" s="1138">
        <f>'3-A. CI Sub-Annex'!J9</f>
        <v>0</v>
      </c>
      <c r="J9" s="1138">
        <f>'3-A. CI Sub-Annex'!K9</f>
        <v>0</v>
      </c>
      <c r="K9" s="1138">
        <f>'3-A. CI Sub-Annex'!L9</f>
        <v>0</v>
      </c>
      <c r="L9" s="1138">
        <f>'3-A. CI Sub-Annex'!M9</f>
        <v>0</v>
      </c>
      <c r="M9" s="178">
        <f>'3-A. CI Sub-Annex'!N9</f>
        <v>0</v>
      </c>
      <c r="N9" s="1138">
        <f>'3-A. CI Sub-Annex'!O9</f>
        <v>0</v>
      </c>
      <c r="O9" s="178">
        <f>'3-A. CI Sub-Annex'!P9</f>
        <v>0</v>
      </c>
      <c r="P9" s="441">
        <f>'3-A. CI Sub-Annex'!Q9</f>
        <v>0</v>
      </c>
      <c r="Q9" s="3345">
        <f>'Ab1. RMNCH+A'!Q28</f>
        <v>0</v>
      </c>
      <c r="R9" s="1906">
        <f>'Ab1. RMNCH+A'!R28</f>
        <v>0</v>
      </c>
    </row>
    <row r="10" spans="1:18" ht="45" x14ac:dyDescent="0.2">
      <c r="A10" s="1138">
        <f>'3-A. CI Sub-Annex'!A10</f>
        <v>3</v>
      </c>
      <c r="B10" s="1138" t="str">
        <f>'3-A. CI Sub-Annex'!C10</f>
        <v>B1.1.3.5.2</v>
      </c>
      <c r="C10" s="441" t="str">
        <f>'3-A. CI Sub-Annex'!D10</f>
        <v>National Iron Plus Incentive for mobilizing children and/or ensuring compliance and reporting (6-59 months)</v>
      </c>
      <c r="D10" s="1129" t="str">
        <f>'3-A. CI Sub-Annex'!E10</f>
        <v>RCH</v>
      </c>
      <c r="E10" s="1138" t="str">
        <f>'3-A. CI Sub-Annex'!F10</f>
        <v>MH/ CP</v>
      </c>
      <c r="F10" s="1138">
        <f>'3-A. CI Sub-Annex'!G10</f>
        <v>0</v>
      </c>
      <c r="G10" s="1138">
        <f>'3-A. CI Sub-Annex'!H10</f>
        <v>0</v>
      </c>
      <c r="H10" s="1138">
        <f>'3-A. CI Sub-Annex'!I10</f>
        <v>0</v>
      </c>
      <c r="I10" s="1138">
        <f>'3-A. CI Sub-Annex'!J10</f>
        <v>0</v>
      </c>
      <c r="J10" s="1138">
        <f>'3-A. CI Sub-Annex'!K10</f>
        <v>0</v>
      </c>
      <c r="K10" s="1138">
        <f>'3-A. CI Sub-Annex'!L10</f>
        <v>0</v>
      </c>
      <c r="L10" s="1138">
        <f>'3-A. CI Sub-Annex'!M10</f>
        <v>0</v>
      </c>
      <c r="M10" s="178">
        <f>'3-A. CI Sub-Annex'!N10</f>
        <v>0</v>
      </c>
      <c r="N10" s="1138">
        <f>'3-A. CI Sub-Annex'!O10</f>
        <v>0</v>
      </c>
      <c r="O10" s="178">
        <f>'3-A. CI Sub-Annex'!P10</f>
        <v>0</v>
      </c>
      <c r="P10" s="441">
        <f>'3-A. CI Sub-Annex'!Q10</f>
        <v>0</v>
      </c>
      <c r="Q10" s="3345">
        <f>'Ab1. RMNCH+A'!Q29</f>
        <v>0</v>
      </c>
      <c r="R10" s="1906">
        <f>'Ab1. RMNCH+A'!R29</f>
        <v>0</v>
      </c>
    </row>
    <row r="11" spans="1:18" x14ac:dyDescent="0.2">
      <c r="A11" s="1138">
        <f>'3-A. CI Sub-Annex'!A11</f>
        <v>4</v>
      </c>
      <c r="B11" s="1138" t="str">
        <f>'3-A. CI Sub-Annex'!C11</f>
        <v>B1.1.3.5.3</v>
      </c>
      <c r="C11" s="441" t="str">
        <f>'3-A. CI Sub-Annex'!D11</f>
        <v>National Iron Plus Others</v>
      </c>
      <c r="D11" s="1129" t="str">
        <f>'3-A. CI Sub-Annex'!E11</f>
        <v>RCH</v>
      </c>
      <c r="E11" s="1138" t="str">
        <f>'3-A. CI Sub-Annex'!F11</f>
        <v>MH/ CP</v>
      </c>
      <c r="F11" s="1138">
        <f>'3-A. CI Sub-Annex'!G11</f>
        <v>0</v>
      </c>
      <c r="G11" s="1138">
        <f>'3-A. CI Sub-Annex'!H11</f>
        <v>0</v>
      </c>
      <c r="H11" s="1138">
        <f>'3-A. CI Sub-Annex'!I11</f>
        <v>0</v>
      </c>
      <c r="I11" s="1138">
        <f>'3-A. CI Sub-Annex'!J11</f>
        <v>0</v>
      </c>
      <c r="J11" s="1138">
        <f>'3-A. CI Sub-Annex'!K11</f>
        <v>0</v>
      </c>
      <c r="K11" s="1138">
        <f>'3-A. CI Sub-Annex'!L11</f>
        <v>0</v>
      </c>
      <c r="L11" s="1138">
        <f>'3-A. CI Sub-Annex'!M11</f>
        <v>0</v>
      </c>
      <c r="M11" s="178">
        <f>'3-A. CI Sub-Annex'!N11</f>
        <v>0</v>
      </c>
      <c r="N11" s="1138">
        <f>'3-A. CI Sub-Annex'!O11</f>
        <v>0</v>
      </c>
      <c r="O11" s="178">
        <f>'3-A. CI Sub-Annex'!P11</f>
        <v>0</v>
      </c>
      <c r="P11" s="441">
        <f>'3-A. CI Sub-Annex'!Q11</f>
        <v>0</v>
      </c>
      <c r="Q11" s="3345">
        <f>'Ab1. RMNCH+A'!Q30</f>
        <v>0</v>
      </c>
      <c r="R11" s="1906">
        <f>'Ab1. RMNCH+A'!R30</f>
        <v>0</v>
      </c>
    </row>
    <row r="12" spans="1:18" x14ac:dyDescent="0.2">
      <c r="A12" s="1954" t="str">
        <f>'3.Community Intervention Annexn'!A12</f>
        <v>3.1.1.1.2</v>
      </c>
      <c r="B12" s="1954">
        <f>'3-A. CI Sub-Annex'!C12</f>
        <v>0</v>
      </c>
      <c r="C12" s="1955" t="str">
        <f>'3-A. CI Sub-Annex'!D12</f>
        <v>Incentive for CH Services</v>
      </c>
      <c r="D12" s="1954"/>
      <c r="E12" s="1954"/>
      <c r="F12" s="1954"/>
      <c r="G12" s="1954"/>
      <c r="H12" s="1956"/>
      <c r="I12" s="1954"/>
      <c r="J12" s="1956"/>
      <c r="K12" s="1954"/>
      <c r="L12" s="1957"/>
      <c r="M12" s="1956"/>
      <c r="N12" s="1954"/>
      <c r="O12" s="1956"/>
      <c r="P12" s="1955"/>
      <c r="Q12" s="3339"/>
      <c r="R12" s="1964">
        <f>SUM(R13:R19)</f>
        <v>0</v>
      </c>
    </row>
    <row r="13" spans="1:18" ht="30" x14ac:dyDescent="0.2">
      <c r="A13" s="1138">
        <f>'3-A. CI Sub-Annex'!A13</f>
        <v>1</v>
      </c>
      <c r="B13" s="1138" t="str">
        <f>'3-A. CI Sub-Annex'!C13</f>
        <v>B1.1.3.2.6</v>
      </c>
      <c r="C13" s="441" t="str">
        <f>'3-A. CI Sub-Annex'!D13</f>
        <v xml:space="preserve">ASHA incentive under MAA programme @ Rs 100 per ASHA for quarterly mother's meeting </v>
      </c>
      <c r="D13" s="1129" t="str">
        <f>'3-A. CI Sub-Annex'!E13</f>
        <v>RCH</v>
      </c>
      <c r="E13" s="1138" t="str">
        <f>'3-A. CI Sub-Annex'!F13</f>
        <v>CH/NHSRC-CP</v>
      </c>
      <c r="F13" s="1138">
        <f>'3-A. CI Sub-Annex'!G13</f>
        <v>0</v>
      </c>
      <c r="G13" s="1138">
        <f>'3-A. CI Sub-Annex'!H13</f>
        <v>0</v>
      </c>
      <c r="H13" s="1138">
        <f>'3-A. CI Sub-Annex'!I13</f>
        <v>0</v>
      </c>
      <c r="I13" s="1138">
        <f>'3-A. CI Sub-Annex'!J13</f>
        <v>0</v>
      </c>
      <c r="J13" s="1138">
        <f>'3-A. CI Sub-Annex'!K13</f>
        <v>0</v>
      </c>
      <c r="K13" s="1138">
        <f>'3-A. CI Sub-Annex'!L13</f>
        <v>0</v>
      </c>
      <c r="L13" s="1138">
        <f>'3-A. CI Sub-Annex'!M13</f>
        <v>0</v>
      </c>
      <c r="M13" s="178">
        <f>'3-A. CI Sub-Annex'!N13</f>
        <v>0</v>
      </c>
      <c r="N13" s="1138">
        <f>'3-A. CI Sub-Annex'!O13</f>
        <v>0</v>
      </c>
      <c r="O13" s="178">
        <f>'3-A. CI Sub-Annex'!P13</f>
        <v>0</v>
      </c>
      <c r="P13" s="441">
        <f>'3-A. CI Sub-Annex'!Q13</f>
        <v>0</v>
      </c>
      <c r="Q13" s="3342">
        <f>'Ab1. RMNCH+A'!Q114</f>
        <v>0</v>
      </c>
      <c r="R13" s="160">
        <f>'Ab1. RMNCH+A'!R114</f>
        <v>0</v>
      </c>
    </row>
    <row r="14" spans="1:18" x14ac:dyDescent="0.2">
      <c r="A14" s="1138">
        <f>'3-A. CI Sub-Annex'!A14</f>
        <v>2</v>
      </c>
      <c r="B14" s="1138" t="str">
        <f>'3-A. CI Sub-Annex'!C14</f>
        <v>B1.1.3.2.1</v>
      </c>
      <c r="C14" s="441" t="str">
        <f>'3-A. CI Sub-Annex'!D14</f>
        <v>Incentive for Home Based New-born Care programme</v>
      </c>
      <c r="D14" s="1129" t="str">
        <f>'3-A. CI Sub-Annex'!E14</f>
        <v>RCH</v>
      </c>
      <c r="E14" s="1138" t="str">
        <f>'3-A. CI Sub-Annex'!F14</f>
        <v>CH/NHSRC-CP</v>
      </c>
      <c r="F14" s="1138">
        <f>'3-A. CI Sub-Annex'!G14</f>
        <v>0</v>
      </c>
      <c r="G14" s="1138">
        <f>'3-A. CI Sub-Annex'!H14</f>
        <v>0</v>
      </c>
      <c r="H14" s="1138">
        <f>'3-A. CI Sub-Annex'!I14</f>
        <v>0</v>
      </c>
      <c r="I14" s="1138">
        <f>'3-A. CI Sub-Annex'!J14</f>
        <v>0</v>
      </c>
      <c r="J14" s="1138">
        <f>'3-A. CI Sub-Annex'!K14</f>
        <v>0</v>
      </c>
      <c r="K14" s="1138">
        <f>'3-A. CI Sub-Annex'!L14</f>
        <v>0</v>
      </c>
      <c r="L14" s="1138">
        <f>'3-A. CI Sub-Annex'!M14</f>
        <v>0</v>
      </c>
      <c r="M14" s="178">
        <f>'3-A. CI Sub-Annex'!N14</f>
        <v>0</v>
      </c>
      <c r="N14" s="1138">
        <f>'3-A. CI Sub-Annex'!O14</f>
        <v>0</v>
      </c>
      <c r="O14" s="178">
        <f>'3-A. CI Sub-Annex'!P14</f>
        <v>0</v>
      </c>
      <c r="P14" s="441">
        <f>'3-A. CI Sub-Annex'!Q14</f>
        <v>0</v>
      </c>
      <c r="Q14" s="3342">
        <f>'Ab1. RMNCH+A'!Q115</f>
        <v>0</v>
      </c>
      <c r="R14" s="160">
        <f>'Ab1. RMNCH+A'!R115</f>
        <v>0</v>
      </c>
    </row>
    <row r="15" spans="1:18" ht="30" x14ac:dyDescent="0.2">
      <c r="A15" s="1138">
        <f>'3-A. CI Sub-Annex'!A15</f>
        <v>3</v>
      </c>
      <c r="B15" s="1138" t="str">
        <f>'3-A. CI Sub-Annex'!C15</f>
        <v>B1.1.3.2.2</v>
      </c>
      <c r="C15" s="441" t="str">
        <f>'3-A. CI Sub-Annex'!D15</f>
        <v>Incentive to ASHA for follow up of SNCU discharge babies and for follow up of LBW babies</v>
      </c>
      <c r="D15" s="1129" t="str">
        <f>'3-A. CI Sub-Annex'!E15</f>
        <v>RCH</v>
      </c>
      <c r="E15" s="1138" t="str">
        <f>'3-A. CI Sub-Annex'!F15</f>
        <v>CH/NHSRC-CP</v>
      </c>
      <c r="F15" s="1138">
        <f>'3-A. CI Sub-Annex'!G15</f>
        <v>0</v>
      </c>
      <c r="G15" s="1138">
        <f>'3-A. CI Sub-Annex'!H15</f>
        <v>0</v>
      </c>
      <c r="H15" s="1138">
        <f>'3-A. CI Sub-Annex'!I15</f>
        <v>0</v>
      </c>
      <c r="I15" s="1138">
        <f>'3-A. CI Sub-Annex'!J15</f>
        <v>0</v>
      </c>
      <c r="J15" s="1138">
        <f>'3-A. CI Sub-Annex'!K15</f>
        <v>0</v>
      </c>
      <c r="K15" s="1138">
        <f>'3-A. CI Sub-Annex'!L15</f>
        <v>0</v>
      </c>
      <c r="L15" s="1138">
        <f>'3-A. CI Sub-Annex'!M15</f>
        <v>0</v>
      </c>
      <c r="M15" s="178">
        <f>'3-A. CI Sub-Annex'!N15</f>
        <v>0</v>
      </c>
      <c r="N15" s="1138">
        <f>'3-A. CI Sub-Annex'!O15</f>
        <v>0</v>
      </c>
      <c r="O15" s="178">
        <f>'3-A. CI Sub-Annex'!P15</f>
        <v>0</v>
      </c>
      <c r="P15" s="441">
        <f>'3-A. CI Sub-Annex'!Q15</f>
        <v>0</v>
      </c>
      <c r="Q15" s="3342">
        <f>'Ab1. RMNCH+A'!Q116</f>
        <v>0</v>
      </c>
      <c r="R15" s="160">
        <f>'Ab1. RMNCH+A'!R116</f>
        <v>0</v>
      </c>
    </row>
    <row r="16" spans="1:18" ht="30" x14ac:dyDescent="0.2">
      <c r="A16" s="1138">
        <f>'3-A. CI Sub-Annex'!A16</f>
        <v>4</v>
      </c>
      <c r="B16" s="1138" t="str">
        <f>'3-A. CI Sub-Annex'!C16</f>
        <v>B1.1.3.2.4</v>
      </c>
      <c r="C16" s="441" t="str">
        <f>'3-A. CI Sub-Annex'!D16</f>
        <v>Incentive for referral of SAM cases to NRC and for follow up of discharge SAM children from NRCs</v>
      </c>
      <c r="D16" s="1129" t="str">
        <f>'3-A. CI Sub-Annex'!E16</f>
        <v>RCH</v>
      </c>
      <c r="E16" s="1138" t="str">
        <f>'3-A. CI Sub-Annex'!F16</f>
        <v>CH/NHSRC-CP</v>
      </c>
      <c r="F16" s="1138">
        <f>'3-A. CI Sub-Annex'!G16</f>
        <v>0</v>
      </c>
      <c r="G16" s="1138">
        <f>'3-A. CI Sub-Annex'!H16</f>
        <v>0</v>
      </c>
      <c r="H16" s="1138">
        <f>'3-A. CI Sub-Annex'!I16</f>
        <v>0</v>
      </c>
      <c r="I16" s="1138">
        <f>'3-A. CI Sub-Annex'!J16</f>
        <v>0</v>
      </c>
      <c r="J16" s="1138">
        <f>'3-A. CI Sub-Annex'!K16</f>
        <v>0</v>
      </c>
      <c r="K16" s="1138">
        <f>'3-A. CI Sub-Annex'!L16</f>
        <v>0</v>
      </c>
      <c r="L16" s="1138">
        <f>'3-A. CI Sub-Annex'!M16</f>
        <v>0</v>
      </c>
      <c r="M16" s="178">
        <f>'3-A. CI Sub-Annex'!N16</f>
        <v>0</v>
      </c>
      <c r="N16" s="1138">
        <f>'3-A. CI Sub-Annex'!O16</f>
        <v>0</v>
      </c>
      <c r="O16" s="178">
        <f>'3-A. CI Sub-Annex'!P16</f>
        <v>0</v>
      </c>
      <c r="P16" s="441">
        <f>'3-A. CI Sub-Annex'!Q16</f>
        <v>0</v>
      </c>
      <c r="Q16" s="3342">
        <f>'Ab1. RMNCH+A'!Q117</f>
        <v>0</v>
      </c>
      <c r="R16" s="160">
        <f>'Ab1. RMNCH+A'!R117</f>
        <v>0</v>
      </c>
    </row>
    <row r="17" spans="1:18" ht="30" x14ac:dyDescent="0.2">
      <c r="A17" s="1138">
        <f>'3-A. CI Sub-Annex'!A17</f>
        <v>5</v>
      </c>
      <c r="B17" s="1138" t="str">
        <f>'3-A. CI Sub-Annex'!C17</f>
        <v>B1.1.3.2.7</v>
      </c>
      <c r="C17" s="441" t="str">
        <f>'3-A. CI Sub-Annex'!D17</f>
        <v>Incentive for National Deworming Day  for mobilising out of school children</v>
      </c>
      <c r="D17" s="1129" t="str">
        <f>'3-A. CI Sub-Annex'!E17</f>
        <v>RCH</v>
      </c>
      <c r="E17" s="1138" t="str">
        <f>'3-A. CI Sub-Annex'!F17</f>
        <v>CH/NHSRC-CP</v>
      </c>
      <c r="F17" s="1138">
        <f>'3-A. CI Sub-Annex'!G17</f>
        <v>0</v>
      </c>
      <c r="G17" s="1138">
        <f>'3-A. CI Sub-Annex'!H17</f>
        <v>0</v>
      </c>
      <c r="H17" s="1138">
        <f>'3-A. CI Sub-Annex'!I17</f>
        <v>0</v>
      </c>
      <c r="I17" s="1138">
        <f>'3-A. CI Sub-Annex'!J17</f>
        <v>0</v>
      </c>
      <c r="J17" s="1138">
        <f>'3-A. CI Sub-Annex'!K17</f>
        <v>0</v>
      </c>
      <c r="K17" s="1138">
        <f>'3-A. CI Sub-Annex'!L17</f>
        <v>0</v>
      </c>
      <c r="L17" s="1138">
        <f>'3-A. CI Sub-Annex'!M17</f>
        <v>0</v>
      </c>
      <c r="M17" s="178">
        <f>'3-A. CI Sub-Annex'!N17</f>
        <v>0</v>
      </c>
      <c r="N17" s="1138">
        <f>'3-A. CI Sub-Annex'!O17</f>
        <v>0</v>
      </c>
      <c r="O17" s="178">
        <f>'3-A. CI Sub-Annex'!P17</f>
        <v>0</v>
      </c>
      <c r="P17" s="441">
        <f>'3-A. CI Sub-Annex'!Q17</f>
        <v>0</v>
      </c>
      <c r="Q17" s="3342">
        <f>'Ab1. RMNCH+A'!Q118</f>
        <v>0</v>
      </c>
      <c r="R17" s="160">
        <f>'Ab1. RMNCH+A'!R118</f>
        <v>0</v>
      </c>
    </row>
    <row r="18" spans="1:18" ht="30" x14ac:dyDescent="0.2">
      <c r="A18" s="1138">
        <f>'3-A. CI Sub-Annex'!A18</f>
        <v>6</v>
      </c>
      <c r="B18" s="1138" t="str">
        <f>'3-A. CI Sub-Annex'!C18</f>
        <v>B1.1.3.2.8</v>
      </c>
      <c r="C18" s="441" t="str">
        <f>'3-A. CI Sub-Annex'!D18</f>
        <v xml:space="preserve">Incentive for IDCF for prophylactic distribution of ORS  to family with under-five children. </v>
      </c>
      <c r="D18" s="1129" t="str">
        <f>'3-A. CI Sub-Annex'!E18</f>
        <v>RCH</v>
      </c>
      <c r="E18" s="1138" t="str">
        <f>'3-A. CI Sub-Annex'!F18</f>
        <v>CH/NHSRC-CP</v>
      </c>
      <c r="F18" s="1138">
        <f>'3-A. CI Sub-Annex'!G18</f>
        <v>0</v>
      </c>
      <c r="G18" s="1138">
        <f>'3-A. CI Sub-Annex'!H18</f>
        <v>0</v>
      </c>
      <c r="H18" s="1138">
        <f>'3-A. CI Sub-Annex'!I18</f>
        <v>0</v>
      </c>
      <c r="I18" s="1138">
        <f>'3-A. CI Sub-Annex'!J18</f>
        <v>0</v>
      </c>
      <c r="J18" s="1138">
        <f>'3-A. CI Sub-Annex'!K18</f>
        <v>0</v>
      </c>
      <c r="K18" s="1138">
        <f>'3-A. CI Sub-Annex'!L18</f>
        <v>0</v>
      </c>
      <c r="L18" s="1138">
        <f>'3-A. CI Sub-Annex'!M18</f>
        <v>0</v>
      </c>
      <c r="M18" s="178">
        <f>'3-A. CI Sub-Annex'!N18</f>
        <v>0</v>
      </c>
      <c r="N18" s="1138">
        <f>'3-A. CI Sub-Annex'!O18</f>
        <v>0</v>
      </c>
      <c r="O18" s="178">
        <f>'3-A. CI Sub-Annex'!P18</f>
        <v>0</v>
      </c>
      <c r="P18" s="441">
        <f>'3-A. CI Sub-Annex'!Q18</f>
        <v>0</v>
      </c>
      <c r="Q18" s="3342">
        <f>'Ab1. RMNCH+A'!Q119</f>
        <v>0</v>
      </c>
      <c r="R18" s="160">
        <f>'Ab1. RMNCH+A'!R119</f>
        <v>0</v>
      </c>
    </row>
    <row r="19" spans="1:18" x14ac:dyDescent="0.2">
      <c r="A19" s="1138">
        <f>'3-A. CI Sub-Annex'!A19</f>
        <v>7</v>
      </c>
      <c r="B19" s="1138">
        <f>'3-A. CI Sub-Annex'!C19</f>
        <v>0</v>
      </c>
      <c r="C19" s="441" t="str">
        <f>'3-A. CI Sub-Annex'!D19</f>
        <v xml:space="preserve">Incentive to ASHA for quarterly visits under HBYC </v>
      </c>
      <c r="D19" s="1129" t="str">
        <f>'3-A. CI Sub-Annex'!E19</f>
        <v>RCH</v>
      </c>
      <c r="E19" s="1138" t="str">
        <f>'3-A. CI Sub-Annex'!F19</f>
        <v>CH/NHSRC-CP</v>
      </c>
      <c r="F19" s="1138">
        <f>'3-A. CI Sub-Annex'!G19</f>
        <v>0</v>
      </c>
      <c r="G19" s="1138">
        <f>'3-A. CI Sub-Annex'!H19</f>
        <v>0</v>
      </c>
      <c r="H19" s="1138">
        <f>'3-A. CI Sub-Annex'!I19</f>
        <v>0</v>
      </c>
      <c r="I19" s="1138">
        <f>'3-A. CI Sub-Annex'!J19</f>
        <v>0</v>
      </c>
      <c r="J19" s="1138">
        <f>'3-A. CI Sub-Annex'!K19</f>
        <v>0</v>
      </c>
      <c r="K19" s="1138">
        <f>'3-A. CI Sub-Annex'!L19</f>
        <v>0</v>
      </c>
      <c r="L19" s="1138">
        <f>'3-A. CI Sub-Annex'!M19</f>
        <v>0</v>
      </c>
      <c r="M19" s="178">
        <f>'3-A. CI Sub-Annex'!N19</f>
        <v>0</v>
      </c>
      <c r="N19" s="1138">
        <f>'3-A. CI Sub-Annex'!O19</f>
        <v>0</v>
      </c>
      <c r="O19" s="178">
        <f>'3-A. CI Sub-Annex'!P19</f>
        <v>0</v>
      </c>
      <c r="P19" s="441">
        <f>'3-A. CI Sub-Annex'!Q19</f>
        <v>0</v>
      </c>
      <c r="Q19" s="3342">
        <f>'Ab1. RMNCH+A'!Q120</f>
        <v>0</v>
      </c>
      <c r="R19" s="160">
        <f>'Ab1. RMNCH+A'!R120</f>
        <v>0</v>
      </c>
    </row>
    <row r="20" spans="1:18" x14ac:dyDescent="0.2">
      <c r="A20" s="1954" t="str">
        <f>'3.Community Intervention Annexn'!A13</f>
        <v>3.1.1.1.3</v>
      </c>
      <c r="B20" s="1954">
        <f>'3-A. CI Sub-Annex'!C20</f>
        <v>0</v>
      </c>
      <c r="C20" s="1955" t="str">
        <f>'3-A. CI Sub-Annex'!D20</f>
        <v>Incentive for Immunization Services</v>
      </c>
      <c r="D20" s="1954"/>
      <c r="E20" s="1954"/>
      <c r="F20" s="1954"/>
      <c r="G20" s="1954"/>
      <c r="H20" s="1956"/>
      <c r="I20" s="1954"/>
      <c r="J20" s="1956"/>
      <c r="K20" s="1954"/>
      <c r="L20" s="1957"/>
      <c r="M20" s="1956"/>
      <c r="N20" s="1954"/>
      <c r="O20" s="1956"/>
      <c r="P20" s="1955"/>
      <c r="Q20" s="3339"/>
      <c r="R20" s="1964">
        <f>SUM(R21:R22)</f>
        <v>0</v>
      </c>
    </row>
    <row r="21" spans="1:18" x14ac:dyDescent="0.2">
      <c r="A21" s="1138">
        <f>'3-A. CI Sub-Annex'!A21</f>
        <v>1</v>
      </c>
      <c r="B21" s="1138" t="str">
        <f>'3-A. CI Sub-Annex'!C21</f>
        <v>C.5</v>
      </c>
      <c r="C21" s="441" t="str">
        <f>'3-A. CI Sub-Annex'!D21</f>
        <v>ASHA Incentive under Immunization</v>
      </c>
      <c r="D21" s="1129" t="str">
        <f>'3-A. CI Sub-Annex'!E21</f>
        <v>RCH</v>
      </c>
      <c r="E21" s="1138" t="str">
        <f>'3-A. CI Sub-Annex'!F21</f>
        <v>RI/NHSRC-CP</v>
      </c>
      <c r="F21" s="1138">
        <f>'3-A. CI Sub-Annex'!G21</f>
        <v>0</v>
      </c>
      <c r="G21" s="1138">
        <f>'3-A. CI Sub-Annex'!H21</f>
        <v>0</v>
      </c>
      <c r="H21" s="1138">
        <f>'3-A. CI Sub-Annex'!I21</f>
        <v>0</v>
      </c>
      <c r="I21" s="1138">
        <f>'3-A. CI Sub-Annex'!J21</f>
        <v>0</v>
      </c>
      <c r="J21" s="1138">
        <f>'3-A. CI Sub-Annex'!K21</f>
        <v>0</v>
      </c>
      <c r="K21" s="1138">
        <f>'3-A. CI Sub-Annex'!L21</f>
        <v>0</v>
      </c>
      <c r="L21" s="1138">
        <f>'3-A. CI Sub-Annex'!M21</f>
        <v>0</v>
      </c>
      <c r="M21" s="178">
        <f>'3-A. CI Sub-Annex'!N21</f>
        <v>0</v>
      </c>
      <c r="N21" s="1138">
        <f>'3-A. CI Sub-Annex'!O21</f>
        <v>0</v>
      </c>
      <c r="O21" s="178">
        <f>'3-A. CI Sub-Annex'!P21</f>
        <v>0</v>
      </c>
      <c r="P21" s="441">
        <f>'3-A. CI Sub-Annex'!Q21</f>
        <v>0</v>
      </c>
      <c r="Q21" s="3342">
        <f>'Ab1. RMNCH+A'!Q405</f>
        <v>0</v>
      </c>
      <c r="R21" s="1827">
        <f>'Ab1. RMNCH+A'!R405</f>
        <v>0</v>
      </c>
    </row>
    <row r="22" spans="1:18" ht="30" x14ac:dyDescent="0.2">
      <c r="A22" s="1138">
        <f>'3-A. CI Sub-Annex'!A22</f>
        <v>2</v>
      </c>
      <c r="B22" s="1138" t="str">
        <f>'3-A. CI Sub-Annex'!C22</f>
        <v>C.1.g</v>
      </c>
      <c r="C22" s="441" t="str">
        <f>'3-A. CI Sub-Annex'!D22</f>
        <v>Mobilization of children through ASHA or other mobilizers</v>
      </c>
      <c r="D22" s="1129" t="str">
        <f>'3-A. CI Sub-Annex'!E22</f>
        <v>RCH</v>
      </c>
      <c r="E22" s="1138" t="str">
        <f>'3-A. CI Sub-Annex'!F22</f>
        <v>RI/NHSRC-CP</v>
      </c>
      <c r="F22" s="1138">
        <f>'3-A. CI Sub-Annex'!G22</f>
        <v>0</v>
      </c>
      <c r="G22" s="1138">
        <f>'3-A. CI Sub-Annex'!H22</f>
        <v>0</v>
      </c>
      <c r="H22" s="1138">
        <f>'3-A. CI Sub-Annex'!I22</f>
        <v>0</v>
      </c>
      <c r="I22" s="1138">
        <f>'3-A. CI Sub-Annex'!J22</f>
        <v>0</v>
      </c>
      <c r="J22" s="1138">
        <f>'3-A. CI Sub-Annex'!K22</f>
        <v>0</v>
      </c>
      <c r="K22" s="1138">
        <f>'3-A. CI Sub-Annex'!L22</f>
        <v>0</v>
      </c>
      <c r="L22" s="1138">
        <f>'3-A. CI Sub-Annex'!M22</f>
        <v>0</v>
      </c>
      <c r="M22" s="178">
        <f>'3-A. CI Sub-Annex'!N22</f>
        <v>0</v>
      </c>
      <c r="N22" s="1138">
        <f>'3-A. CI Sub-Annex'!O22</f>
        <v>0</v>
      </c>
      <c r="O22" s="178">
        <f>'3-A. CI Sub-Annex'!P22</f>
        <v>0</v>
      </c>
      <c r="P22" s="441">
        <f>'3-A. CI Sub-Annex'!Q22</f>
        <v>0</v>
      </c>
      <c r="Q22" s="3342">
        <f>'Ab1. RMNCH+A'!Q406</f>
        <v>0</v>
      </c>
      <c r="R22" s="1827">
        <f>'Ab1. RMNCH+A'!R406</f>
        <v>0</v>
      </c>
    </row>
    <row r="23" spans="1:18" x14ac:dyDescent="0.2">
      <c r="A23" s="1954" t="str">
        <f>'3.Community Intervention Annexn'!A14</f>
        <v>3.1.1.1.4</v>
      </c>
      <c r="B23" s="1954">
        <f>'3-A. CI Sub-Annex'!C23</f>
        <v>0</v>
      </c>
      <c r="C23" s="1955" t="str">
        <f>'3-A. CI Sub-Annex'!D23</f>
        <v>Incentive for FP Services</v>
      </c>
      <c r="D23" s="1954"/>
      <c r="E23" s="1954"/>
      <c r="F23" s="1954"/>
      <c r="G23" s="1954"/>
      <c r="H23" s="1954"/>
      <c r="I23" s="1954"/>
      <c r="J23" s="1954"/>
      <c r="K23" s="1954"/>
      <c r="L23" s="1954"/>
      <c r="M23" s="1956"/>
      <c r="N23" s="1954"/>
      <c r="O23" s="1956"/>
      <c r="P23" s="1955"/>
      <c r="Q23" s="3339"/>
      <c r="R23" s="1964">
        <f>SUM(R24:R32)</f>
        <v>0</v>
      </c>
    </row>
    <row r="24" spans="1:18" x14ac:dyDescent="0.2">
      <c r="A24" s="1138">
        <f>'3-A. CI Sub-Annex'!A24</f>
        <v>1</v>
      </c>
      <c r="B24" s="1138" t="str">
        <f>'3-A. CI Sub-Annex'!C24</f>
        <v>A.3.7.1</v>
      </c>
      <c r="C24" s="441" t="str">
        <f>'3-A. CI Sub-Annex'!D24</f>
        <v>ASHA Incentives under Saas Bahu Sammellan</v>
      </c>
      <c r="D24" s="1129" t="str">
        <f>'3-A. CI Sub-Annex'!E24</f>
        <v>RCH</v>
      </c>
      <c r="E24" s="1138" t="str">
        <f>'3-A. CI Sub-Annex'!F24</f>
        <v>FP/NHSRC-CP</v>
      </c>
      <c r="F24" s="1138">
        <f>'3-A. CI Sub-Annex'!G24</f>
        <v>0</v>
      </c>
      <c r="G24" s="1138">
        <f>'3-A. CI Sub-Annex'!H24</f>
        <v>0</v>
      </c>
      <c r="H24" s="1138">
        <f>'3-A. CI Sub-Annex'!I24</f>
        <v>0</v>
      </c>
      <c r="I24" s="1138">
        <f>'3-A. CI Sub-Annex'!J24</f>
        <v>0</v>
      </c>
      <c r="J24" s="1138">
        <f>'3-A. CI Sub-Annex'!K24</f>
        <v>0</v>
      </c>
      <c r="K24" s="1138">
        <f>'3-A. CI Sub-Annex'!L24</f>
        <v>0</v>
      </c>
      <c r="L24" s="1138">
        <f>'3-A. CI Sub-Annex'!M24</f>
        <v>0</v>
      </c>
      <c r="M24" s="178">
        <f>'3-A. CI Sub-Annex'!N24</f>
        <v>0</v>
      </c>
      <c r="N24" s="1138">
        <f>'3-A. CI Sub-Annex'!O24</f>
        <v>0</v>
      </c>
      <c r="O24" s="178">
        <f>'3-A. CI Sub-Annex'!P24</f>
        <v>0</v>
      </c>
      <c r="P24" s="441">
        <f>'3-A. CI Sub-Annex'!Q24</f>
        <v>0</v>
      </c>
      <c r="Q24" s="3342">
        <f>'Ab1. RMNCH+A'!Q214</f>
        <v>0</v>
      </c>
      <c r="R24" s="1827">
        <f>'Ab1. RMNCH+A'!R214</f>
        <v>0</v>
      </c>
    </row>
    <row r="25" spans="1:18" x14ac:dyDescent="0.2">
      <c r="A25" s="1138">
        <f>'3-A. CI Sub-Annex'!A25</f>
        <v>2</v>
      </c>
      <c r="B25" s="1138" t="str">
        <f>'3-A. CI Sub-Annex'!C25</f>
        <v>A.3.7.2</v>
      </c>
      <c r="C25" s="441" t="str">
        <f>'3-A. CI Sub-Annex'!D25</f>
        <v>ASHA Incentives under Nayi Pehl Kit</v>
      </c>
      <c r="D25" s="1129" t="str">
        <f>'3-A. CI Sub-Annex'!E25</f>
        <v>RCH</v>
      </c>
      <c r="E25" s="1138" t="str">
        <f>'3-A. CI Sub-Annex'!F25</f>
        <v>FP/NHSRC-CP</v>
      </c>
      <c r="F25" s="1138">
        <f>'3-A. CI Sub-Annex'!G25</f>
        <v>0</v>
      </c>
      <c r="G25" s="1138">
        <f>'3-A. CI Sub-Annex'!H25</f>
        <v>0</v>
      </c>
      <c r="H25" s="1138">
        <f>'3-A. CI Sub-Annex'!I25</f>
        <v>0</v>
      </c>
      <c r="I25" s="1138">
        <f>'3-A. CI Sub-Annex'!J25</f>
        <v>0</v>
      </c>
      <c r="J25" s="1138">
        <f>'3-A. CI Sub-Annex'!K25</f>
        <v>0</v>
      </c>
      <c r="K25" s="1138">
        <f>'3-A. CI Sub-Annex'!L25</f>
        <v>0</v>
      </c>
      <c r="L25" s="1138">
        <f>'3-A. CI Sub-Annex'!M25</f>
        <v>0</v>
      </c>
      <c r="M25" s="178">
        <f>'3-A. CI Sub-Annex'!N25</f>
        <v>0</v>
      </c>
      <c r="N25" s="1138">
        <f>'3-A. CI Sub-Annex'!O25</f>
        <v>0</v>
      </c>
      <c r="O25" s="178">
        <f>'3-A. CI Sub-Annex'!P25</f>
        <v>0</v>
      </c>
      <c r="P25" s="441">
        <f>'3-A. CI Sub-Annex'!Q25</f>
        <v>0</v>
      </c>
      <c r="Q25" s="3342">
        <f>'Ab1. RMNCH+A'!Q215</f>
        <v>0</v>
      </c>
      <c r="R25" s="1827">
        <f>'Ab1. RMNCH+A'!R215</f>
        <v>0</v>
      </c>
    </row>
    <row r="26" spans="1:18" ht="30" x14ac:dyDescent="0.2">
      <c r="A26" s="1138">
        <f>'3-A. CI Sub-Annex'!A26</f>
        <v>3</v>
      </c>
      <c r="B26" s="1138">
        <f>'3-A. CI Sub-Annex'!C26</f>
        <v>0</v>
      </c>
      <c r="C26" s="441" t="str">
        <f>'3-A. CI Sub-Annex'!D26</f>
        <v>ASHA incentive for updation of EC survey before each MPV campaign</v>
      </c>
      <c r="D26" s="1129" t="str">
        <f>'3-A. CI Sub-Annex'!E26</f>
        <v>RCH</v>
      </c>
      <c r="E26" s="1138" t="str">
        <f>'3-A. CI Sub-Annex'!F26</f>
        <v>FP/NHSRC-CP</v>
      </c>
      <c r="F26" s="1138">
        <f>'3-A. CI Sub-Annex'!G26</f>
        <v>0</v>
      </c>
      <c r="G26" s="1138">
        <f>'3-A. CI Sub-Annex'!H26</f>
        <v>0</v>
      </c>
      <c r="H26" s="1138">
        <f>'3-A. CI Sub-Annex'!I26</f>
        <v>0</v>
      </c>
      <c r="I26" s="1138">
        <f>'3-A. CI Sub-Annex'!J26</f>
        <v>0</v>
      </c>
      <c r="J26" s="1138">
        <f>'3-A. CI Sub-Annex'!K26</f>
        <v>0</v>
      </c>
      <c r="K26" s="1138">
        <f>'3-A. CI Sub-Annex'!L26</f>
        <v>0</v>
      </c>
      <c r="L26" s="1138">
        <f>'3-A. CI Sub-Annex'!M26</f>
        <v>0</v>
      </c>
      <c r="M26" s="178">
        <f>'3-A. CI Sub-Annex'!N26</f>
        <v>0</v>
      </c>
      <c r="N26" s="1138">
        <f>'3-A. CI Sub-Annex'!O26</f>
        <v>0</v>
      </c>
      <c r="O26" s="178">
        <f>'3-A. CI Sub-Annex'!P26</f>
        <v>0</v>
      </c>
      <c r="P26" s="441">
        <f>'3-A. CI Sub-Annex'!Q26</f>
        <v>0</v>
      </c>
      <c r="Q26" s="3342">
        <f>'Ab1. RMNCH+A'!Q216</f>
        <v>0</v>
      </c>
      <c r="R26" s="1827">
        <f>'Ab1. RMNCH+A'!R216</f>
        <v>0</v>
      </c>
    </row>
    <row r="27" spans="1:18" ht="30" x14ac:dyDescent="0.2">
      <c r="A27" s="1138">
        <f>'3-A. CI Sub-Annex'!A27</f>
        <v>4</v>
      </c>
      <c r="B27" s="1138" t="str">
        <f>'3-A. CI Sub-Annex'!C27</f>
        <v>B1.1.3.3.1</v>
      </c>
      <c r="C27" s="441" t="str">
        <f>'3-A. CI Sub-Annex'!D27</f>
        <v>ASHA PPIUCD incentive for accompanying the client for PPIUCD insertion (@ Rs. 150/ASHA/insertion)</v>
      </c>
      <c r="D27" s="1129" t="str">
        <f>'3-A. CI Sub-Annex'!E27</f>
        <v>RCH</v>
      </c>
      <c r="E27" s="1138" t="str">
        <f>'3-A. CI Sub-Annex'!F27</f>
        <v>FP/NHSRC-CP</v>
      </c>
      <c r="F27" s="1138">
        <f>'3-A. CI Sub-Annex'!G27</f>
        <v>0</v>
      </c>
      <c r="G27" s="1138">
        <f>'3-A. CI Sub-Annex'!H27</f>
        <v>0</v>
      </c>
      <c r="H27" s="1138">
        <f>'3-A. CI Sub-Annex'!I27</f>
        <v>0</v>
      </c>
      <c r="I27" s="1138">
        <f>'3-A. CI Sub-Annex'!J27</f>
        <v>0</v>
      </c>
      <c r="J27" s="1138">
        <f>'3-A. CI Sub-Annex'!K27</f>
        <v>0</v>
      </c>
      <c r="K27" s="1138">
        <f>'3-A. CI Sub-Annex'!L27</f>
        <v>0</v>
      </c>
      <c r="L27" s="1138">
        <f>'3-A. CI Sub-Annex'!M27</f>
        <v>0</v>
      </c>
      <c r="M27" s="178">
        <f>'3-A. CI Sub-Annex'!N27</f>
        <v>0</v>
      </c>
      <c r="N27" s="1138">
        <f>'3-A. CI Sub-Annex'!O27</f>
        <v>0</v>
      </c>
      <c r="O27" s="178">
        <f>'3-A. CI Sub-Annex'!P27</f>
        <v>0</v>
      </c>
      <c r="P27" s="441">
        <f>'3-A. CI Sub-Annex'!Q27</f>
        <v>0</v>
      </c>
      <c r="Q27" s="3342">
        <f>'Ab1. RMNCH+A'!Q217</f>
        <v>0</v>
      </c>
      <c r="R27" s="1827">
        <f>'Ab1. RMNCH+A'!R217</f>
        <v>0</v>
      </c>
    </row>
    <row r="28" spans="1:18" ht="30" x14ac:dyDescent="0.2">
      <c r="A28" s="1138">
        <f>'3-A. CI Sub-Annex'!A28</f>
        <v>5</v>
      </c>
      <c r="B28" s="1138" t="str">
        <f>'3-A. CI Sub-Annex'!C28</f>
        <v>B1.1.3.3.2</v>
      </c>
      <c r="C28" s="441" t="str">
        <f>'3-A. CI Sub-Annex'!D28</f>
        <v>ASHA PAIUCD incentive for accompanying the client for PAIUCD insertion (@ Rs. 150/ASHA/insertion)</v>
      </c>
      <c r="D28" s="1129" t="str">
        <f>'3-A. CI Sub-Annex'!E28</f>
        <v>RCH</v>
      </c>
      <c r="E28" s="1138" t="str">
        <f>'3-A. CI Sub-Annex'!F28</f>
        <v>FP/NHSRC-CP</v>
      </c>
      <c r="F28" s="1138">
        <f>'3-A. CI Sub-Annex'!G28</f>
        <v>0</v>
      </c>
      <c r="G28" s="1138">
        <f>'3-A. CI Sub-Annex'!H28</f>
        <v>0</v>
      </c>
      <c r="H28" s="1138">
        <f>'3-A. CI Sub-Annex'!I28</f>
        <v>0</v>
      </c>
      <c r="I28" s="1138">
        <f>'3-A. CI Sub-Annex'!J28</f>
        <v>0</v>
      </c>
      <c r="J28" s="1138">
        <f>'3-A. CI Sub-Annex'!K28</f>
        <v>0</v>
      </c>
      <c r="K28" s="1138">
        <f>'3-A. CI Sub-Annex'!L28</f>
        <v>0</v>
      </c>
      <c r="L28" s="1138">
        <f>'3-A. CI Sub-Annex'!M28</f>
        <v>0</v>
      </c>
      <c r="M28" s="178">
        <f>'3-A. CI Sub-Annex'!N28</f>
        <v>0</v>
      </c>
      <c r="N28" s="1138">
        <f>'3-A. CI Sub-Annex'!O28</f>
        <v>0</v>
      </c>
      <c r="O28" s="178">
        <f>'3-A. CI Sub-Annex'!P28</f>
        <v>0</v>
      </c>
      <c r="P28" s="441">
        <f>'3-A. CI Sub-Annex'!Q28</f>
        <v>0</v>
      </c>
      <c r="Q28" s="3342">
        <f>'Ab1. RMNCH+A'!Q218</f>
        <v>0</v>
      </c>
      <c r="R28" s="1827">
        <f>'Ab1. RMNCH+A'!R218</f>
        <v>0</v>
      </c>
    </row>
    <row r="29" spans="1:18" ht="30" x14ac:dyDescent="0.2">
      <c r="A29" s="1138">
        <f>'3-A. CI Sub-Annex'!A29</f>
        <v>6</v>
      </c>
      <c r="B29" s="1138" t="str">
        <f>'3-A. CI Sub-Annex'!C29</f>
        <v>B1.1.3.3.3</v>
      </c>
      <c r="C29" s="441" t="str">
        <f>'3-A. CI Sub-Annex'!D29</f>
        <v>ASHA incentive under ESB scheme for promoting spacing of births</v>
      </c>
      <c r="D29" s="1129" t="str">
        <f>'3-A. CI Sub-Annex'!E29</f>
        <v>RCH</v>
      </c>
      <c r="E29" s="1138" t="str">
        <f>'3-A. CI Sub-Annex'!F29</f>
        <v>FP/NHSRC-CP</v>
      </c>
      <c r="F29" s="1138">
        <f>'3-A. CI Sub-Annex'!G29</f>
        <v>0</v>
      </c>
      <c r="G29" s="1138">
        <f>'3-A. CI Sub-Annex'!H29</f>
        <v>0</v>
      </c>
      <c r="H29" s="1138">
        <f>'3-A. CI Sub-Annex'!I29</f>
        <v>0</v>
      </c>
      <c r="I29" s="1138">
        <f>'3-A. CI Sub-Annex'!J29</f>
        <v>0</v>
      </c>
      <c r="J29" s="1138">
        <f>'3-A. CI Sub-Annex'!K29</f>
        <v>0</v>
      </c>
      <c r="K29" s="1138">
        <f>'3-A. CI Sub-Annex'!L29</f>
        <v>0</v>
      </c>
      <c r="L29" s="1138">
        <f>'3-A. CI Sub-Annex'!M29</f>
        <v>0</v>
      </c>
      <c r="M29" s="178">
        <f>'3-A. CI Sub-Annex'!N29</f>
        <v>0</v>
      </c>
      <c r="N29" s="1138">
        <f>'3-A. CI Sub-Annex'!O29</f>
        <v>0</v>
      </c>
      <c r="O29" s="178">
        <f>'3-A. CI Sub-Annex'!P29</f>
        <v>0</v>
      </c>
      <c r="P29" s="441">
        <f>'3-A. CI Sub-Annex'!Q29</f>
        <v>0</v>
      </c>
      <c r="Q29" s="3342">
        <f>'Ab1. RMNCH+A'!Q219</f>
        <v>0</v>
      </c>
      <c r="R29" s="1827">
        <f>'Ab1. RMNCH+A'!R219</f>
        <v>0</v>
      </c>
    </row>
    <row r="30" spans="1:18" ht="30" x14ac:dyDescent="0.2">
      <c r="A30" s="1138">
        <f>'3-A. CI Sub-Annex'!A30</f>
        <v>7</v>
      </c>
      <c r="B30" s="1138" t="str">
        <f>'3-A. CI Sub-Annex'!C30</f>
        <v>B1.1.3.3.4</v>
      </c>
      <c r="C30" s="441" t="str">
        <f>'3-A. CI Sub-Annex'!D30</f>
        <v>ASHA Incentive under ESB scheme for promoting adoption of limiting method up to two children</v>
      </c>
      <c r="D30" s="1129" t="str">
        <f>'3-A. CI Sub-Annex'!E30</f>
        <v>RCH</v>
      </c>
      <c r="E30" s="1138" t="str">
        <f>'3-A. CI Sub-Annex'!F30</f>
        <v>FP/NHSRC-CP</v>
      </c>
      <c r="F30" s="1138">
        <f>'3-A. CI Sub-Annex'!G30</f>
        <v>0</v>
      </c>
      <c r="G30" s="1138">
        <f>'3-A. CI Sub-Annex'!H30</f>
        <v>0</v>
      </c>
      <c r="H30" s="1138">
        <f>'3-A. CI Sub-Annex'!I30</f>
        <v>0</v>
      </c>
      <c r="I30" s="1138">
        <f>'3-A. CI Sub-Annex'!J30</f>
        <v>0</v>
      </c>
      <c r="J30" s="1138">
        <f>'3-A. CI Sub-Annex'!K30</f>
        <v>0</v>
      </c>
      <c r="K30" s="1138">
        <f>'3-A. CI Sub-Annex'!L30</f>
        <v>0</v>
      </c>
      <c r="L30" s="1138">
        <f>'3-A. CI Sub-Annex'!M30</f>
        <v>0</v>
      </c>
      <c r="M30" s="178">
        <f>'3-A. CI Sub-Annex'!N30</f>
        <v>0</v>
      </c>
      <c r="N30" s="1138">
        <f>'3-A. CI Sub-Annex'!O30</f>
        <v>0</v>
      </c>
      <c r="O30" s="178">
        <f>'3-A. CI Sub-Annex'!P30</f>
        <v>0</v>
      </c>
      <c r="P30" s="441">
        <f>'3-A. CI Sub-Annex'!Q30</f>
        <v>0</v>
      </c>
      <c r="Q30" s="3342">
        <f>'Ab1. RMNCH+A'!Q220</f>
        <v>0</v>
      </c>
      <c r="R30" s="1827">
        <f>'Ab1. RMNCH+A'!R220</f>
        <v>0</v>
      </c>
    </row>
    <row r="31" spans="1:18" ht="60" x14ac:dyDescent="0.2">
      <c r="A31" s="1138">
        <f>'3-A. CI Sub-Annex'!A31</f>
        <v>8</v>
      </c>
      <c r="B31" s="1138" t="str">
        <f>'3-A. CI Sub-Annex'!C31</f>
        <v>A.3.7.3/ 3.1.1.2.8</v>
      </c>
      <c r="C31" s="441" t="str">
        <f>'3-A. CI Sub-Annex'!D31</f>
        <v>ASHA incentive for accompanying the client for Injectable MPA (Antara Prog) administration ( @Rs 100/dose/beneficiary)- Only for 146 Mission Parivar Vikas districts</v>
      </c>
      <c r="D31" s="1129" t="str">
        <f>'3-A. CI Sub-Annex'!E31</f>
        <v>RCH</v>
      </c>
      <c r="E31" s="1138" t="str">
        <f>'3-A. CI Sub-Annex'!F31</f>
        <v>FP/ RC-CP</v>
      </c>
      <c r="F31" s="1138">
        <f>'3-A. CI Sub-Annex'!G31</f>
        <v>0</v>
      </c>
      <c r="G31" s="1138">
        <f>'3-A. CI Sub-Annex'!H31</f>
        <v>0</v>
      </c>
      <c r="H31" s="1138">
        <f>'3-A. CI Sub-Annex'!I31</f>
        <v>0</v>
      </c>
      <c r="I31" s="1138">
        <f>'3-A. CI Sub-Annex'!J31</f>
        <v>0</v>
      </c>
      <c r="J31" s="1138">
        <f>'3-A. CI Sub-Annex'!K31</f>
        <v>0</v>
      </c>
      <c r="K31" s="1138">
        <f>'3-A. CI Sub-Annex'!L31</f>
        <v>0</v>
      </c>
      <c r="L31" s="1138">
        <f>'3-A. CI Sub-Annex'!M31</f>
        <v>0</v>
      </c>
      <c r="M31" s="178">
        <f>'3-A. CI Sub-Annex'!N31</f>
        <v>0</v>
      </c>
      <c r="N31" s="1138">
        <f>'3-A. CI Sub-Annex'!O31</f>
        <v>0</v>
      </c>
      <c r="O31" s="178">
        <f>'3-A. CI Sub-Annex'!P31</f>
        <v>0</v>
      </c>
      <c r="P31" s="441">
        <f>'3-A. CI Sub-Annex'!Q31</f>
        <v>0</v>
      </c>
      <c r="Q31" s="3342">
        <f>'Ab1. RMNCH+A'!Q221</f>
        <v>0</v>
      </c>
      <c r="R31" s="1827">
        <f>'Ab1. RMNCH+A'!R221</f>
        <v>0</v>
      </c>
    </row>
    <row r="32" spans="1:18" x14ac:dyDescent="0.2">
      <c r="A32" s="1138">
        <f>'3-A. CI Sub-Annex'!A32</f>
        <v>9</v>
      </c>
      <c r="B32" s="1138">
        <f>'3-A. CI Sub-Annex'!C32</f>
        <v>0</v>
      </c>
      <c r="C32" s="441" t="str">
        <f>'3-A. CI Sub-Annex'!D32</f>
        <v>Any other ASHA incentives (please specify)</v>
      </c>
      <c r="D32" s="1129" t="str">
        <f>'3-A. CI Sub-Annex'!E32</f>
        <v>RCH</v>
      </c>
      <c r="E32" s="1138" t="str">
        <f>'3-A. CI Sub-Annex'!F32</f>
        <v>FP/ RC-CP</v>
      </c>
      <c r="F32" s="1138">
        <f>'3-A. CI Sub-Annex'!G32</f>
        <v>0</v>
      </c>
      <c r="G32" s="1138">
        <f>'3-A. CI Sub-Annex'!H32</f>
        <v>0</v>
      </c>
      <c r="H32" s="1138">
        <f>'3-A. CI Sub-Annex'!I32</f>
        <v>0</v>
      </c>
      <c r="I32" s="1138">
        <f>'3-A. CI Sub-Annex'!J32</f>
        <v>0</v>
      </c>
      <c r="J32" s="1138">
        <f>'3-A. CI Sub-Annex'!K32</f>
        <v>0</v>
      </c>
      <c r="K32" s="1138">
        <f>'3-A. CI Sub-Annex'!L32</f>
        <v>0</v>
      </c>
      <c r="L32" s="1138">
        <f>'3-A. CI Sub-Annex'!M32</f>
        <v>0</v>
      </c>
      <c r="M32" s="178">
        <f>'3-A. CI Sub-Annex'!N32</f>
        <v>0</v>
      </c>
      <c r="N32" s="1138">
        <f>'3-A. CI Sub-Annex'!O32</f>
        <v>0</v>
      </c>
      <c r="O32" s="178">
        <f>'3-A. CI Sub-Annex'!P32</f>
        <v>0</v>
      </c>
      <c r="P32" s="441">
        <f>'3-A. CI Sub-Annex'!Q32</f>
        <v>0</v>
      </c>
      <c r="Q32" s="3342">
        <f>'Ab1. RMNCH+A'!Q222</f>
        <v>0</v>
      </c>
      <c r="R32" s="1827">
        <f>'Ab1. RMNCH+A'!R222</f>
        <v>0</v>
      </c>
    </row>
    <row r="33" spans="1:18" x14ac:dyDescent="0.2">
      <c r="A33" s="1954" t="str">
        <f>'3.Community Intervention Annexn'!A15</f>
        <v>3.1.1.1.5</v>
      </c>
      <c r="B33" s="1954">
        <f>'3-A. CI Sub-Annex'!C33</f>
        <v>0</v>
      </c>
      <c r="C33" s="1955" t="str">
        <f>'3-A. CI Sub-Annex'!D33</f>
        <v>Incentive for AH/ RKSK Services</v>
      </c>
      <c r="D33" s="1954"/>
      <c r="E33" s="1954"/>
      <c r="F33" s="1954"/>
      <c r="G33" s="1954"/>
      <c r="H33" s="1954"/>
      <c r="I33" s="1954"/>
      <c r="J33" s="1954"/>
      <c r="K33" s="1954"/>
      <c r="L33" s="1954"/>
      <c r="M33" s="1956"/>
      <c r="N33" s="1954"/>
      <c r="O33" s="1956"/>
      <c r="P33" s="1955"/>
      <c r="Q33" s="3339"/>
      <c r="R33" s="1964">
        <f>SUM(R34:R35)</f>
        <v>0</v>
      </c>
    </row>
    <row r="34" spans="1:18" x14ac:dyDescent="0.2">
      <c r="A34" s="1138">
        <f>'3-A. CI Sub-Annex'!A34</f>
        <v>1</v>
      </c>
      <c r="B34" s="1138" t="str">
        <f>'3-A. CI Sub-Annex'!C34</f>
        <v>B.1.1.3.4.1</v>
      </c>
      <c r="C34" s="441" t="str">
        <f>'3-A. CI Sub-Annex'!D34</f>
        <v>Incentive for support to Peer Educator</v>
      </c>
      <c r="D34" s="1129" t="str">
        <f>'3-A. CI Sub-Annex'!E34</f>
        <v>HSS</v>
      </c>
      <c r="E34" s="1138" t="str">
        <f>'3-A. CI Sub-Annex'!F34</f>
        <v>AH/NHSRC-CP</v>
      </c>
      <c r="F34" s="1138">
        <f>'3-A. CI Sub-Annex'!G34</f>
        <v>0</v>
      </c>
      <c r="G34" s="1138">
        <f>'3-A. CI Sub-Annex'!H34</f>
        <v>0</v>
      </c>
      <c r="H34" s="1138">
        <f>'3-A. CI Sub-Annex'!I34</f>
        <v>0</v>
      </c>
      <c r="I34" s="1138">
        <f>'3-A. CI Sub-Annex'!J34</f>
        <v>0</v>
      </c>
      <c r="J34" s="1138">
        <f>'3-A. CI Sub-Annex'!K34</f>
        <v>0</v>
      </c>
      <c r="K34" s="1138">
        <f>'3-A. CI Sub-Annex'!L34</f>
        <v>0</v>
      </c>
      <c r="L34" s="1138">
        <f>'3-A. CI Sub-Annex'!M34</f>
        <v>0</v>
      </c>
      <c r="M34" s="178">
        <f>'3-A. CI Sub-Annex'!N34</f>
        <v>0</v>
      </c>
      <c r="N34" s="1138">
        <f>'3-A. CI Sub-Annex'!O34</f>
        <v>0</v>
      </c>
      <c r="O34" s="178">
        <f>'3-A. CI Sub-Annex'!P34</f>
        <v>0</v>
      </c>
      <c r="P34" s="441">
        <f>'3-A. CI Sub-Annex'!Q34</f>
        <v>0</v>
      </c>
      <c r="Q34" s="3342">
        <f>'Ab1. RMNCH+A'!Q299</f>
        <v>0</v>
      </c>
      <c r="R34" s="1827">
        <f>'Ab1. RMNCH+A'!R299</f>
        <v>0</v>
      </c>
    </row>
    <row r="35" spans="1:18" ht="30" x14ac:dyDescent="0.2">
      <c r="A35" s="1138">
        <f>'3-A. CI Sub-Annex'!A35</f>
        <v>2</v>
      </c>
      <c r="B35" s="1138" t="str">
        <f>'3-A. CI Sub-Annex'!C35</f>
        <v>B.1.1.3.4.2</v>
      </c>
      <c r="C35" s="441" t="str">
        <f>'3-A. CI Sub-Annex'!D35</f>
        <v>Incentive for mobilizing adolescents  and community for AHD</v>
      </c>
      <c r="D35" s="1129" t="str">
        <f>'3-A. CI Sub-Annex'!E35</f>
        <v>HSS</v>
      </c>
      <c r="E35" s="1138" t="str">
        <f>'3-A. CI Sub-Annex'!F35</f>
        <v>AH/NHSRC-CP</v>
      </c>
      <c r="F35" s="1138">
        <f>'3-A. CI Sub-Annex'!G35</f>
        <v>0</v>
      </c>
      <c r="G35" s="1138">
        <f>'3-A. CI Sub-Annex'!H35</f>
        <v>0</v>
      </c>
      <c r="H35" s="1138">
        <f>'3-A. CI Sub-Annex'!I35</f>
        <v>0</v>
      </c>
      <c r="I35" s="1138">
        <f>'3-A. CI Sub-Annex'!J35</f>
        <v>0</v>
      </c>
      <c r="J35" s="1138">
        <f>'3-A. CI Sub-Annex'!K35</f>
        <v>0</v>
      </c>
      <c r="K35" s="1138">
        <f>'3-A. CI Sub-Annex'!L35</f>
        <v>0</v>
      </c>
      <c r="L35" s="1138">
        <f>'3-A. CI Sub-Annex'!M35</f>
        <v>0</v>
      </c>
      <c r="M35" s="178">
        <f>'3-A. CI Sub-Annex'!N35</f>
        <v>0</v>
      </c>
      <c r="N35" s="1138">
        <f>'3-A. CI Sub-Annex'!O35</f>
        <v>0</v>
      </c>
      <c r="O35" s="178">
        <f>'3-A. CI Sub-Annex'!P35</f>
        <v>0</v>
      </c>
      <c r="P35" s="441">
        <f>'3-A. CI Sub-Annex'!Q35</f>
        <v>0</v>
      </c>
      <c r="Q35" s="3342">
        <f>'Ab1. RMNCH+A'!Q300</f>
        <v>0</v>
      </c>
      <c r="R35" s="1827">
        <f>'Ab1. RMNCH+A'!R300</f>
        <v>0</v>
      </c>
    </row>
    <row r="36" spans="1:18" x14ac:dyDescent="0.2">
      <c r="A36" s="1954" t="str">
        <f>'3.Community Intervention Annexn'!A16</f>
        <v>3.1.1.1.6</v>
      </c>
      <c r="B36" s="1954">
        <f>'3-A. CI Sub-Annex'!C36</f>
        <v>0</v>
      </c>
      <c r="C36" s="1955" t="str">
        <f>'3-A. CI Sub-Annex'!D36</f>
        <v>Any other ASHA incentives (please specify)</v>
      </c>
      <c r="D36" s="1954"/>
      <c r="E36" s="1954"/>
      <c r="F36" s="1954">
        <f>'3-A. CI Sub-Annex'!G36</f>
        <v>0</v>
      </c>
      <c r="G36" s="1954">
        <f>'3-A. CI Sub-Annex'!H36</f>
        <v>0</v>
      </c>
      <c r="H36" s="1954">
        <f>'3-A. CI Sub-Annex'!I36</f>
        <v>0</v>
      </c>
      <c r="I36" s="1954">
        <f>'3-A. CI Sub-Annex'!J36</f>
        <v>0</v>
      </c>
      <c r="J36" s="1954">
        <f>'3-A. CI Sub-Annex'!K36</f>
        <v>0</v>
      </c>
      <c r="K36" s="1954">
        <f>'3-A. CI Sub-Annex'!L36</f>
        <v>0</v>
      </c>
      <c r="L36" s="1954">
        <f>'3-A. CI Sub-Annex'!M36</f>
        <v>0</v>
      </c>
      <c r="M36" s="1956">
        <f>'3-A. CI Sub-Annex'!N36</f>
        <v>0</v>
      </c>
      <c r="N36" s="1954">
        <f>'3-A. CI Sub-Annex'!O36</f>
        <v>0</v>
      </c>
      <c r="O36" s="1956">
        <f>'3-A. CI Sub-Annex'!P36</f>
        <v>0</v>
      </c>
      <c r="P36" s="1955">
        <f>'3-A. CI Sub-Annex'!Q36</f>
        <v>0</v>
      </c>
      <c r="Q36" s="3339"/>
      <c r="R36" s="1964"/>
    </row>
    <row r="37" spans="1:18" x14ac:dyDescent="0.2">
      <c r="A37" s="1954" t="str">
        <f>'3.Community Intervention Annexn'!A17</f>
        <v>3.1.1.2</v>
      </c>
      <c r="B37" s="1954" t="str">
        <f>'3-A. CI Sub-Annex'!C37</f>
        <v>D.5</v>
      </c>
      <c r="C37" s="1955" t="str">
        <f>'3-A. CI Sub-Annex'!D37</f>
        <v>ASHA Incentive under NIDDCP</v>
      </c>
      <c r="D37" s="1954" t="str">
        <f>'3-A. CI Sub-Annex'!E37</f>
        <v>RCH</v>
      </c>
      <c r="E37" s="1954" t="str">
        <f>'3-A. CI Sub-Annex'!F37</f>
        <v>NIDDCP/NHSRC-CP</v>
      </c>
      <c r="F37" s="1954">
        <f>'3-A. CI Sub-Annex'!G37</f>
        <v>0</v>
      </c>
      <c r="G37" s="1954">
        <f>'3-A. CI Sub-Annex'!H37</f>
        <v>0</v>
      </c>
      <c r="H37" s="1954">
        <f>'3-A. CI Sub-Annex'!I37</f>
        <v>0</v>
      </c>
      <c r="I37" s="1954">
        <f>'3-A. CI Sub-Annex'!J37</f>
        <v>0</v>
      </c>
      <c r="J37" s="1954">
        <f>'3-A. CI Sub-Annex'!K37</f>
        <v>0</v>
      </c>
      <c r="K37" s="1954">
        <f>'3-A. CI Sub-Annex'!L37</f>
        <v>0</v>
      </c>
      <c r="L37" s="1954">
        <f>'3-A. CI Sub-Annex'!M37</f>
        <v>0</v>
      </c>
      <c r="M37" s="1956">
        <f>'3-A. CI Sub-Annex'!N37</f>
        <v>0</v>
      </c>
      <c r="N37" s="1954">
        <f>'3-A. CI Sub-Annex'!O37</f>
        <v>0</v>
      </c>
      <c r="O37" s="1956">
        <f>'3-A. CI Sub-Annex'!P37</f>
        <v>0</v>
      </c>
      <c r="P37" s="1955">
        <f>'3-A. CI Sub-Annex'!Q37</f>
        <v>0</v>
      </c>
      <c r="Q37" s="3339">
        <f>'Ab2. NIDDCP'!Q7</f>
        <v>0</v>
      </c>
      <c r="R37" s="1965">
        <f>'Ab2. NIDDCP'!R7</f>
        <v>0</v>
      </c>
    </row>
    <row r="38" spans="1:18" x14ac:dyDescent="0.2">
      <c r="A38" s="1954" t="str">
        <f>'3.Community Intervention Annexn'!A19</f>
        <v>3.1.1.3.1</v>
      </c>
      <c r="B38" s="1954">
        <f>'3-A. CI Sub-Annex'!C39</f>
        <v>0</v>
      </c>
      <c r="C38" s="1955" t="str">
        <f>'3-A. CI Sub-Annex'!D39</f>
        <v>Incentive for NVBDCP</v>
      </c>
      <c r="D38" s="1954"/>
      <c r="E38" s="1954"/>
      <c r="F38" s="1954"/>
      <c r="G38" s="1954"/>
      <c r="H38" s="1954"/>
      <c r="I38" s="1954"/>
      <c r="J38" s="1954"/>
      <c r="K38" s="1954"/>
      <c r="L38" s="1954"/>
      <c r="M38" s="1956"/>
      <c r="N38" s="1954"/>
      <c r="O38" s="1956"/>
      <c r="P38" s="1955"/>
      <c r="Q38" s="3339"/>
      <c r="R38" s="1964">
        <f>SUM(R39:R45)</f>
        <v>0</v>
      </c>
    </row>
    <row r="39" spans="1:18" ht="30" x14ac:dyDescent="0.2">
      <c r="A39" s="1138">
        <f>'3-A. CI Sub-Annex'!A40</f>
        <v>1</v>
      </c>
      <c r="B39" s="1138" t="str">
        <f>'3-A. CI Sub-Annex'!C40</f>
        <v>F.1.1.b</v>
      </c>
      <c r="C39" s="441" t="str">
        <f>'3-A. CI Sub-Annex'!D40</f>
        <v>ASHA Incentive/ Honorarium for Malaria and LLIN distribution</v>
      </c>
      <c r="D39" s="1129" t="str">
        <f>'3-A. CI Sub-Annex'!E40</f>
        <v>NDCP</v>
      </c>
      <c r="E39" s="1138" t="str">
        <f>'3-A. CI Sub-Annex'!F40</f>
        <v>NVBDCP-Malaria</v>
      </c>
      <c r="F39" s="1138">
        <f>'3-A. CI Sub-Annex'!G40</f>
        <v>0</v>
      </c>
      <c r="G39" s="1138">
        <f>'3-A. CI Sub-Annex'!H40</f>
        <v>0</v>
      </c>
      <c r="H39" s="1138">
        <f>'3-A. CI Sub-Annex'!I40</f>
        <v>0</v>
      </c>
      <c r="I39" s="1138">
        <f>'3-A. CI Sub-Annex'!J40</f>
        <v>0</v>
      </c>
      <c r="J39" s="1138">
        <f>'3-A. CI Sub-Annex'!K40</f>
        <v>0</v>
      </c>
      <c r="K39" s="1138">
        <f>'3-A. CI Sub-Annex'!L40</f>
        <v>0</v>
      </c>
      <c r="L39" s="1138">
        <f>'3-A. CI Sub-Annex'!M40</f>
        <v>0</v>
      </c>
      <c r="M39" s="178">
        <f>'3-A. CI Sub-Annex'!N40</f>
        <v>0</v>
      </c>
      <c r="N39" s="1138">
        <f>'3-A. CI Sub-Annex'!O40</f>
        <v>0</v>
      </c>
      <c r="O39" s="178">
        <f>'3-A. CI Sub-Annex'!P40</f>
        <v>0</v>
      </c>
      <c r="P39" s="441">
        <f>'3-A. CI Sub-Annex'!Q40</f>
        <v>0</v>
      </c>
      <c r="Q39" s="3342"/>
      <c r="R39" s="1827"/>
    </row>
    <row r="40" spans="1:18" ht="30" x14ac:dyDescent="0.2">
      <c r="A40" s="1138">
        <f>'3-A. CI Sub-Annex'!A41</f>
        <v>2</v>
      </c>
      <c r="B40" s="1138" t="str">
        <f>'3-A. CI Sub-Annex'!C41</f>
        <v>F.1.2.i</v>
      </c>
      <c r="C40" s="441" t="str">
        <f>'3-A. CI Sub-Annex'!D41</f>
        <v>ASHA Incentive for Dengue and Chikungunya</v>
      </c>
      <c r="D40" s="1129" t="str">
        <f>'3-A. CI Sub-Annex'!E41</f>
        <v>NDCP</v>
      </c>
      <c r="E40" s="1138" t="str">
        <f>'3-A. CI Sub-Annex'!F41</f>
        <v>NVBDCP-Dengue &amp; Chikungunya</v>
      </c>
      <c r="F40" s="1138">
        <f>'3-A. CI Sub-Annex'!G41</f>
        <v>0</v>
      </c>
      <c r="G40" s="1138">
        <f>'3-A. CI Sub-Annex'!H41</f>
        <v>0</v>
      </c>
      <c r="H40" s="1138">
        <f>'3-A. CI Sub-Annex'!I41</f>
        <v>0</v>
      </c>
      <c r="I40" s="1138">
        <f>'3-A. CI Sub-Annex'!J41</f>
        <v>0</v>
      </c>
      <c r="J40" s="1138">
        <f>'3-A. CI Sub-Annex'!K41</f>
        <v>0</v>
      </c>
      <c r="K40" s="1138">
        <f>'3-A. CI Sub-Annex'!L41</f>
        <v>0</v>
      </c>
      <c r="L40" s="1138">
        <f>'3-A. CI Sub-Annex'!M41</f>
        <v>0</v>
      </c>
      <c r="M40" s="178">
        <f>'3-A. CI Sub-Annex'!N41</f>
        <v>0</v>
      </c>
      <c r="N40" s="1138">
        <f>'3-A. CI Sub-Annex'!O41</f>
        <v>0</v>
      </c>
      <c r="O40" s="178">
        <f>'3-A. CI Sub-Annex'!P41</f>
        <v>0</v>
      </c>
      <c r="P40" s="441">
        <f>'3-A. CI Sub-Annex'!Q41</f>
        <v>0</v>
      </c>
      <c r="Q40" s="3342">
        <f>'Abs9. NVBDCP'!Q16</f>
        <v>0</v>
      </c>
      <c r="R40" s="1827">
        <f>'Abs9. NVBDCP'!R16</f>
        <v>0</v>
      </c>
    </row>
    <row r="41" spans="1:18" ht="30" x14ac:dyDescent="0.2">
      <c r="A41" s="1138">
        <f>'3-A. CI Sub-Annex'!A42</f>
        <v>3</v>
      </c>
      <c r="B41" s="1138" t="str">
        <f>'3-A. CI Sub-Annex'!C42</f>
        <v>F.1.3.k</v>
      </c>
      <c r="C41" s="441" t="str">
        <f>'3-A. CI Sub-Annex'!D42</f>
        <v xml:space="preserve">ASHA Incentivization for sensitizing community for AES/JE </v>
      </c>
      <c r="D41" s="1129" t="str">
        <f>'3-A. CI Sub-Annex'!E42</f>
        <v>NDCP</v>
      </c>
      <c r="E41" s="1138" t="str">
        <f>'3-A. CI Sub-Annex'!F42</f>
        <v>NVBDCP-AES/JE</v>
      </c>
      <c r="F41" s="1138">
        <f>'3-A. CI Sub-Annex'!G42</f>
        <v>0</v>
      </c>
      <c r="G41" s="1138">
        <f>'3-A. CI Sub-Annex'!H42</f>
        <v>0</v>
      </c>
      <c r="H41" s="1138">
        <f>'3-A. CI Sub-Annex'!I42</f>
        <v>0</v>
      </c>
      <c r="I41" s="1138">
        <f>'3-A. CI Sub-Annex'!J42</f>
        <v>0</v>
      </c>
      <c r="J41" s="1138">
        <f>'3-A. CI Sub-Annex'!K42</f>
        <v>0</v>
      </c>
      <c r="K41" s="1138">
        <f>'3-A. CI Sub-Annex'!L42</f>
        <v>0</v>
      </c>
      <c r="L41" s="1138">
        <f>'3-A. CI Sub-Annex'!M42</f>
        <v>0</v>
      </c>
      <c r="M41" s="178">
        <f>'3-A. CI Sub-Annex'!N42</f>
        <v>0</v>
      </c>
      <c r="N41" s="1138">
        <f>'3-A. CI Sub-Annex'!O42</f>
        <v>0</v>
      </c>
      <c r="O41" s="178">
        <f>'3-A. CI Sub-Annex'!P42</f>
        <v>0</v>
      </c>
      <c r="P41" s="441">
        <f>'3-A. CI Sub-Annex'!Q42</f>
        <v>0</v>
      </c>
      <c r="Q41" s="3342">
        <f>'Abs9. NVBDCP'!Q17</f>
        <v>0</v>
      </c>
      <c r="R41" s="1827">
        <f>'Abs9. NVBDCP'!R17</f>
        <v>0</v>
      </c>
    </row>
    <row r="42" spans="1:18" ht="30" x14ac:dyDescent="0.2">
      <c r="A42" s="1138">
        <f>'3-A. CI Sub-Annex'!A43</f>
        <v>4</v>
      </c>
      <c r="B42" s="1138" t="str">
        <f>'3-A. CI Sub-Annex'!C43</f>
        <v>F.1.3.m</v>
      </c>
      <c r="C42" s="441" t="str">
        <f>'3-A. CI Sub-Annex'!D43</f>
        <v>ASHA incentive for referral of AES/JE cases to the nearest CHC/DH/Medical College</v>
      </c>
      <c r="D42" s="1129" t="str">
        <f>'3-A. CI Sub-Annex'!E43</f>
        <v>NDCP</v>
      </c>
      <c r="E42" s="1138" t="str">
        <f>'3-A. CI Sub-Annex'!F43</f>
        <v>NVBDCP-AES/JE</v>
      </c>
      <c r="F42" s="1138">
        <f>'3-A. CI Sub-Annex'!G43</f>
        <v>0</v>
      </c>
      <c r="G42" s="1138">
        <f>'3-A. CI Sub-Annex'!H43</f>
        <v>0</v>
      </c>
      <c r="H42" s="1138">
        <f>'3-A. CI Sub-Annex'!I43</f>
        <v>0</v>
      </c>
      <c r="I42" s="1138">
        <f>'3-A. CI Sub-Annex'!J43</f>
        <v>0</v>
      </c>
      <c r="J42" s="1138">
        <f>'3-A. CI Sub-Annex'!K43</f>
        <v>0</v>
      </c>
      <c r="K42" s="1138">
        <f>'3-A. CI Sub-Annex'!L43</f>
        <v>0</v>
      </c>
      <c r="L42" s="1138">
        <f>'3-A. CI Sub-Annex'!M43</f>
        <v>0</v>
      </c>
      <c r="M42" s="178">
        <f>'3-A. CI Sub-Annex'!N43</f>
        <v>0</v>
      </c>
      <c r="N42" s="1138">
        <f>'3-A. CI Sub-Annex'!O43</f>
        <v>0</v>
      </c>
      <c r="O42" s="178">
        <f>'3-A. CI Sub-Annex'!P43</f>
        <v>0</v>
      </c>
      <c r="P42" s="441">
        <f>'3-A. CI Sub-Annex'!Q43</f>
        <v>0</v>
      </c>
      <c r="Q42" s="3342">
        <f>'Abs9. NVBDCP'!Q18</f>
        <v>0</v>
      </c>
      <c r="R42" s="1827">
        <f>'Abs9. NVBDCP'!R18</f>
        <v>0</v>
      </c>
    </row>
    <row r="43" spans="1:18" s="1959" customFormat="1" ht="30" x14ac:dyDescent="0.2">
      <c r="A43" s="1138">
        <f>'3-A. CI Sub-Annex'!A44</f>
        <v>5</v>
      </c>
      <c r="B43" s="1138" t="str">
        <f>'3-A. CI Sub-Annex'!C44</f>
        <v>F.1.4.e</v>
      </c>
      <c r="C43" s="441" t="str">
        <f>'3-A. CI Sub-Annex'!D44</f>
        <v>Honorarium  for Drug Distribution including ASHAs and supervisors involved in MDA</v>
      </c>
      <c r="D43" s="1129" t="str">
        <f>'3-A. CI Sub-Annex'!E44</f>
        <v>NDCP</v>
      </c>
      <c r="E43" s="1138" t="str">
        <f>'3-A. CI Sub-Annex'!F44</f>
        <v>NVBDCP-Lymphatic Filariasis</v>
      </c>
      <c r="F43" s="1138">
        <f>'3-A. CI Sub-Annex'!G44</f>
        <v>0</v>
      </c>
      <c r="G43" s="1138">
        <f>'3-A. CI Sub-Annex'!H44</f>
        <v>0</v>
      </c>
      <c r="H43" s="1138">
        <f>'3-A. CI Sub-Annex'!I44</f>
        <v>0</v>
      </c>
      <c r="I43" s="1138">
        <f>'3-A. CI Sub-Annex'!J44</f>
        <v>0</v>
      </c>
      <c r="J43" s="1138">
        <f>'3-A. CI Sub-Annex'!K44</f>
        <v>0</v>
      </c>
      <c r="K43" s="1138">
        <f>'3-A. CI Sub-Annex'!L44</f>
        <v>0</v>
      </c>
      <c r="L43" s="1138">
        <f>'3-A. CI Sub-Annex'!M44</f>
        <v>0</v>
      </c>
      <c r="M43" s="178">
        <f>'3-A. CI Sub-Annex'!N44</f>
        <v>0</v>
      </c>
      <c r="N43" s="1138">
        <f>'3-A. CI Sub-Annex'!O44</f>
        <v>0</v>
      </c>
      <c r="O43" s="178">
        <f>'3-A. CI Sub-Annex'!P44</f>
        <v>0</v>
      </c>
      <c r="P43" s="441">
        <f>'3-A. CI Sub-Annex'!Q44</f>
        <v>0</v>
      </c>
      <c r="Q43" s="3342">
        <f>'Abs9. NVBDCP'!Q19</f>
        <v>0</v>
      </c>
      <c r="R43" s="1827">
        <f>'Abs9. NVBDCP'!R19</f>
        <v>0</v>
      </c>
    </row>
    <row r="44" spans="1:18" ht="45" x14ac:dyDescent="0.2">
      <c r="A44" s="1138">
        <f>'3-A. CI Sub-Annex'!A45</f>
        <v>6</v>
      </c>
      <c r="B44" s="1138" t="str">
        <f>'3-A. CI Sub-Annex'!C45</f>
        <v>F.1.4.i</v>
      </c>
      <c r="C44" s="441" t="str">
        <f>'3-A. CI Sub-Annex'!D45</f>
        <v>ASHA incentive for one time line listing of Lymphoedema and Hydrocele cases in non-endemic dist.</v>
      </c>
      <c r="D44" s="1129" t="str">
        <f>'3-A. CI Sub-Annex'!E45</f>
        <v>NDCP</v>
      </c>
      <c r="E44" s="1138" t="str">
        <f>'3-A. CI Sub-Annex'!F45</f>
        <v>NVBDCP-Lymphatic Filariasis</v>
      </c>
      <c r="F44" s="1138">
        <f>'3-A. CI Sub-Annex'!G45</f>
        <v>0</v>
      </c>
      <c r="G44" s="1138">
        <f>'3-A. CI Sub-Annex'!H45</f>
        <v>0</v>
      </c>
      <c r="H44" s="1138">
        <f>'3-A. CI Sub-Annex'!I45</f>
        <v>0</v>
      </c>
      <c r="I44" s="1138">
        <f>'3-A. CI Sub-Annex'!J45</f>
        <v>0</v>
      </c>
      <c r="J44" s="1138">
        <f>'3-A. CI Sub-Annex'!K45</f>
        <v>0</v>
      </c>
      <c r="K44" s="1138">
        <f>'3-A. CI Sub-Annex'!L45</f>
        <v>0</v>
      </c>
      <c r="L44" s="1138">
        <f>'3-A. CI Sub-Annex'!M45</f>
        <v>0</v>
      </c>
      <c r="M44" s="178">
        <f>'3-A. CI Sub-Annex'!N45</f>
        <v>0</v>
      </c>
      <c r="N44" s="1138">
        <f>'3-A. CI Sub-Annex'!O45</f>
        <v>0</v>
      </c>
      <c r="O44" s="178">
        <f>'3-A. CI Sub-Annex'!P45</f>
        <v>0</v>
      </c>
      <c r="P44" s="441">
        <f>'3-A. CI Sub-Annex'!Q45</f>
        <v>0</v>
      </c>
      <c r="Q44" s="3342">
        <f>'Abs9. NVBDCP'!Q20</f>
        <v>0</v>
      </c>
      <c r="R44" s="1827">
        <f>'Abs9. NVBDCP'!R20</f>
        <v>0</v>
      </c>
    </row>
    <row r="45" spans="1:18" ht="45" x14ac:dyDescent="0.2">
      <c r="A45" s="1138">
        <f>'3-A. CI Sub-Annex'!A46</f>
        <v>7</v>
      </c>
      <c r="B45" s="1138">
        <f>'3-A. CI Sub-Annex'!C46</f>
        <v>0</v>
      </c>
      <c r="C45" s="441" t="str">
        <f>'3-A. CI Sub-Annex'!D46</f>
        <v>ASHA incentive for supporting IRS / sensitizing community to accept IRS and Referral / Ensuring treatment for Kala-azar cases</v>
      </c>
      <c r="D45" s="1129" t="str">
        <f>'3-A. CI Sub-Annex'!E46</f>
        <v>NDCP</v>
      </c>
      <c r="E45" s="1138" t="str">
        <f>'3-A. CI Sub-Annex'!F46</f>
        <v>NVBDCP- Kala-azar</v>
      </c>
      <c r="F45" s="1138">
        <f>'3-A. CI Sub-Annex'!G46</f>
        <v>0</v>
      </c>
      <c r="G45" s="1138">
        <f>'3-A. CI Sub-Annex'!H46</f>
        <v>0</v>
      </c>
      <c r="H45" s="1138">
        <f>'3-A. CI Sub-Annex'!I46</f>
        <v>0</v>
      </c>
      <c r="I45" s="1138">
        <f>'3-A. CI Sub-Annex'!J46</f>
        <v>0</v>
      </c>
      <c r="J45" s="1138">
        <f>'3-A. CI Sub-Annex'!K46</f>
        <v>0</v>
      </c>
      <c r="K45" s="1138">
        <f>'3-A. CI Sub-Annex'!L46</f>
        <v>0</v>
      </c>
      <c r="L45" s="1138">
        <f>'3-A. CI Sub-Annex'!M46</f>
        <v>0</v>
      </c>
      <c r="M45" s="178">
        <f>'3-A. CI Sub-Annex'!N46</f>
        <v>0</v>
      </c>
      <c r="N45" s="1138">
        <f>'3-A. CI Sub-Annex'!O46</f>
        <v>0</v>
      </c>
      <c r="O45" s="178">
        <f>'3-A. CI Sub-Annex'!P46</f>
        <v>0</v>
      </c>
      <c r="P45" s="441">
        <f>'3-A. CI Sub-Annex'!Q46</f>
        <v>0</v>
      </c>
      <c r="Q45" s="3342">
        <f>'Abs9. NVBDCP'!Q21</f>
        <v>0</v>
      </c>
      <c r="R45" s="1827">
        <f>'Abs9. NVBDCP'!R21</f>
        <v>0</v>
      </c>
    </row>
    <row r="46" spans="1:18" x14ac:dyDescent="0.2">
      <c r="A46" s="1954" t="str">
        <f>'3.Community Intervention Annexn'!A20</f>
        <v>3.1.1.3.2</v>
      </c>
      <c r="B46" s="1954" t="str">
        <f>'3-A. CI Sub-Annex'!C47</f>
        <v>G.1.3.a</v>
      </c>
      <c r="C46" s="1955" t="str">
        <f>'3-A. CI Sub-Annex'!D47</f>
        <v>ASHA Involvement under NLEP</v>
      </c>
      <c r="D46" s="1954"/>
      <c r="E46" s="1954"/>
      <c r="F46" s="1954"/>
      <c r="G46" s="1954"/>
      <c r="H46" s="1954"/>
      <c r="I46" s="1954"/>
      <c r="J46" s="1954"/>
      <c r="K46" s="1954"/>
      <c r="L46" s="1954"/>
      <c r="M46" s="1956"/>
      <c r="N46" s="1954"/>
      <c r="O46" s="1956"/>
      <c r="P46" s="1955"/>
      <c r="Q46" s="3339"/>
      <c r="R46" s="1964">
        <f>SUM(R47:R49)</f>
        <v>0</v>
      </c>
    </row>
    <row r="47" spans="1:18" ht="60" x14ac:dyDescent="0.2">
      <c r="A47" s="1138">
        <f>'3-A. CI Sub-Annex'!A48</f>
        <v>1</v>
      </c>
      <c r="B47" s="1138" t="str">
        <f>'3-A. CI Sub-Annex'!C48</f>
        <v>G.1.3.b.i</v>
      </c>
      <c r="C47" s="441" t="str">
        <f>'3-A. CI Sub-Annex'!D48</f>
        <v>Incentive for ASHA/AWW/Volunteer/etc for detection of Leprosy (Rs 250 for detection of an early case before onset of any visible deformity, Rs 200 for detection of new case with visible deformity in hands, feet or eye)</v>
      </c>
      <c r="D47" s="1129" t="str">
        <f>'3-A. CI Sub-Annex'!E48</f>
        <v>NDCP</v>
      </c>
      <c r="E47" s="1138" t="str">
        <f>'3-A. CI Sub-Annex'!F48</f>
        <v>NLEP/NHSRC-CP</v>
      </c>
      <c r="F47" s="1138">
        <f>'3-A. CI Sub-Annex'!G48</f>
        <v>0</v>
      </c>
      <c r="G47" s="1138">
        <f>'3-A. CI Sub-Annex'!H48</f>
        <v>0</v>
      </c>
      <c r="H47" s="1138">
        <f>'3-A. CI Sub-Annex'!I48</f>
        <v>0</v>
      </c>
      <c r="I47" s="1138">
        <f>'3-A. CI Sub-Annex'!J48</f>
        <v>0</v>
      </c>
      <c r="J47" s="1138">
        <f>'3-A. CI Sub-Annex'!K48</f>
        <v>0</v>
      </c>
      <c r="K47" s="1138">
        <f>'3-A. CI Sub-Annex'!L48</f>
        <v>0</v>
      </c>
      <c r="L47" s="1138">
        <f>'3-A. CI Sub-Annex'!M48</f>
        <v>0</v>
      </c>
      <c r="M47" s="178">
        <f>'3-A. CI Sub-Annex'!N48</f>
        <v>0</v>
      </c>
      <c r="N47" s="1138">
        <f>'3-A. CI Sub-Annex'!O48</f>
        <v>0</v>
      </c>
      <c r="O47" s="178">
        <f>'3-A. CI Sub-Annex'!P48</f>
        <v>0</v>
      </c>
      <c r="P47" s="441">
        <f>'3-A. CI Sub-Annex'!Q48</f>
        <v>0</v>
      </c>
      <c r="Q47" s="3342"/>
      <c r="R47" s="1827"/>
    </row>
    <row r="48" spans="1:18" ht="30" x14ac:dyDescent="0.2">
      <c r="A48" s="1138">
        <f>'3-A. CI Sub-Annex'!A49</f>
        <v>2</v>
      </c>
      <c r="B48" s="1138" t="str">
        <f>'3-A. CI Sub-Annex'!C49</f>
        <v>G.1.3.b.ii</v>
      </c>
      <c r="C48" s="441" t="str">
        <f>'3-A. CI Sub-Annex'!D49</f>
        <v>ASHA Incentive for Treatment completion of PB cases (@ Rs 400)</v>
      </c>
      <c r="D48" s="1129" t="str">
        <f>'3-A. CI Sub-Annex'!E49</f>
        <v>NDCP</v>
      </c>
      <c r="E48" s="1138" t="str">
        <f>'3-A. CI Sub-Annex'!F49</f>
        <v>NLEP/NHSRC-CP</v>
      </c>
      <c r="F48" s="1138">
        <f>'3-A. CI Sub-Annex'!G49</f>
        <v>0</v>
      </c>
      <c r="G48" s="1138">
        <f>'3-A. CI Sub-Annex'!H49</f>
        <v>0</v>
      </c>
      <c r="H48" s="1138">
        <f>'3-A. CI Sub-Annex'!I49</f>
        <v>0</v>
      </c>
      <c r="I48" s="1138">
        <f>'3-A. CI Sub-Annex'!J49</f>
        <v>0</v>
      </c>
      <c r="J48" s="1138">
        <f>'3-A. CI Sub-Annex'!K49</f>
        <v>0</v>
      </c>
      <c r="K48" s="1138">
        <f>'3-A. CI Sub-Annex'!L49</f>
        <v>0</v>
      </c>
      <c r="L48" s="1138">
        <f>'3-A. CI Sub-Annex'!M49</f>
        <v>0</v>
      </c>
      <c r="M48" s="178">
        <f>'3-A. CI Sub-Annex'!N49</f>
        <v>0</v>
      </c>
      <c r="N48" s="1138">
        <f>'3-A. CI Sub-Annex'!O49</f>
        <v>0</v>
      </c>
      <c r="O48" s="178">
        <f>'3-A. CI Sub-Annex'!P49</f>
        <v>0</v>
      </c>
      <c r="P48" s="441">
        <f>'3-A. CI Sub-Annex'!Q49</f>
        <v>0</v>
      </c>
      <c r="Q48" s="3342"/>
      <c r="R48" s="1827"/>
    </row>
    <row r="49" spans="1:18" ht="30" x14ac:dyDescent="0.2">
      <c r="A49" s="1138">
        <f>'3-A. CI Sub-Annex'!A50</f>
        <v>3</v>
      </c>
      <c r="B49" s="1138" t="str">
        <f>'3-A. CI Sub-Annex'!C50</f>
        <v>G.1.3.b.iii</v>
      </c>
      <c r="C49" s="441" t="str">
        <f>'3-A. CI Sub-Annex'!D50</f>
        <v>ASHA Incentive for Treatment completion of MB cases (@ Rs 500)</v>
      </c>
      <c r="D49" s="1129" t="str">
        <f>'3-A. CI Sub-Annex'!E50</f>
        <v>NDCP</v>
      </c>
      <c r="E49" s="1138" t="str">
        <f>'3-A. CI Sub-Annex'!F50</f>
        <v>NLEP/NHSRC-CP</v>
      </c>
      <c r="F49" s="1138">
        <f>'3-A. CI Sub-Annex'!G50</f>
        <v>0</v>
      </c>
      <c r="G49" s="1138">
        <f>'3-A. CI Sub-Annex'!H50</f>
        <v>0</v>
      </c>
      <c r="H49" s="1138">
        <f>'3-A. CI Sub-Annex'!I50</f>
        <v>0</v>
      </c>
      <c r="I49" s="1138">
        <f>'3-A. CI Sub-Annex'!J50</f>
        <v>0</v>
      </c>
      <c r="J49" s="1138">
        <f>'3-A. CI Sub-Annex'!K50</f>
        <v>0</v>
      </c>
      <c r="K49" s="1138">
        <f>'3-A. CI Sub-Annex'!L50</f>
        <v>0</v>
      </c>
      <c r="L49" s="1138">
        <f>'3-A. CI Sub-Annex'!M50</f>
        <v>0</v>
      </c>
      <c r="M49" s="178">
        <f>'3-A. CI Sub-Annex'!N50</f>
        <v>0</v>
      </c>
      <c r="N49" s="1138">
        <f>'3-A. CI Sub-Annex'!O50</f>
        <v>0</v>
      </c>
      <c r="O49" s="178">
        <f>'3-A. CI Sub-Annex'!P50</f>
        <v>0</v>
      </c>
      <c r="P49" s="441">
        <f>'3-A. CI Sub-Annex'!Q50</f>
        <v>0</v>
      </c>
      <c r="Q49" s="3342"/>
      <c r="R49" s="1827"/>
    </row>
    <row r="50" spans="1:18" x14ac:dyDescent="0.2">
      <c r="A50" s="1954" t="str">
        <f>'3.Community Intervention Annexn'!A21</f>
        <v>3.1.1.3.3</v>
      </c>
      <c r="B50" s="1954">
        <f>'3-A. CI Sub-Annex'!C51</f>
        <v>0</v>
      </c>
      <c r="C50" s="1955" t="str">
        <f>'3-A. CI Sub-Annex'!D51</f>
        <v>Any other ASHA incentives (please specify)</v>
      </c>
      <c r="D50" s="1954" t="str">
        <f>'3-A. CI Sub-Annex'!E51</f>
        <v>NDCP</v>
      </c>
      <c r="E50" s="1954" t="str">
        <f>'3-A. CI Sub-Annex'!F51</f>
        <v>NHSRC-CP</v>
      </c>
      <c r="F50" s="1954">
        <f>'3-A. CI Sub-Annex'!G51</f>
        <v>0</v>
      </c>
      <c r="G50" s="1954">
        <f>'3-A. CI Sub-Annex'!H51</f>
        <v>0</v>
      </c>
      <c r="H50" s="1954">
        <f>'3-A. CI Sub-Annex'!I51</f>
        <v>0</v>
      </c>
      <c r="I50" s="1954">
        <f>'3-A. CI Sub-Annex'!J51</f>
        <v>0</v>
      </c>
      <c r="J50" s="1954">
        <f>'3-A. CI Sub-Annex'!K51</f>
        <v>0</v>
      </c>
      <c r="K50" s="1954">
        <f>'3-A. CI Sub-Annex'!L51</f>
        <v>0</v>
      </c>
      <c r="L50" s="1954">
        <f>'3-A. CI Sub-Annex'!M51</f>
        <v>0</v>
      </c>
      <c r="M50" s="1956">
        <f>'3-A. CI Sub-Annex'!N51</f>
        <v>0</v>
      </c>
      <c r="N50" s="1954">
        <f>'3-A. CI Sub-Annex'!O51</f>
        <v>0</v>
      </c>
      <c r="O50" s="1956">
        <f>'3-A. CI Sub-Annex'!P51</f>
        <v>0</v>
      </c>
      <c r="P50" s="1955">
        <f>'3-A. CI Sub-Annex'!Q51</f>
        <v>0</v>
      </c>
      <c r="Q50" s="3375"/>
      <c r="R50" s="1964"/>
    </row>
    <row r="51" spans="1:18" x14ac:dyDescent="0.2">
      <c r="A51" s="1954" t="str">
        <f>'3.Community Intervention Annexn'!A22</f>
        <v>3.1.1.4</v>
      </c>
      <c r="B51" s="1954">
        <f>'3-A. CI Sub-Annex'!C53</f>
        <v>0</v>
      </c>
      <c r="C51" s="1955" t="str">
        <f>'3-A. CI Sub-Annex'!D53</f>
        <v>Incentive for NCDs</v>
      </c>
      <c r="D51" s="1954"/>
      <c r="E51" s="1954"/>
      <c r="F51" s="1954"/>
      <c r="G51" s="1954"/>
      <c r="H51" s="1954"/>
      <c r="I51" s="1954"/>
      <c r="J51" s="1954"/>
      <c r="K51" s="1954"/>
      <c r="L51" s="1954"/>
      <c r="M51" s="1956"/>
      <c r="N51" s="1954"/>
      <c r="O51" s="1956"/>
      <c r="P51" s="1955"/>
      <c r="Q51" s="3339"/>
      <c r="R51" s="1964">
        <f>SUM(R52:R54)</f>
        <v>0</v>
      </c>
    </row>
    <row r="52" spans="1:18" ht="30" x14ac:dyDescent="0.2">
      <c r="A52" s="1138">
        <f>'3-A. CI Sub-Annex'!A54</f>
        <v>1</v>
      </c>
      <c r="B52" s="1138">
        <f>'3-A. CI Sub-Annex'!C54</f>
        <v>0</v>
      </c>
      <c r="C52" s="441" t="str">
        <f>'3-A. CI Sub-Annex'!D54</f>
        <v xml:space="preserve">Filling up of CBAC form and mobilizing for NCD screening </v>
      </c>
      <c r="D52" s="1129" t="str">
        <f>'3-A. CI Sub-Annex'!E54</f>
        <v>HSS</v>
      </c>
      <c r="E52" s="1138" t="str">
        <f>'3-A. CI Sub-Annex'!F54</f>
        <v>NHSRC-CP</v>
      </c>
      <c r="F52" s="1138">
        <f>'3-A. CI Sub-Annex'!G54</f>
        <v>0</v>
      </c>
      <c r="G52" s="1138">
        <f>'3-A. CI Sub-Annex'!H54</f>
        <v>0</v>
      </c>
      <c r="H52" s="1138">
        <f>'3-A. CI Sub-Annex'!I54</f>
        <v>0</v>
      </c>
      <c r="I52" s="1138">
        <f>'3-A. CI Sub-Annex'!J54</f>
        <v>0</v>
      </c>
      <c r="J52" s="1138">
        <f>'3-A. CI Sub-Annex'!K54</f>
        <v>0</v>
      </c>
      <c r="K52" s="1138">
        <f>'3-A. CI Sub-Annex'!L54</f>
        <v>0</v>
      </c>
      <c r="L52" s="1138">
        <f>'3-A. CI Sub-Annex'!M54</f>
        <v>0</v>
      </c>
      <c r="M52" s="178">
        <f>'3-A. CI Sub-Annex'!N54</f>
        <v>0</v>
      </c>
      <c r="N52" s="1138">
        <f>'3-A. CI Sub-Annex'!O54</f>
        <v>0</v>
      </c>
      <c r="O52" s="178">
        <f>'3-A. CI Sub-Annex'!P54</f>
        <v>0</v>
      </c>
      <c r="P52" s="441">
        <f>'3-A. CI Sub-Annex'!Q54</f>
        <v>0</v>
      </c>
      <c r="Q52" s="3342"/>
      <c r="R52" s="160"/>
    </row>
    <row r="53" spans="1:18" ht="30" x14ac:dyDescent="0.2">
      <c r="A53" s="1138">
        <f>'3-A. CI Sub-Annex'!A55</f>
        <v>2</v>
      </c>
      <c r="B53" s="1138">
        <f>'3-A. CI Sub-Annex'!C55</f>
        <v>0</v>
      </c>
      <c r="C53" s="441" t="str">
        <f>'3-A. CI Sub-Annex'!D55</f>
        <v xml:space="preserve">Follow up of NCD patients for treatment initiation and compliance </v>
      </c>
      <c r="D53" s="1129" t="str">
        <f>'3-A. CI Sub-Annex'!E55</f>
        <v>HSS</v>
      </c>
      <c r="E53" s="1138" t="str">
        <f>'3-A. CI Sub-Annex'!F55</f>
        <v>NHSRC-CP</v>
      </c>
      <c r="F53" s="1138">
        <f>'3-A. CI Sub-Annex'!G55</f>
        <v>0</v>
      </c>
      <c r="G53" s="1138">
        <f>'3-A. CI Sub-Annex'!H55</f>
        <v>0</v>
      </c>
      <c r="H53" s="1138">
        <f>'3-A. CI Sub-Annex'!I55</f>
        <v>0</v>
      </c>
      <c r="I53" s="1138">
        <f>'3-A. CI Sub-Annex'!J55</f>
        <v>0</v>
      </c>
      <c r="J53" s="1138">
        <f>'3-A. CI Sub-Annex'!K55</f>
        <v>0</v>
      </c>
      <c r="K53" s="1138">
        <f>'3-A. CI Sub-Annex'!L55</f>
        <v>0</v>
      </c>
      <c r="L53" s="1138">
        <f>'3-A. CI Sub-Annex'!M55</f>
        <v>0</v>
      </c>
      <c r="M53" s="178">
        <f>'3-A. CI Sub-Annex'!N55</f>
        <v>0</v>
      </c>
      <c r="N53" s="1138">
        <f>'3-A. CI Sub-Annex'!O55</f>
        <v>0</v>
      </c>
      <c r="O53" s="178">
        <f>'3-A. CI Sub-Annex'!P55</f>
        <v>0</v>
      </c>
      <c r="P53" s="441">
        <f>'3-A. CI Sub-Annex'!Q55</f>
        <v>0</v>
      </c>
      <c r="Q53" s="3342"/>
      <c r="R53" s="160"/>
    </row>
    <row r="54" spans="1:18" x14ac:dyDescent="0.2">
      <c r="A54" s="1138">
        <f>'3-A. CI Sub-Annex'!A56</f>
        <v>3</v>
      </c>
      <c r="B54" s="1138">
        <f>'3-A. CI Sub-Annex'!C56</f>
        <v>0</v>
      </c>
      <c r="C54" s="441" t="str">
        <f>'3-A. CI Sub-Annex'!D56</f>
        <v>Any other ASHA incentives (please specify)</v>
      </c>
      <c r="D54" s="1129" t="str">
        <f>'3-A. CI Sub-Annex'!E56</f>
        <v>HSS</v>
      </c>
      <c r="E54" s="1138" t="str">
        <f>'3-A. CI Sub-Annex'!F56</f>
        <v>NHSRC-CP</v>
      </c>
      <c r="F54" s="1138">
        <f>'3-A. CI Sub-Annex'!G56</f>
        <v>0</v>
      </c>
      <c r="G54" s="1138">
        <f>'3-A. CI Sub-Annex'!H56</f>
        <v>0</v>
      </c>
      <c r="H54" s="1138">
        <f>'3-A. CI Sub-Annex'!I56</f>
        <v>0</v>
      </c>
      <c r="I54" s="1138">
        <f>'3-A. CI Sub-Annex'!J56</f>
        <v>0</v>
      </c>
      <c r="J54" s="1138">
        <f>'3-A. CI Sub-Annex'!K56</f>
        <v>0</v>
      </c>
      <c r="K54" s="1138">
        <f>'3-A. CI Sub-Annex'!L56</f>
        <v>0</v>
      </c>
      <c r="L54" s="1138">
        <f>'3-A. CI Sub-Annex'!M56</f>
        <v>0</v>
      </c>
      <c r="M54" s="178">
        <f>'3-A. CI Sub-Annex'!N56</f>
        <v>0</v>
      </c>
      <c r="N54" s="1138">
        <f>'3-A. CI Sub-Annex'!O56</f>
        <v>0</v>
      </c>
      <c r="O54" s="178">
        <f>'3-A. CI Sub-Annex'!P56</f>
        <v>0</v>
      </c>
      <c r="P54" s="441">
        <f>'3-A. CI Sub-Annex'!Q56</f>
        <v>0</v>
      </c>
      <c r="Q54" s="3342"/>
      <c r="R54" s="160"/>
    </row>
    <row r="55" spans="1:18" x14ac:dyDescent="0.2">
      <c r="A55" s="1960" t="str">
        <f>'3.Community Intervention Annexn'!A24</f>
        <v>3.1.1.6</v>
      </c>
      <c r="B55" s="1954"/>
      <c r="C55" s="1955" t="str">
        <f>'3-A. CI Sub-Annex'!A57</f>
        <v xml:space="preserve">Other Incentives </v>
      </c>
      <c r="D55" s="1954"/>
      <c r="E55" s="1954"/>
      <c r="F55" s="1954"/>
      <c r="G55" s="1954"/>
      <c r="H55" s="1954"/>
      <c r="I55" s="1954"/>
      <c r="J55" s="1954"/>
      <c r="K55" s="1954"/>
      <c r="L55" s="1954"/>
      <c r="M55" s="1956"/>
      <c r="N55" s="1954"/>
      <c r="O55" s="1956"/>
      <c r="P55" s="1955"/>
      <c r="Q55" s="3339"/>
      <c r="R55" s="1964">
        <f>SUM(R56:R57)</f>
        <v>0</v>
      </c>
    </row>
    <row r="56" spans="1:18" ht="108" customHeight="1" x14ac:dyDescent="0.2">
      <c r="A56" s="1138">
        <f>'3-A. CI Sub-Annex'!A58</f>
        <v>1</v>
      </c>
      <c r="B56" s="1138" t="str">
        <f>'3-A. CI Sub-Annex'!C58</f>
        <v>B1.1.3.6.1</v>
      </c>
      <c r="C56" s="441" t="str">
        <f>'3-A. CI Sub-Annex'!D58</f>
        <v xml:space="preserve">ASHA incentives for routine activities </v>
      </c>
      <c r="D56" s="1129" t="str">
        <f>'3-A. CI Sub-Annex'!E58</f>
        <v>HSS</v>
      </c>
      <c r="E56" s="1138" t="str">
        <f>'3-A. CI Sub-Annex'!F58</f>
        <v>NHSRC-CP</v>
      </c>
      <c r="F56" s="1138">
        <f>'3-A. CI Sub-Annex'!G58</f>
        <v>0</v>
      </c>
      <c r="G56" s="1138">
        <f>'3-A. CI Sub-Annex'!H58</f>
        <v>0</v>
      </c>
      <c r="H56" s="1138">
        <f>'3-A. CI Sub-Annex'!I58</f>
        <v>0</v>
      </c>
      <c r="I56" s="1138">
        <f>'3-A. CI Sub-Annex'!J58</f>
        <v>0</v>
      </c>
      <c r="J56" s="1138">
        <f>'3-A. CI Sub-Annex'!K58</f>
        <v>0</v>
      </c>
      <c r="K56" s="1138">
        <f>'3-A. CI Sub-Annex'!L58</f>
        <v>0</v>
      </c>
      <c r="L56" s="1138">
        <f>'3-A. CI Sub-Annex'!M58</f>
        <v>0</v>
      </c>
      <c r="M56" s="178">
        <f>'3-A. CI Sub-Annex'!N58</f>
        <v>0</v>
      </c>
      <c r="N56" s="1138">
        <f>'3-A. CI Sub-Annex'!O58</f>
        <v>0</v>
      </c>
      <c r="O56" s="178">
        <f>'3-A. CI Sub-Annex'!P58</f>
        <v>0</v>
      </c>
      <c r="P56" s="441">
        <f>'3-A. CI Sub-Annex'!Q58</f>
        <v>0</v>
      </c>
      <c r="Q56" s="3365"/>
      <c r="R56" s="160"/>
    </row>
    <row r="57" spans="1:18" x14ac:dyDescent="0.2">
      <c r="A57" s="1138">
        <f>'3-A. CI Sub-Annex'!A59</f>
        <v>2</v>
      </c>
      <c r="B57" s="1138">
        <f>'3-A. CI Sub-Annex'!C59</f>
        <v>0</v>
      </c>
      <c r="C57" s="441" t="str">
        <f>'3-A. CI Sub-Annex'!D59</f>
        <v>Any other ASHA incentives (please specify)</v>
      </c>
      <c r="D57" s="1129" t="str">
        <f>'3-A. CI Sub-Annex'!E59</f>
        <v>HSS</v>
      </c>
      <c r="E57" s="1138" t="str">
        <f>'3-A. CI Sub-Annex'!F59</f>
        <v>NHSRC-CP</v>
      </c>
      <c r="F57" s="1138">
        <f>'3-A. CI Sub-Annex'!G59</f>
        <v>0</v>
      </c>
      <c r="G57" s="1138">
        <f>'3-A. CI Sub-Annex'!H59</f>
        <v>0</v>
      </c>
      <c r="H57" s="1138">
        <f>'3-A. CI Sub-Annex'!I59</f>
        <v>0</v>
      </c>
      <c r="I57" s="1138">
        <f>'3-A. CI Sub-Annex'!J59</f>
        <v>0</v>
      </c>
      <c r="J57" s="1138">
        <f>'3-A. CI Sub-Annex'!K59</f>
        <v>0</v>
      </c>
      <c r="K57" s="1138">
        <f>'3-A. CI Sub-Annex'!L59</f>
        <v>0</v>
      </c>
      <c r="L57" s="1138">
        <f>'3-A. CI Sub-Annex'!M59</f>
        <v>0</v>
      </c>
      <c r="M57" s="178">
        <f>'3-A. CI Sub-Annex'!N59</f>
        <v>0</v>
      </c>
      <c r="N57" s="1138">
        <f>'3-A. CI Sub-Annex'!O59</f>
        <v>0</v>
      </c>
      <c r="O57" s="178">
        <f>'3-A. CI Sub-Annex'!P59</f>
        <v>0</v>
      </c>
      <c r="P57" s="441">
        <f>'3-A. CI Sub-Annex'!Q59</f>
        <v>0</v>
      </c>
      <c r="Q57" s="3365"/>
      <c r="R57" s="160"/>
    </row>
    <row r="58" spans="1:18" x14ac:dyDescent="0.2">
      <c r="A58" s="1954" t="str">
        <f>'3.Community Intervention Annexn'!A26</f>
        <v>3.1.2.1</v>
      </c>
      <c r="B58" s="1954" t="str">
        <f>'3-A. CI Sub-Annex'!C61</f>
        <v>B1.1.1</v>
      </c>
      <c r="C58" s="1955" t="str">
        <f>'3-A. CI Sub-Annex'!D61</f>
        <v>Selection &amp; Training of ASHA</v>
      </c>
      <c r="D58" s="1954"/>
      <c r="E58" s="1954"/>
      <c r="F58" s="1954"/>
      <c r="G58" s="1954"/>
      <c r="H58" s="1954"/>
      <c r="I58" s="1954"/>
      <c r="J58" s="1954"/>
      <c r="K58" s="1954"/>
      <c r="L58" s="1954"/>
      <c r="M58" s="1956"/>
      <c r="N58" s="1954"/>
      <c r="O58" s="1956"/>
      <c r="P58" s="1955"/>
      <c r="Q58" s="3339"/>
      <c r="R58" s="1964">
        <f>SUM(R59:R68)</f>
        <v>0</v>
      </c>
    </row>
    <row r="59" spans="1:18" x14ac:dyDescent="0.2">
      <c r="A59" s="1138">
        <f>'3-A. CI Sub-Annex'!A62</f>
        <v>1</v>
      </c>
      <c r="B59" s="1138" t="str">
        <f>'3-A. CI Sub-Annex'!C62</f>
        <v>B1.1.1.1</v>
      </c>
      <c r="C59" s="441" t="str">
        <f>'3-A. CI Sub-Annex'!D62</f>
        <v>Induction training</v>
      </c>
      <c r="D59" s="1129" t="str">
        <f>'3-A. CI Sub-Annex'!E62</f>
        <v>HSS</v>
      </c>
      <c r="E59" s="1138" t="str">
        <f>'3-A. CI Sub-Annex'!F62</f>
        <v>NHSRC-CP</v>
      </c>
      <c r="F59" s="1138">
        <f>'3-A. CI Sub-Annex'!G62</f>
        <v>0</v>
      </c>
      <c r="G59" s="1138">
        <f>'3-A. CI Sub-Annex'!H62</f>
        <v>0</v>
      </c>
      <c r="H59" s="1138">
        <f>'3-A. CI Sub-Annex'!I62</f>
        <v>0</v>
      </c>
      <c r="I59" s="1138">
        <f>'3-A. CI Sub-Annex'!J62</f>
        <v>0</v>
      </c>
      <c r="J59" s="1138">
        <f>'3-A. CI Sub-Annex'!K62</f>
        <v>0</v>
      </c>
      <c r="K59" s="1138">
        <f>'3-A. CI Sub-Annex'!L62</f>
        <v>0</v>
      </c>
      <c r="L59" s="1138">
        <f>'3-A. CI Sub-Annex'!M62</f>
        <v>0</v>
      </c>
      <c r="M59" s="178">
        <f>'3-A. CI Sub-Annex'!N62</f>
        <v>0</v>
      </c>
      <c r="N59" s="1138">
        <f>'3-A. CI Sub-Annex'!O62</f>
        <v>0</v>
      </c>
      <c r="O59" s="178">
        <f>'3-A. CI Sub-Annex'!P62</f>
        <v>0</v>
      </c>
      <c r="P59" s="441">
        <f>'3-A. CI Sub-Annex'!Q62</f>
        <v>0</v>
      </c>
      <c r="Q59" s="3365"/>
      <c r="R59" s="160"/>
    </row>
    <row r="60" spans="1:18" x14ac:dyDescent="0.2">
      <c r="A60" s="1138">
        <f>'3-A. CI Sub-Annex'!A63</f>
        <v>2</v>
      </c>
      <c r="B60" s="1138" t="str">
        <f>'3-A. CI Sub-Annex'!C63</f>
        <v>B1.1.1.2</v>
      </c>
      <c r="C60" s="441" t="str">
        <f>'3-A. CI Sub-Annex'!D63</f>
        <v xml:space="preserve">Module VI &amp; VII </v>
      </c>
      <c r="D60" s="1129" t="str">
        <f>'3-A. CI Sub-Annex'!E63</f>
        <v>HSS</v>
      </c>
      <c r="E60" s="1138" t="str">
        <f>'3-A. CI Sub-Annex'!F63</f>
        <v>NHSRC-CP</v>
      </c>
      <c r="F60" s="1138">
        <f>'3-A. CI Sub-Annex'!G63</f>
        <v>0</v>
      </c>
      <c r="G60" s="1138">
        <f>'3-A. CI Sub-Annex'!H63</f>
        <v>0</v>
      </c>
      <c r="H60" s="1138">
        <f>'3-A. CI Sub-Annex'!I63</f>
        <v>0</v>
      </c>
      <c r="I60" s="1138">
        <f>'3-A. CI Sub-Annex'!J63</f>
        <v>0</v>
      </c>
      <c r="J60" s="1138">
        <f>'3-A. CI Sub-Annex'!K63</f>
        <v>0</v>
      </c>
      <c r="K60" s="1138">
        <f>'3-A. CI Sub-Annex'!L63</f>
        <v>0</v>
      </c>
      <c r="L60" s="1138">
        <f>'3-A. CI Sub-Annex'!M63</f>
        <v>0</v>
      </c>
      <c r="M60" s="178">
        <f>'3-A. CI Sub-Annex'!N63</f>
        <v>0</v>
      </c>
      <c r="N60" s="1138">
        <f>'3-A. CI Sub-Annex'!O63</f>
        <v>0</v>
      </c>
      <c r="O60" s="178">
        <f>'3-A. CI Sub-Annex'!P63</f>
        <v>0</v>
      </c>
      <c r="P60" s="441">
        <f>'3-A. CI Sub-Annex'!Q63</f>
        <v>0</v>
      </c>
      <c r="Q60" s="3365"/>
      <c r="R60" s="160"/>
    </row>
    <row r="61" spans="1:18" x14ac:dyDescent="0.2">
      <c r="A61" s="1138">
        <f>'3-A. CI Sub-Annex'!A64</f>
        <v>3</v>
      </c>
      <c r="B61" s="1138" t="str">
        <f>'3-A. CI Sub-Annex'!C64</f>
        <v>B1.2</v>
      </c>
      <c r="C61" s="441" t="str">
        <f>'3-A. CI Sub-Annex'!D64</f>
        <v>Certification of ASHA by NIOS</v>
      </c>
      <c r="D61" s="1129" t="str">
        <f>'3-A. CI Sub-Annex'!E64</f>
        <v>HSS</v>
      </c>
      <c r="E61" s="1138" t="str">
        <f>'3-A. CI Sub-Annex'!F64</f>
        <v>NHSRC-CP</v>
      </c>
      <c r="F61" s="1138">
        <f>'3-A. CI Sub-Annex'!G64</f>
        <v>0</v>
      </c>
      <c r="G61" s="1138">
        <f>'3-A. CI Sub-Annex'!H64</f>
        <v>0</v>
      </c>
      <c r="H61" s="1138">
        <f>'3-A. CI Sub-Annex'!I64</f>
        <v>0</v>
      </c>
      <c r="I61" s="1138">
        <f>'3-A. CI Sub-Annex'!J64</f>
        <v>0</v>
      </c>
      <c r="J61" s="1138">
        <f>'3-A. CI Sub-Annex'!K64</f>
        <v>0</v>
      </c>
      <c r="K61" s="1138">
        <f>'3-A. CI Sub-Annex'!L64</f>
        <v>0</v>
      </c>
      <c r="L61" s="1138">
        <f>'3-A. CI Sub-Annex'!M64</f>
        <v>0</v>
      </c>
      <c r="M61" s="178">
        <f>'3-A. CI Sub-Annex'!N64</f>
        <v>0</v>
      </c>
      <c r="N61" s="1138">
        <f>'3-A. CI Sub-Annex'!O64</f>
        <v>0</v>
      </c>
      <c r="O61" s="178">
        <f>'3-A. CI Sub-Annex'!P64</f>
        <v>0</v>
      </c>
      <c r="P61" s="441">
        <f>'3-A. CI Sub-Annex'!Q64</f>
        <v>0</v>
      </c>
      <c r="Q61" s="3365"/>
      <c r="R61" s="160"/>
    </row>
    <row r="62" spans="1:18" x14ac:dyDescent="0.2">
      <c r="A62" s="1138">
        <f>'3-A. CI Sub-Annex'!A65</f>
        <v>4</v>
      </c>
      <c r="B62" s="1138">
        <f>'3-A. CI Sub-Annex'!C65</f>
        <v>0</v>
      </c>
      <c r="C62" s="441" t="str">
        <f>'3-A. CI Sub-Annex'!D65</f>
        <v>Trainings under HBYC</v>
      </c>
      <c r="D62" s="1129" t="str">
        <f>'3-A. CI Sub-Annex'!E65</f>
        <v>HSS</v>
      </c>
      <c r="E62" s="1138" t="str">
        <f>'3-A. CI Sub-Annex'!F65</f>
        <v>NHSRC-CP</v>
      </c>
      <c r="F62" s="1138">
        <f>'3-A. CI Sub-Annex'!G65</f>
        <v>0</v>
      </c>
      <c r="G62" s="1138">
        <f>'3-A. CI Sub-Annex'!H65</f>
        <v>0</v>
      </c>
      <c r="H62" s="1138">
        <f>'3-A. CI Sub-Annex'!I65</f>
        <v>0</v>
      </c>
      <c r="I62" s="1138">
        <f>'3-A. CI Sub-Annex'!J65</f>
        <v>0</v>
      </c>
      <c r="J62" s="1138">
        <f>'3-A. CI Sub-Annex'!K65</f>
        <v>0</v>
      </c>
      <c r="K62" s="1138">
        <f>'3-A. CI Sub-Annex'!L65</f>
        <v>0</v>
      </c>
      <c r="L62" s="1138">
        <f>'3-A. CI Sub-Annex'!M65</f>
        <v>0</v>
      </c>
      <c r="M62" s="178">
        <f>'3-A. CI Sub-Annex'!N65</f>
        <v>0</v>
      </c>
      <c r="N62" s="1138">
        <f>'3-A. CI Sub-Annex'!O65</f>
        <v>0</v>
      </c>
      <c r="O62" s="178">
        <f>'3-A. CI Sub-Annex'!P65</f>
        <v>0</v>
      </c>
      <c r="P62" s="441">
        <f>'3-A. CI Sub-Annex'!Q65</f>
        <v>0</v>
      </c>
      <c r="Q62" s="3365"/>
      <c r="R62" s="160"/>
    </row>
    <row r="63" spans="1:18" x14ac:dyDescent="0.2">
      <c r="A63" s="1138">
        <f>'3-A. CI Sub-Annex'!A66</f>
        <v>5</v>
      </c>
      <c r="B63" s="1138">
        <f>'3-A. CI Sub-Annex'!C66</f>
        <v>0</v>
      </c>
      <c r="C63" s="441" t="str">
        <f>'3-A. CI Sub-Annex'!D66</f>
        <v xml:space="preserve">Training on Expanded services packages at HWCs </v>
      </c>
      <c r="D63" s="1129" t="str">
        <f>'3-A. CI Sub-Annex'!E66</f>
        <v>HSS</v>
      </c>
      <c r="E63" s="1138" t="str">
        <f>'3-A. CI Sub-Annex'!F66</f>
        <v>NHSRC-CP</v>
      </c>
      <c r="F63" s="1138">
        <f>'3-A. CI Sub-Annex'!G66</f>
        <v>0</v>
      </c>
      <c r="G63" s="1138">
        <f>'3-A. CI Sub-Annex'!H66</f>
        <v>0</v>
      </c>
      <c r="H63" s="1138">
        <f>'3-A. CI Sub-Annex'!I66</f>
        <v>0</v>
      </c>
      <c r="I63" s="1138">
        <f>'3-A. CI Sub-Annex'!J66</f>
        <v>0</v>
      </c>
      <c r="J63" s="1138">
        <f>'3-A. CI Sub-Annex'!K66</f>
        <v>0</v>
      </c>
      <c r="K63" s="1138">
        <f>'3-A. CI Sub-Annex'!L66</f>
        <v>0</v>
      </c>
      <c r="L63" s="1138">
        <f>'3-A. CI Sub-Annex'!M66</f>
        <v>0</v>
      </c>
      <c r="M63" s="178">
        <f>'3-A. CI Sub-Annex'!N66</f>
        <v>0</v>
      </c>
      <c r="N63" s="1138">
        <f>'3-A. CI Sub-Annex'!O66</f>
        <v>0</v>
      </c>
      <c r="O63" s="178">
        <f>'3-A. CI Sub-Annex'!P66</f>
        <v>0</v>
      </c>
      <c r="P63" s="441">
        <f>'3-A. CI Sub-Annex'!Q66</f>
        <v>0</v>
      </c>
      <c r="Q63" s="3365"/>
      <c r="R63" s="160"/>
    </row>
    <row r="64" spans="1:18" x14ac:dyDescent="0.2">
      <c r="A64" s="1138">
        <f>'3-A. CI Sub-Annex'!A67</f>
        <v>6</v>
      </c>
      <c r="B64" s="1138">
        <f>'3-A. CI Sub-Annex'!C67</f>
        <v>0</v>
      </c>
      <c r="C64" s="441" t="str">
        <f>'3-A. CI Sub-Annex'!D67</f>
        <v xml:space="preserve">Supplementary /Refresher/ Other  training for ASHAs </v>
      </c>
      <c r="D64" s="1129" t="str">
        <f>'3-A. CI Sub-Annex'!E67</f>
        <v>HSS</v>
      </c>
      <c r="E64" s="1138" t="str">
        <f>'3-A. CI Sub-Annex'!F67</f>
        <v>NHSRC-CP</v>
      </c>
      <c r="F64" s="1138">
        <f>'3-A. CI Sub-Annex'!G67</f>
        <v>0</v>
      </c>
      <c r="G64" s="1138">
        <f>'3-A. CI Sub-Annex'!H67</f>
        <v>0</v>
      </c>
      <c r="H64" s="1138">
        <f>'3-A. CI Sub-Annex'!I67</f>
        <v>0</v>
      </c>
      <c r="I64" s="1138">
        <f>'3-A. CI Sub-Annex'!J67</f>
        <v>0</v>
      </c>
      <c r="J64" s="1138">
        <f>'3-A. CI Sub-Annex'!K67</f>
        <v>0</v>
      </c>
      <c r="K64" s="1138">
        <f>'3-A. CI Sub-Annex'!L67</f>
        <v>0</v>
      </c>
      <c r="L64" s="1138">
        <f>'3-A. CI Sub-Annex'!M67</f>
        <v>0</v>
      </c>
      <c r="M64" s="178">
        <f>'3-A. CI Sub-Annex'!N67</f>
        <v>0</v>
      </c>
      <c r="N64" s="1138">
        <f>'3-A. CI Sub-Annex'!O67</f>
        <v>0</v>
      </c>
      <c r="O64" s="178">
        <f>'3-A. CI Sub-Annex'!P67</f>
        <v>0</v>
      </c>
      <c r="P64" s="441">
        <f>'3-A. CI Sub-Annex'!Q67</f>
        <v>0</v>
      </c>
      <c r="Q64" s="3342"/>
      <c r="R64" s="160"/>
    </row>
    <row r="65" spans="1:18" x14ac:dyDescent="0.2">
      <c r="A65" s="1138">
        <f>'3-A. CI Sub-Annex'!A68</f>
        <v>7</v>
      </c>
      <c r="B65" s="1138" t="str">
        <f>'3-A. CI Sub-Annex'!C68</f>
        <v>B1.1.1.3</v>
      </c>
      <c r="C65" s="441" t="str">
        <f>'3-A. CI Sub-Annex'!D68</f>
        <v xml:space="preserve">Supplementary /Refresher training for ASHAs </v>
      </c>
      <c r="D65" s="1129" t="str">
        <f>'3-A. CI Sub-Annex'!E68</f>
        <v>HSS</v>
      </c>
      <c r="E65" s="1138" t="str">
        <f>'3-A. CI Sub-Annex'!F68</f>
        <v>NHSRC-CP</v>
      </c>
      <c r="F65" s="1138">
        <f>'3-A. CI Sub-Annex'!G68</f>
        <v>0</v>
      </c>
      <c r="G65" s="1138">
        <f>'3-A. CI Sub-Annex'!H68</f>
        <v>0</v>
      </c>
      <c r="H65" s="1138">
        <f>'3-A. CI Sub-Annex'!I68</f>
        <v>0</v>
      </c>
      <c r="I65" s="1138">
        <f>'3-A. CI Sub-Annex'!J68</f>
        <v>0</v>
      </c>
      <c r="J65" s="1138">
        <f>'3-A. CI Sub-Annex'!K68</f>
        <v>0</v>
      </c>
      <c r="K65" s="1138">
        <f>'3-A. CI Sub-Annex'!L68</f>
        <v>0</v>
      </c>
      <c r="L65" s="1138">
        <f>'3-A. CI Sub-Annex'!M68</f>
        <v>0</v>
      </c>
      <c r="M65" s="178">
        <f>'3-A. CI Sub-Annex'!N68</f>
        <v>0</v>
      </c>
      <c r="N65" s="1138">
        <f>'3-A. CI Sub-Annex'!O68</f>
        <v>0</v>
      </c>
      <c r="O65" s="178">
        <f>'3-A. CI Sub-Annex'!P68</f>
        <v>0</v>
      </c>
      <c r="P65" s="441">
        <f>'3-A. CI Sub-Annex'!Q68</f>
        <v>0</v>
      </c>
      <c r="Q65" s="3342"/>
      <c r="R65" s="160"/>
    </row>
    <row r="66" spans="1:18" ht="75" x14ac:dyDescent="0.2">
      <c r="A66" s="1138">
        <f>'3-A. CI Sub-Annex'!A69</f>
        <v>8</v>
      </c>
      <c r="B66" s="1138" t="str">
        <f>'3-A. CI Sub-Annex'!C69</f>
        <v>A.3.2.6</v>
      </c>
      <c r="C66" s="441" t="str">
        <f>'3-A. CI Sub-Annex'!D69</f>
        <v xml:space="preserve">Orientation/review  of ASHAs (as applicable) for New Contraceptives, Post partum and post abortion Family Planning, Scheme for home delivery of contraceptives (HDC), Ensuring spacing at birth (ESB {wherever applicable}), Pregnancy Testing Kits (PTK) </v>
      </c>
      <c r="D66" s="1129" t="str">
        <f>'3-A. CI Sub-Annex'!E69</f>
        <v>HSS</v>
      </c>
      <c r="E66" s="1138" t="str">
        <f>'3-A. CI Sub-Annex'!F69</f>
        <v>NHSRC-CP</v>
      </c>
      <c r="F66" s="1138">
        <f>'3-A. CI Sub-Annex'!G69</f>
        <v>0</v>
      </c>
      <c r="G66" s="1138">
        <f>'3-A. CI Sub-Annex'!H69</f>
        <v>0</v>
      </c>
      <c r="H66" s="1138">
        <f>'3-A. CI Sub-Annex'!I69</f>
        <v>0</v>
      </c>
      <c r="I66" s="1138">
        <f>'3-A. CI Sub-Annex'!J69</f>
        <v>0</v>
      </c>
      <c r="J66" s="1138">
        <f>'3-A. CI Sub-Annex'!K69</f>
        <v>0</v>
      </c>
      <c r="K66" s="1138">
        <f>'3-A. CI Sub-Annex'!L69</f>
        <v>0</v>
      </c>
      <c r="L66" s="1138">
        <f>'3-A. CI Sub-Annex'!M69</f>
        <v>0</v>
      </c>
      <c r="M66" s="178">
        <f>'3-A. CI Sub-Annex'!N69</f>
        <v>0</v>
      </c>
      <c r="N66" s="1138">
        <f>'3-A. CI Sub-Annex'!O69</f>
        <v>0</v>
      </c>
      <c r="O66" s="178">
        <f>'3-A. CI Sub-Annex'!P69</f>
        <v>0</v>
      </c>
      <c r="P66" s="441">
        <f>'3-A. CI Sub-Annex'!Q69</f>
        <v>0</v>
      </c>
      <c r="Q66" s="3342"/>
      <c r="R66" s="160"/>
    </row>
    <row r="67" spans="1:18" ht="30" x14ac:dyDescent="0.2">
      <c r="A67" s="1138">
        <f>'3-A. CI Sub-Annex'!A70</f>
        <v>9</v>
      </c>
      <c r="B67" s="1138" t="str">
        <f>'3-A. CI Sub-Annex'!C70</f>
        <v>A.9.12.5</v>
      </c>
      <c r="C67" s="441" t="str">
        <f>'3-A. CI Sub-Annex'!D70</f>
        <v>Training/Refresher training -ASHA (one day) (RBSK trainings)</v>
      </c>
      <c r="D67" s="1129" t="str">
        <f>'3-A. CI Sub-Annex'!E70</f>
        <v>HSS</v>
      </c>
      <c r="E67" s="1138" t="str">
        <f>'3-A. CI Sub-Annex'!F70</f>
        <v>NHSRC-CP</v>
      </c>
      <c r="F67" s="1138">
        <f>'3-A. CI Sub-Annex'!G70</f>
        <v>0</v>
      </c>
      <c r="G67" s="1138">
        <f>'3-A. CI Sub-Annex'!H70</f>
        <v>0</v>
      </c>
      <c r="H67" s="1138">
        <f>'3-A. CI Sub-Annex'!I70</f>
        <v>0</v>
      </c>
      <c r="I67" s="1138">
        <f>'3-A. CI Sub-Annex'!J70</f>
        <v>0</v>
      </c>
      <c r="J67" s="1138">
        <f>'3-A. CI Sub-Annex'!K70</f>
        <v>0</v>
      </c>
      <c r="K67" s="1138">
        <f>'3-A. CI Sub-Annex'!L70</f>
        <v>0</v>
      </c>
      <c r="L67" s="1138">
        <f>'3-A. CI Sub-Annex'!M70</f>
        <v>0</v>
      </c>
      <c r="M67" s="178">
        <f>'3-A. CI Sub-Annex'!N70</f>
        <v>0</v>
      </c>
      <c r="N67" s="1138">
        <f>'3-A. CI Sub-Annex'!O70</f>
        <v>0</v>
      </c>
      <c r="O67" s="178">
        <f>'3-A. CI Sub-Annex'!P70</f>
        <v>0</v>
      </c>
      <c r="P67" s="441">
        <f>'3-A. CI Sub-Annex'!Q70</f>
        <v>0</v>
      </c>
      <c r="Q67" s="3342"/>
      <c r="R67" s="160"/>
    </row>
    <row r="68" spans="1:18" ht="30" x14ac:dyDescent="0.2">
      <c r="A68" s="1138">
        <f>'3-A. CI Sub-Annex'!A71</f>
        <v>10</v>
      </c>
      <c r="B68" s="1138">
        <f>'3-A. CI Sub-Annex'!C71</f>
        <v>0</v>
      </c>
      <c r="C68" s="441" t="str">
        <f>'3-A. CI Sub-Annex'!D71</f>
        <v>Training of ASHAs in National Childhood Pneumonia Management Guidelines under SAANS</v>
      </c>
      <c r="D68" s="1129" t="str">
        <f>'3-A. CI Sub-Annex'!E71</f>
        <v>HSS</v>
      </c>
      <c r="E68" s="1138" t="str">
        <f>'3-A. CI Sub-Annex'!F71</f>
        <v>NHSRC-CP</v>
      </c>
      <c r="F68" s="1138">
        <f>'3-A. CI Sub-Annex'!G71</f>
        <v>0</v>
      </c>
      <c r="G68" s="1138">
        <f>'3-A. CI Sub-Annex'!H71</f>
        <v>0</v>
      </c>
      <c r="H68" s="1138">
        <f>'3-A. CI Sub-Annex'!I71</f>
        <v>0</v>
      </c>
      <c r="I68" s="1138">
        <f>'3-A. CI Sub-Annex'!J71</f>
        <v>0</v>
      </c>
      <c r="J68" s="1138">
        <f>'3-A. CI Sub-Annex'!K71</f>
        <v>0</v>
      </c>
      <c r="K68" s="1138">
        <f>'3-A. CI Sub-Annex'!L71</f>
        <v>0</v>
      </c>
      <c r="L68" s="1138">
        <f>'3-A. CI Sub-Annex'!M71</f>
        <v>0</v>
      </c>
      <c r="M68" s="178">
        <f>'3-A. CI Sub-Annex'!N71</f>
        <v>0</v>
      </c>
      <c r="N68" s="1138">
        <f>'3-A. CI Sub-Annex'!O71</f>
        <v>0</v>
      </c>
      <c r="O68" s="178">
        <f>'3-A. CI Sub-Annex'!P71</f>
        <v>0</v>
      </c>
      <c r="P68" s="441">
        <f>'3-A. CI Sub-Annex'!Q71</f>
        <v>0</v>
      </c>
      <c r="Q68" s="3342"/>
      <c r="R68" s="160"/>
    </row>
    <row r="69" spans="1:18" x14ac:dyDescent="0.2">
      <c r="A69" s="1954" t="str">
        <f>'3.Community Intervention Annexn'!A27</f>
        <v>3.1.2.2</v>
      </c>
      <c r="B69" s="1954">
        <f>'3-A. CI Sub-Annex'!C72</f>
        <v>0</v>
      </c>
      <c r="C69" s="1955" t="str">
        <f>'3-A. CI Sub-Annex'!D72</f>
        <v>Training of ASHA facilitator</v>
      </c>
      <c r="D69" s="1954"/>
      <c r="E69" s="1954"/>
      <c r="F69" s="1954"/>
      <c r="G69" s="1954"/>
      <c r="H69" s="1954"/>
      <c r="I69" s="1954"/>
      <c r="J69" s="1954"/>
      <c r="K69" s="1954"/>
      <c r="L69" s="1954"/>
      <c r="M69" s="1956"/>
      <c r="N69" s="1954"/>
      <c r="O69" s="1956"/>
      <c r="P69" s="1955"/>
      <c r="Q69" s="3339"/>
      <c r="R69" s="1964">
        <f>SUM(R70:R72)</f>
        <v>0</v>
      </c>
    </row>
    <row r="70" spans="1:18" x14ac:dyDescent="0.2">
      <c r="A70" s="1138">
        <f>'3-A. CI Sub-Annex'!A73</f>
        <v>1</v>
      </c>
      <c r="B70" s="1138" t="str">
        <f>'3-A. CI Sub-Annex'!C73</f>
        <v>B1.1.1.5.1</v>
      </c>
      <c r="C70" s="441" t="str">
        <f>'3-A. CI Sub-Annex'!D73</f>
        <v>Training of ASHA facilitator</v>
      </c>
      <c r="D70" s="1129" t="str">
        <f>'3-A. CI Sub-Annex'!E73</f>
        <v>HSS</v>
      </c>
      <c r="E70" s="1138" t="str">
        <f>'3-A. CI Sub-Annex'!F73</f>
        <v>NHSRC-CP</v>
      </c>
      <c r="F70" s="1138">
        <f>'3-A. CI Sub-Annex'!G73</f>
        <v>0</v>
      </c>
      <c r="G70" s="1138">
        <f>'3-A. CI Sub-Annex'!H73</f>
        <v>0</v>
      </c>
      <c r="H70" s="1138">
        <f>'3-A. CI Sub-Annex'!I73</f>
        <v>0</v>
      </c>
      <c r="I70" s="1138">
        <f>'3-A. CI Sub-Annex'!J73</f>
        <v>0</v>
      </c>
      <c r="J70" s="1138">
        <f>'3-A. CI Sub-Annex'!K73</f>
        <v>0</v>
      </c>
      <c r="K70" s="1138">
        <f>'3-A. CI Sub-Annex'!L73</f>
        <v>0</v>
      </c>
      <c r="L70" s="1138">
        <f>'3-A. CI Sub-Annex'!M73</f>
        <v>0</v>
      </c>
      <c r="M70" s="178">
        <f>'3-A. CI Sub-Annex'!N73</f>
        <v>0</v>
      </c>
      <c r="N70" s="1138">
        <f>'3-A. CI Sub-Annex'!O73</f>
        <v>0</v>
      </c>
      <c r="O70" s="178">
        <f>'3-A. CI Sub-Annex'!P73</f>
        <v>0</v>
      </c>
      <c r="P70" s="441">
        <f>'3-A. CI Sub-Annex'!Q73</f>
        <v>0</v>
      </c>
      <c r="Q70" s="3342"/>
      <c r="R70" s="160"/>
    </row>
    <row r="71" spans="1:18" x14ac:dyDescent="0.2">
      <c r="A71" s="1138">
        <f>'3-A. CI Sub-Annex'!A74</f>
        <v>2</v>
      </c>
      <c r="B71" s="1138">
        <f>'3-A. CI Sub-Annex'!C74</f>
        <v>0</v>
      </c>
      <c r="C71" s="441" t="str">
        <f>'3-A. CI Sub-Annex'!D74</f>
        <v xml:space="preserve">Other training </v>
      </c>
      <c r="D71" s="1129" t="str">
        <f>'3-A. CI Sub-Annex'!E74</f>
        <v>HSS</v>
      </c>
      <c r="E71" s="1138" t="str">
        <f>'3-A. CI Sub-Annex'!F74</f>
        <v>NHSRC-CP</v>
      </c>
      <c r="F71" s="1138">
        <f>'3-A. CI Sub-Annex'!G74</f>
        <v>0</v>
      </c>
      <c r="G71" s="1138">
        <f>'3-A. CI Sub-Annex'!H74</f>
        <v>0</v>
      </c>
      <c r="H71" s="1138">
        <f>'3-A. CI Sub-Annex'!I74</f>
        <v>0</v>
      </c>
      <c r="I71" s="1138">
        <f>'3-A. CI Sub-Annex'!J74</f>
        <v>0</v>
      </c>
      <c r="J71" s="1138">
        <f>'3-A. CI Sub-Annex'!K74</f>
        <v>0</v>
      </c>
      <c r="K71" s="1138">
        <f>'3-A. CI Sub-Annex'!L74</f>
        <v>0</v>
      </c>
      <c r="L71" s="1138">
        <f>'3-A. CI Sub-Annex'!M74</f>
        <v>0</v>
      </c>
      <c r="M71" s="178">
        <f>'3-A. CI Sub-Annex'!N74</f>
        <v>0</v>
      </c>
      <c r="N71" s="1138">
        <f>'3-A. CI Sub-Annex'!O74</f>
        <v>0</v>
      </c>
      <c r="O71" s="178">
        <f>'3-A. CI Sub-Annex'!P74</f>
        <v>0</v>
      </c>
      <c r="P71" s="441">
        <f>'3-A. CI Sub-Annex'!Q74</f>
        <v>0</v>
      </c>
      <c r="Q71" s="3342"/>
      <c r="R71" s="160"/>
    </row>
    <row r="72" spans="1:18" x14ac:dyDescent="0.2">
      <c r="A72" s="1138" t="str">
        <f>'3.Community Intervention Annexn'!A28</f>
        <v>3.1.2.4</v>
      </c>
      <c r="B72" s="1138">
        <f>'3-A. CI Sub-Annex'!C75</f>
        <v>0</v>
      </c>
      <c r="C72" s="441" t="str">
        <f>'3-A. CI Sub-Annex'!D75</f>
        <v>Any other (please specify)</v>
      </c>
      <c r="D72" s="1129" t="str">
        <f>'3-A. CI Sub-Annex'!E75</f>
        <v>HSS</v>
      </c>
      <c r="E72" s="1138" t="str">
        <f>'3-A. CI Sub-Annex'!F75</f>
        <v>NHSRC-CP</v>
      </c>
      <c r="F72" s="1138">
        <f>'3-A. CI Sub-Annex'!G75</f>
        <v>0</v>
      </c>
      <c r="G72" s="1138">
        <f>'3-A. CI Sub-Annex'!H75</f>
        <v>0</v>
      </c>
      <c r="H72" s="1138">
        <f>'3-A. CI Sub-Annex'!I75</f>
        <v>0</v>
      </c>
      <c r="I72" s="1138">
        <f>'3-A. CI Sub-Annex'!J75</f>
        <v>0</v>
      </c>
      <c r="J72" s="1138">
        <f>'3-A. CI Sub-Annex'!K75</f>
        <v>0</v>
      </c>
      <c r="K72" s="1138">
        <f>'3-A. CI Sub-Annex'!L75</f>
        <v>0</v>
      </c>
      <c r="L72" s="1138">
        <f>'3-A. CI Sub-Annex'!M75</f>
        <v>0</v>
      </c>
      <c r="M72" s="178">
        <f>'3-A. CI Sub-Annex'!N75</f>
        <v>0</v>
      </c>
      <c r="N72" s="1138">
        <f>'3-A. CI Sub-Annex'!O75</f>
        <v>0</v>
      </c>
      <c r="O72" s="178">
        <f>'3-A. CI Sub-Annex'!P75</f>
        <v>0</v>
      </c>
      <c r="P72" s="441">
        <f>'3-A. CI Sub-Annex'!Q75</f>
        <v>0</v>
      </c>
      <c r="Q72" s="3365"/>
      <c r="R72" s="160"/>
    </row>
    <row r="73" spans="1:18" x14ac:dyDescent="0.2">
      <c r="A73" s="1954" t="str">
        <f>'3.Community Intervention Annexn'!A30</f>
        <v>3.1.3.1</v>
      </c>
      <c r="B73" s="1954">
        <f>'3-A. CI Sub-Annex'!C77</f>
        <v>0</v>
      </c>
      <c r="C73" s="1955" t="str">
        <f>'3-A. CI Sub-Annex'!D77</f>
        <v>Support provisions to ASHA</v>
      </c>
      <c r="D73" s="1954"/>
      <c r="E73" s="1954"/>
      <c r="F73" s="1954"/>
      <c r="G73" s="1954"/>
      <c r="H73" s="1954"/>
      <c r="I73" s="1954"/>
      <c r="J73" s="1954"/>
      <c r="K73" s="1954"/>
      <c r="L73" s="1954"/>
      <c r="M73" s="1956"/>
      <c r="N73" s="1954"/>
      <c r="O73" s="1956"/>
      <c r="P73" s="1955"/>
      <c r="Q73" s="3339"/>
      <c r="R73" s="1964">
        <f>SUM(R74:R81)</f>
        <v>0</v>
      </c>
    </row>
    <row r="74" spans="1:18" x14ac:dyDescent="0.2">
      <c r="A74" s="1138">
        <f>'3-A. CI Sub-Annex'!A78</f>
        <v>1</v>
      </c>
      <c r="B74" s="1138" t="str">
        <f>'3-A. CI Sub-Annex'!C78</f>
        <v>B1.1.3.7</v>
      </c>
      <c r="C74" s="441" t="str">
        <f>'3-A. CI Sub-Annex'!D78</f>
        <v>Uniform</v>
      </c>
      <c r="D74" s="1129" t="str">
        <f>'3-A. CI Sub-Annex'!E78</f>
        <v>HSS</v>
      </c>
      <c r="E74" s="1138" t="str">
        <f>'3-A. CI Sub-Annex'!F78</f>
        <v>NHSRC-CP</v>
      </c>
      <c r="F74" s="1138">
        <f>'3-A. CI Sub-Annex'!G78</f>
        <v>0</v>
      </c>
      <c r="G74" s="1138">
        <f>'3-A. CI Sub-Annex'!H78</f>
        <v>0</v>
      </c>
      <c r="H74" s="1138">
        <f>'3-A. CI Sub-Annex'!I78</f>
        <v>0</v>
      </c>
      <c r="I74" s="1138">
        <f>'3-A. CI Sub-Annex'!J78</f>
        <v>0</v>
      </c>
      <c r="J74" s="1138">
        <f>'3-A. CI Sub-Annex'!K78</f>
        <v>0</v>
      </c>
      <c r="K74" s="1138">
        <f>'3-A. CI Sub-Annex'!L78</f>
        <v>0</v>
      </c>
      <c r="L74" s="1138">
        <f>'3-A. CI Sub-Annex'!M78</f>
        <v>0</v>
      </c>
      <c r="M74" s="178">
        <f>'3-A. CI Sub-Annex'!N78</f>
        <v>0</v>
      </c>
      <c r="N74" s="1138">
        <f>'3-A. CI Sub-Annex'!O78</f>
        <v>0</v>
      </c>
      <c r="O74" s="178">
        <f>'3-A. CI Sub-Annex'!P78</f>
        <v>0</v>
      </c>
      <c r="P74" s="441">
        <f>'3-A. CI Sub-Annex'!Q78</f>
        <v>0</v>
      </c>
      <c r="Q74" s="3365"/>
      <c r="R74" s="160"/>
    </row>
    <row r="75" spans="1:18" x14ac:dyDescent="0.2">
      <c r="A75" s="1138">
        <f>'3-A. CI Sub-Annex'!A79</f>
        <v>2</v>
      </c>
      <c r="B75" s="1138">
        <f>'3-A. CI Sub-Annex'!C79</f>
        <v>0</v>
      </c>
      <c r="C75" s="441" t="str">
        <f>'3-A. CI Sub-Annex'!D79</f>
        <v>ID cards</v>
      </c>
      <c r="D75" s="1129" t="str">
        <f>'3-A. CI Sub-Annex'!E79</f>
        <v>HSS</v>
      </c>
      <c r="E75" s="1138" t="str">
        <f>'3-A. CI Sub-Annex'!F79</f>
        <v>NHSRC-CP</v>
      </c>
      <c r="F75" s="1138">
        <f>'3-A. CI Sub-Annex'!G79</f>
        <v>0</v>
      </c>
      <c r="G75" s="1138">
        <f>'3-A. CI Sub-Annex'!H79</f>
        <v>0</v>
      </c>
      <c r="H75" s="1138">
        <f>'3-A. CI Sub-Annex'!I79</f>
        <v>0</v>
      </c>
      <c r="I75" s="1138">
        <f>'3-A. CI Sub-Annex'!J79</f>
        <v>0</v>
      </c>
      <c r="J75" s="1138">
        <f>'3-A. CI Sub-Annex'!K79</f>
        <v>0</v>
      </c>
      <c r="K75" s="1138">
        <f>'3-A. CI Sub-Annex'!L79</f>
        <v>0</v>
      </c>
      <c r="L75" s="1138">
        <f>'3-A. CI Sub-Annex'!M79</f>
        <v>0</v>
      </c>
      <c r="M75" s="178">
        <f>'3-A. CI Sub-Annex'!N79</f>
        <v>0</v>
      </c>
      <c r="N75" s="1138">
        <f>'3-A. CI Sub-Annex'!O79</f>
        <v>0</v>
      </c>
      <c r="O75" s="178">
        <f>'3-A. CI Sub-Annex'!P79</f>
        <v>0</v>
      </c>
      <c r="P75" s="441">
        <f>'3-A. CI Sub-Annex'!Q79</f>
        <v>0</v>
      </c>
      <c r="Q75" s="3342"/>
      <c r="R75" s="160"/>
    </row>
    <row r="76" spans="1:18" x14ac:dyDescent="0.2">
      <c r="A76" s="1138">
        <f>'3-A. CI Sub-Annex'!A80</f>
        <v>3</v>
      </c>
      <c r="B76" s="1138" t="str">
        <f>'3-A. CI Sub-Annex'!C80</f>
        <v>B1.1.4</v>
      </c>
      <c r="C76" s="441" t="str">
        <f>'3-A. CI Sub-Annex'!D80</f>
        <v>Awards</v>
      </c>
      <c r="D76" s="1129" t="str">
        <f>'3-A. CI Sub-Annex'!E80</f>
        <v>HSS</v>
      </c>
      <c r="E76" s="1138" t="str">
        <f>'3-A. CI Sub-Annex'!F80</f>
        <v>NHSRC-CP</v>
      </c>
      <c r="F76" s="1138">
        <f>'3-A. CI Sub-Annex'!G80</f>
        <v>0</v>
      </c>
      <c r="G76" s="1138">
        <f>'3-A. CI Sub-Annex'!H80</f>
        <v>0</v>
      </c>
      <c r="H76" s="1138">
        <f>'3-A. CI Sub-Annex'!I80</f>
        <v>0</v>
      </c>
      <c r="I76" s="1138">
        <f>'3-A. CI Sub-Annex'!J80</f>
        <v>0</v>
      </c>
      <c r="J76" s="1138">
        <f>'3-A. CI Sub-Annex'!K80</f>
        <v>0</v>
      </c>
      <c r="K76" s="1138">
        <f>'3-A. CI Sub-Annex'!L80</f>
        <v>0</v>
      </c>
      <c r="L76" s="1138">
        <f>'3-A. CI Sub-Annex'!M80</f>
        <v>0</v>
      </c>
      <c r="M76" s="178">
        <f>'3-A. CI Sub-Annex'!N80</f>
        <v>0</v>
      </c>
      <c r="N76" s="1138">
        <f>'3-A. CI Sub-Annex'!O80</f>
        <v>0</v>
      </c>
      <c r="O76" s="178">
        <f>'3-A. CI Sub-Annex'!P80</f>
        <v>0</v>
      </c>
      <c r="P76" s="441">
        <f>'3-A. CI Sub-Annex'!Q80</f>
        <v>0</v>
      </c>
      <c r="Q76" s="3342"/>
      <c r="R76" s="160"/>
    </row>
    <row r="77" spans="1:18" x14ac:dyDescent="0.2">
      <c r="A77" s="1138">
        <f>'3-A. CI Sub-Annex'!A81</f>
        <v>4</v>
      </c>
      <c r="B77" s="1138">
        <f>'3-A. CI Sub-Annex'!C81</f>
        <v>0</v>
      </c>
      <c r="C77" s="441" t="str">
        <f>'3-A. CI Sub-Annex'!D81</f>
        <v>Samelan</v>
      </c>
      <c r="D77" s="1129" t="str">
        <f>'3-A. CI Sub-Annex'!E81</f>
        <v>HSS</v>
      </c>
      <c r="E77" s="1138" t="str">
        <f>'3-A. CI Sub-Annex'!F81</f>
        <v>NHSRC-CP</v>
      </c>
      <c r="F77" s="1138">
        <f>'3-A. CI Sub-Annex'!G81</f>
        <v>0</v>
      </c>
      <c r="G77" s="1138">
        <f>'3-A. CI Sub-Annex'!H81</f>
        <v>0</v>
      </c>
      <c r="H77" s="1138">
        <f>'3-A. CI Sub-Annex'!I81</f>
        <v>0</v>
      </c>
      <c r="I77" s="1138">
        <f>'3-A. CI Sub-Annex'!J81</f>
        <v>0</v>
      </c>
      <c r="J77" s="1138">
        <f>'3-A. CI Sub-Annex'!K81</f>
        <v>0</v>
      </c>
      <c r="K77" s="1138">
        <f>'3-A. CI Sub-Annex'!L81</f>
        <v>0</v>
      </c>
      <c r="L77" s="1138">
        <f>'3-A. CI Sub-Annex'!M81</f>
        <v>0</v>
      </c>
      <c r="M77" s="178">
        <f>'3-A. CI Sub-Annex'!N81</f>
        <v>0</v>
      </c>
      <c r="N77" s="1138">
        <f>'3-A. CI Sub-Annex'!O81</f>
        <v>0</v>
      </c>
      <c r="O77" s="178">
        <f>'3-A. CI Sub-Annex'!P81</f>
        <v>0</v>
      </c>
      <c r="P77" s="441">
        <f>'3-A. CI Sub-Annex'!Q81</f>
        <v>0</v>
      </c>
      <c r="Q77" s="3342"/>
      <c r="R77" s="160"/>
    </row>
    <row r="78" spans="1:18" x14ac:dyDescent="0.2">
      <c r="A78" s="1138">
        <f>'3-A. CI Sub-Annex'!A82</f>
        <v>5</v>
      </c>
      <c r="B78" s="1138">
        <f>'3-A. CI Sub-Annex'!C82</f>
        <v>0</v>
      </c>
      <c r="C78" s="441" t="str">
        <f>'3-A. CI Sub-Annex'!D82</f>
        <v xml:space="preserve">CUG </v>
      </c>
      <c r="D78" s="1129" t="str">
        <f>'3-A. CI Sub-Annex'!E82</f>
        <v>HSS</v>
      </c>
      <c r="E78" s="1138" t="str">
        <f>'3-A. CI Sub-Annex'!F82</f>
        <v>NHSRC-CP</v>
      </c>
      <c r="F78" s="1138">
        <f>'3-A. CI Sub-Annex'!G82</f>
        <v>0</v>
      </c>
      <c r="G78" s="1138">
        <f>'3-A. CI Sub-Annex'!H82</f>
        <v>0</v>
      </c>
      <c r="H78" s="1138">
        <f>'3-A. CI Sub-Annex'!I82</f>
        <v>0</v>
      </c>
      <c r="I78" s="1138">
        <f>'3-A. CI Sub-Annex'!J82</f>
        <v>0</v>
      </c>
      <c r="J78" s="1138">
        <f>'3-A. CI Sub-Annex'!K82</f>
        <v>0</v>
      </c>
      <c r="K78" s="1138">
        <f>'3-A. CI Sub-Annex'!L82</f>
        <v>0</v>
      </c>
      <c r="L78" s="1138">
        <f>'3-A. CI Sub-Annex'!M82</f>
        <v>0</v>
      </c>
      <c r="M78" s="178">
        <f>'3-A. CI Sub-Annex'!N82</f>
        <v>0</v>
      </c>
      <c r="N78" s="1138">
        <f>'3-A. CI Sub-Annex'!O82</f>
        <v>0</v>
      </c>
      <c r="O78" s="178">
        <f>'3-A. CI Sub-Annex'!P82</f>
        <v>0</v>
      </c>
      <c r="P78" s="441">
        <f>'3-A. CI Sub-Annex'!Q82</f>
        <v>0</v>
      </c>
      <c r="Q78" s="3342"/>
      <c r="R78" s="160"/>
    </row>
    <row r="79" spans="1:18" x14ac:dyDescent="0.2">
      <c r="A79" s="1138">
        <f>'3-A. CI Sub-Annex'!A83</f>
        <v>6</v>
      </c>
      <c r="B79" s="1138" t="str">
        <f>'3-A. CI Sub-Annex'!C83</f>
        <v>B1.1.1.4.1</v>
      </c>
      <c r="C79" s="441" t="str">
        <f>'3-A. CI Sub-Annex'!D83</f>
        <v>Supervision costs  by ASHA facilitators(12 months)</v>
      </c>
      <c r="D79" s="1129" t="str">
        <f>'3-A. CI Sub-Annex'!E83</f>
        <v>HSS</v>
      </c>
      <c r="E79" s="1138" t="str">
        <f>'3-A. CI Sub-Annex'!F83</f>
        <v>NHSRC-CP</v>
      </c>
      <c r="F79" s="1138">
        <f>'3-A. CI Sub-Annex'!G83</f>
        <v>0</v>
      </c>
      <c r="G79" s="1138">
        <f>'3-A. CI Sub-Annex'!H83</f>
        <v>0</v>
      </c>
      <c r="H79" s="1138">
        <f>'3-A. CI Sub-Annex'!I83</f>
        <v>0</v>
      </c>
      <c r="I79" s="1138">
        <f>'3-A. CI Sub-Annex'!J83</f>
        <v>0</v>
      </c>
      <c r="J79" s="1138">
        <f>'3-A. CI Sub-Annex'!K83</f>
        <v>0</v>
      </c>
      <c r="K79" s="1138">
        <f>'3-A. CI Sub-Annex'!L83</f>
        <v>0</v>
      </c>
      <c r="L79" s="1138">
        <f>'3-A. CI Sub-Annex'!M83</f>
        <v>0</v>
      </c>
      <c r="M79" s="178">
        <f>'3-A. CI Sub-Annex'!N83</f>
        <v>0</v>
      </c>
      <c r="N79" s="1138">
        <f>'3-A. CI Sub-Annex'!O83</f>
        <v>0</v>
      </c>
      <c r="O79" s="178">
        <f>'3-A. CI Sub-Annex'!P83</f>
        <v>0</v>
      </c>
      <c r="P79" s="441">
        <f>'3-A. CI Sub-Annex'!Q83</f>
        <v>0</v>
      </c>
      <c r="Q79" s="3342"/>
      <c r="R79" s="160"/>
    </row>
    <row r="80" spans="1:18" x14ac:dyDescent="0.2">
      <c r="A80" s="1138" t="str">
        <f>'3.Community Intervention Annexn'!A31</f>
        <v>3.1.3.2</v>
      </c>
      <c r="B80" s="1138" t="str">
        <f>'3-A. CI Sub-Annex'!C84</f>
        <v>5.3.2/ B1.1.3.7</v>
      </c>
      <c r="C80" s="441" t="str">
        <f>'3-A. CI Sub-Annex'!D84</f>
        <v xml:space="preserve">ASHA Ghar </v>
      </c>
      <c r="D80" s="1129" t="str">
        <f>'3-A. CI Sub-Annex'!E84</f>
        <v>HSS</v>
      </c>
      <c r="E80" s="1138" t="str">
        <f>'3-A. CI Sub-Annex'!F84</f>
        <v>NHSRC-CP</v>
      </c>
      <c r="F80" s="1138">
        <f>'3-A. CI Sub-Annex'!G84</f>
        <v>0</v>
      </c>
      <c r="G80" s="1138">
        <f>'3-A. CI Sub-Annex'!H84</f>
        <v>0</v>
      </c>
      <c r="H80" s="1138">
        <f>'3-A. CI Sub-Annex'!I84</f>
        <v>0</v>
      </c>
      <c r="I80" s="1138">
        <f>'3-A. CI Sub-Annex'!J84</f>
        <v>0</v>
      </c>
      <c r="J80" s="1138">
        <f>'3-A. CI Sub-Annex'!K84</f>
        <v>0</v>
      </c>
      <c r="K80" s="1138">
        <f>'3-A. CI Sub-Annex'!L84</f>
        <v>0</v>
      </c>
      <c r="L80" s="1138">
        <f>'3-A. CI Sub-Annex'!M84</f>
        <v>0</v>
      </c>
      <c r="M80" s="178">
        <f>'3-A. CI Sub-Annex'!N84</f>
        <v>0</v>
      </c>
      <c r="N80" s="1138">
        <f>'3-A. CI Sub-Annex'!O84</f>
        <v>0</v>
      </c>
      <c r="O80" s="178">
        <f>'3-A. CI Sub-Annex'!P84</f>
        <v>0</v>
      </c>
      <c r="P80" s="441">
        <f>'3-A. CI Sub-Annex'!Q84</f>
        <v>0</v>
      </c>
      <c r="Q80" s="3342"/>
      <c r="R80" s="160"/>
    </row>
    <row r="81" spans="1:18" x14ac:dyDescent="0.2">
      <c r="A81" s="1138" t="str">
        <f>'3.Community Intervention Annexn'!A32</f>
        <v>3.1.3.3</v>
      </c>
      <c r="B81" s="1138">
        <f>'3-A. CI Sub-Annex'!C85</f>
        <v>0</v>
      </c>
      <c r="C81" s="441" t="str">
        <f>'3-A. CI Sub-Annex'!D85</f>
        <v>Any other (please specify)</v>
      </c>
      <c r="D81" s="1129" t="str">
        <f>'3-A. CI Sub-Annex'!E85</f>
        <v>HSS</v>
      </c>
      <c r="E81" s="1138" t="str">
        <f>'3-A. CI Sub-Annex'!F85</f>
        <v>NHSRC-CP</v>
      </c>
      <c r="F81" s="1138">
        <f>'3-A. CI Sub-Annex'!G85</f>
        <v>0</v>
      </c>
      <c r="G81" s="1138">
        <f>'3-A. CI Sub-Annex'!H85</f>
        <v>0</v>
      </c>
      <c r="H81" s="1138">
        <f>'3-A. CI Sub-Annex'!I85</f>
        <v>0</v>
      </c>
      <c r="I81" s="1138">
        <f>'3-A. CI Sub-Annex'!J85</f>
        <v>0</v>
      </c>
      <c r="J81" s="1138">
        <f>'3-A. CI Sub-Annex'!K85</f>
        <v>0</v>
      </c>
      <c r="K81" s="1138">
        <f>'3-A. CI Sub-Annex'!L85</f>
        <v>0</v>
      </c>
      <c r="L81" s="1138">
        <f>'3-A. CI Sub-Annex'!M85</f>
        <v>0</v>
      </c>
      <c r="M81" s="178">
        <f>'3-A. CI Sub-Annex'!N85</f>
        <v>0</v>
      </c>
      <c r="N81" s="1138">
        <f>'3-A. CI Sub-Annex'!O85</f>
        <v>0</v>
      </c>
      <c r="O81" s="178">
        <f>'3-A. CI Sub-Annex'!P85</f>
        <v>0</v>
      </c>
      <c r="P81" s="441">
        <f>'3-A. CI Sub-Annex'!Q85</f>
        <v>0</v>
      </c>
      <c r="Q81" s="3342"/>
      <c r="R81" s="160"/>
    </row>
    <row r="82" spans="1:18" x14ac:dyDescent="0.2">
      <c r="A82" s="1900">
        <f>'6.Procurement Annex'!A7</f>
        <v>6</v>
      </c>
      <c r="B82" s="1900"/>
      <c r="C82" s="1898" t="str">
        <f>'6.Procurement Annex'!C7</f>
        <v>Procurement</v>
      </c>
      <c r="D82" s="1900"/>
      <c r="E82" s="1900"/>
      <c r="F82" s="1900"/>
      <c r="G82" s="1900"/>
      <c r="H82" s="969"/>
      <c r="I82" s="1900"/>
      <c r="J82" s="969"/>
      <c r="K82" s="1900"/>
      <c r="L82" s="1900"/>
      <c r="M82" s="969"/>
      <c r="N82" s="1950"/>
      <c r="O82" s="1951"/>
      <c r="P82" s="1952"/>
      <c r="Q82" s="3354"/>
      <c r="R82" s="704">
        <f>SUM(R83:R87)</f>
        <v>0</v>
      </c>
    </row>
    <row r="83" spans="1:18" x14ac:dyDescent="0.2">
      <c r="A83" s="4062" t="str">
        <f>'6.Procurement Annex'!A64</f>
        <v>6.2.2.1</v>
      </c>
      <c r="B83" s="929" t="str">
        <f>+'6-A. Proc. Sub-Annex'!C192</f>
        <v>B.16.2.10.1</v>
      </c>
      <c r="C83" s="103" t="str">
        <f>+'6-A. Proc. Sub-Annex'!D192</f>
        <v>New ASHA Drug Kits</v>
      </c>
      <c r="D83" s="174" t="str">
        <f>+'6-A. Proc. Sub-Annex'!E192</f>
        <v>HSS</v>
      </c>
      <c r="E83" s="174" t="str">
        <f>+'6-A. Proc. Sub-Annex'!F192</f>
        <v>CP</v>
      </c>
      <c r="F83" s="174">
        <f>+'6-A. Proc. Sub-Annex'!G192</f>
        <v>0</v>
      </c>
      <c r="G83" s="174">
        <f>+'6-A. Proc. Sub-Annex'!H192</f>
        <v>0</v>
      </c>
      <c r="H83" s="174">
        <f>+'6-A. Proc. Sub-Annex'!I192</f>
        <v>0</v>
      </c>
      <c r="I83" s="174">
        <f>+'6-A. Proc. Sub-Annex'!J192</f>
        <v>0</v>
      </c>
      <c r="J83" s="174">
        <f>+'6-A. Proc. Sub-Annex'!K192</f>
        <v>0</v>
      </c>
      <c r="K83" s="174">
        <f>+'6-A. Proc. Sub-Annex'!L192</f>
        <v>0</v>
      </c>
      <c r="L83" s="174">
        <f>+'6-A. Proc. Sub-Annex'!M192</f>
        <v>0</v>
      </c>
      <c r="M83" s="178">
        <f>+'6-A. Proc. Sub-Annex'!N192</f>
        <v>0</v>
      </c>
      <c r="N83" s="174">
        <f>+'6-A. Proc. Sub-Annex'!O192</f>
        <v>0</v>
      </c>
      <c r="O83" s="178">
        <f>+'6-A. Proc. Sub-Annex'!P192</f>
        <v>0</v>
      </c>
      <c r="P83" s="103">
        <f>+'6-A. Proc. Sub-Annex'!Q192</f>
        <v>0</v>
      </c>
      <c r="Q83" s="3343"/>
      <c r="R83" s="160"/>
    </row>
    <row r="84" spans="1:18" x14ac:dyDescent="0.2">
      <c r="A84" s="4063"/>
      <c r="B84" s="929" t="str">
        <f>+'6-A. Proc. Sub-Annex'!C193</f>
        <v>B.16.2.10.2</v>
      </c>
      <c r="C84" s="103" t="str">
        <f>+'6-A. Proc. Sub-Annex'!D193</f>
        <v>Replenishment of ASHA drug kits</v>
      </c>
      <c r="D84" s="174" t="str">
        <f>+'6-A. Proc. Sub-Annex'!E193</f>
        <v>HSS</v>
      </c>
      <c r="E84" s="174" t="str">
        <f>+'6-A. Proc. Sub-Annex'!F193</f>
        <v>CP</v>
      </c>
      <c r="F84" s="174">
        <f>+'6-A. Proc. Sub-Annex'!G193</f>
        <v>0</v>
      </c>
      <c r="G84" s="174">
        <f>+'6-A. Proc. Sub-Annex'!H193</f>
        <v>0</v>
      </c>
      <c r="H84" s="174">
        <f>+'6-A. Proc. Sub-Annex'!I193</f>
        <v>0</v>
      </c>
      <c r="I84" s="174">
        <f>+'6-A. Proc. Sub-Annex'!J193</f>
        <v>0</v>
      </c>
      <c r="J84" s="174">
        <f>+'6-A. Proc. Sub-Annex'!K193</f>
        <v>0</v>
      </c>
      <c r="K84" s="174">
        <f>+'6-A. Proc. Sub-Annex'!L193</f>
        <v>0</v>
      </c>
      <c r="L84" s="174">
        <f>+'6-A. Proc. Sub-Annex'!M193</f>
        <v>0</v>
      </c>
      <c r="M84" s="178">
        <f>+'6-A. Proc. Sub-Annex'!N193</f>
        <v>0</v>
      </c>
      <c r="N84" s="174">
        <f>+'6-A. Proc. Sub-Annex'!O193</f>
        <v>0</v>
      </c>
      <c r="O84" s="178">
        <f>+'6-A. Proc. Sub-Annex'!P193</f>
        <v>0</v>
      </c>
      <c r="P84" s="103">
        <f>+'6-A. Proc. Sub-Annex'!Q193</f>
        <v>0</v>
      </c>
      <c r="Q84" s="3343"/>
      <c r="R84" s="160"/>
    </row>
    <row r="85" spans="1:18" x14ac:dyDescent="0.2">
      <c r="A85" s="4063"/>
      <c r="B85" s="929" t="str">
        <f>+'6-A. Proc. Sub-Annex'!C194</f>
        <v>B.16.2.10.3.1</v>
      </c>
      <c r="C85" s="103" t="str">
        <f>+'6-A. Proc. Sub-Annex'!D194</f>
        <v>New ASHA HBNC Kits</v>
      </c>
      <c r="D85" s="174" t="str">
        <f>+'6-A. Proc. Sub-Annex'!E194</f>
        <v>HSS</v>
      </c>
      <c r="E85" s="174" t="str">
        <f>+'6-A. Proc. Sub-Annex'!F194</f>
        <v>CP</v>
      </c>
      <c r="F85" s="174">
        <f>+'6-A. Proc. Sub-Annex'!G194</f>
        <v>0</v>
      </c>
      <c r="G85" s="174">
        <f>+'6-A. Proc. Sub-Annex'!H194</f>
        <v>0</v>
      </c>
      <c r="H85" s="174">
        <f>+'6-A. Proc. Sub-Annex'!I194</f>
        <v>0</v>
      </c>
      <c r="I85" s="174">
        <f>+'6-A. Proc. Sub-Annex'!J194</f>
        <v>0</v>
      </c>
      <c r="J85" s="174">
        <f>+'6-A. Proc. Sub-Annex'!K194</f>
        <v>0</v>
      </c>
      <c r="K85" s="174">
        <f>+'6-A. Proc. Sub-Annex'!L194</f>
        <v>0</v>
      </c>
      <c r="L85" s="174">
        <f>+'6-A. Proc. Sub-Annex'!M194</f>
        <v>0</v>
      </c>
      <c r="M85" s="178">
        <f>+'6-A. Proc. Sub-Annex'!N194</f>
        <v>0</v>
      </c>
      <c r="N85" s="174">
        <f>+'6-A. Proc. Sub-Annex'!O194</f>
        <v>0</v>
      </c>
      <c r="O85" s="178">
        <f>+'6-A. Proc. Sub-Annex'!P194</f>
        <v>0</v>
      </c>
      <c r="P85" s="103">
        <f>+'6-A. Proc. Sub-Annex'!Q194</f>
        <v>0</v>
      </c>
      <c r="Q85" s="3343"/>
      <c r="R85" s="160"/>
    </row>
    <row r="86" spans="1:18" x14ac:dyDescent="0.2">
      <c r="A86" s="4063"/>
      <c r="B86" s="929" t="str">
        <f>+'6-A. Proc. Sub-Annex'!C195</f>
        <v>B.16.2.10.3.1.2</v>
      </c>
      <c r="C86" s="103" t="str">
        <f>+'6-A. Proc. Sub-Annex'!D195</f>
        <v>Replenishment of ASHA HBNC and HBYC kits</v>
      </c>
      <c r="D86" s="174" t="str">
        <f>+'6-A. Proc. Sub-Annex'!E195</f>
        <v>HSS</v>
      </c>
      <c r="E86" s="174" t="str">
        <f>+'6-A. Proc. Sub-Annex'!F195</f>
        <v>CP</v>
      </c>
      <c r="F86" s="174">
        <f>+'6-A. Proc. Sub-Annex'!G195</f>
        <v>0</v>
      </c>
      <c r="G86" s="174">
        <f>+'6-A. Proc. Sub-Annex'!H195</f>
        <v>0</v>
      </c>
      <c r="H86" s="174">
        <f>+'6-A. Proc. Sub-Annex'!I195</f>
        <v>0</v>
      </c>
      <c r="I86" s="174">
        <f>+'6-A. Proc. Sub-Annex'!J195</f>
        <v>0</v>
      </c>
      <c r="J86" s="174">
        <f>+'6-A. Proc. Sub-Annex'!K195</f>
        <v>0</v>
      </c>
      <c r="K86" s="174">
        <f>+'6-A. Proc. Sub-Annex'!L195</f>
        <v>0</v>
      </c>
      <c r="L86" s="174">
        <f>+'6-A. Proc. Sub-Annex'!M195</f>
        <v>0</v>
      </c>
      <c r="M86" s="178">
        <f>+'6-A. Proc. Sub-Annex'!N195</f>
        <v>0</v>
      </c>
      <c r="N86" s="174">
        <f>+'6-A. Proc. Sub-Annex'!O195</f>
        <v>0</v>
      </c>
      <c r="O86" s="178">
        <f>+'6-A. Proc. Sub-Annex'!P195</f>
        <v>0</v>
      </c>
      <c r="P86" s="103">
        <f>+'6-A. Proc. Sub-Annex'!Q195</f>
        <v>0</v>
      </c>
      <c r="Q86" s="3384"/>
      <c r="R86" s="3433"/>
    </row>
    <row r="87" spans="1:18" x14ac:dyDescent="0.2">
      <c r="A87" s="4064"/>
      <c r="B87" s="929"/>
      <c r="C87" s="103" t="str">
        <f>+'6-A. Proc. Sub-Annex'!D196</f>
        <v>Any other Drugs &amp; Supplies (Please specify)</v>
      </c>
      <c r="D87" s="174" t="str">
        <f>+'6-A. Proc. Sub-Annex'!E196</f>
        <v>HSS</v>
      </c>
      <c r="E87" s="174" t="str">
        <f>+'6-A. Proc. Sub-Annex'!F196</f>
        <v>CP</v>
      </c>
      <c r="F87" s="174">
        <f>+'6-A. Proc. Sub-Annex'!G196</f>
        <v>0</v>
      </c>
      <c r="G87" s="174">
        <f>+'6-A. Proc. Sub-Annex'!H196</f>
        <v>0</v>
      </c>
      <c r="H87" s="174">
        <f>+'6-A. Proc. Sub-Annex'!I196</f>
        <v>0</v>
      </c>
      <c r="I87" s="174">
        <f>+'6-A. Proc. Sub-Annex'!J196</f>
        <v>0</v>
      </c>
      <c r="J87" s="174">
        <f>+'6-A. Proc. Sub-Annex'!K196</f>
        <v>0</v>
      </c>
      <c r="K87" s="174">
        <f>+'6-A. Proc. Sub-Annex'!L196</f>
        <v>0</v>
      </c>
      <c r="L87" s="174">
        <f>+'6-A. Proc. Sub-Annex'!M196</f>
        <v>0</v>
      </c>
      <c r="M87" s="178">
        <f>+'6-A. Proc. Sub-Annex'!N196</f>
        <v>0</v>
      </c>
      <c r="N87" s="174">
        <f>+'6-A. Proc. Sub-Annex'!O196</f>
        <v>0</v>
      </c>
      <c r="O87" s="178">
        <f>+'6-A. Proc. Sub-Annex'!P196</f>
        <v>0</v>
      </c>
      <c r="P87" s="103">
        <f>+'6-A. Proc. Sub-Annex'!Q196</f>
        <v>0</v>
      </c>
      <c r="Q87" s="3384"/>
      <c r="R87" s="3433"/>
    </row>
    <row r="88" spans="1:18" x14ac:dyDescent="0.2">
      <c r="A88" s="1842">
        <f>'9.Training Annex'!A7</f>
        <v>9</v>
      </c>
      <c r="B88" s="1842"/>
      <c r="C88" s="356" t="str">
        <f>'9.Training Annex'!C7</f>
        <v>Training and Capacity Building</v>
      </c>
      <c r="D88" s="1842"/>
      <c r="E88" s="1842"/>
      <c r="F88" s="1842"/>
      <c r="G88" s="1842"/>
      <c r="H88" s="969"/>
      <c r="I88" s="1842"/>
      <c r="J88" s="969"/>
      <c r="K88" s="1842"/>
      <c r="L88" s="1842"/>
      <c r="M88" s="969"/>
      <c r="N88" s="1950"/>
      <c r="O88" s="1951"/>
      <c r="P88" s="1952"/>
      <c r="Q88" s="3354"/>
      <c r="R88" s="704"/>
    </row>
    <row r="89" spans="1:18" x14ac:dyDescent="0.2">
      <c r="A89" s="4062" t="str">
        <f>'9.Training Annex'!A32</f>
        <v>9.2.2.3</v>
      </c>
      <c r="B89" s="929" t="str">
        <f>+'9-A.Training Sub-Annex'!C164</f>
        <v>B1.1.1.5.2</v>
      </c>
      <c r="C89" s="103" t="str">
        <f>+'9-A.Training Sub-Annex'!D164</f>
        <v>Training of District trainers</v>
      </c>
      <c r="D89" s="174" t="str">
        <f>+'9-A.Training Sub-Annex'!E164</f>
        <v>HSS</v>
      </c>
      <c r="E89" s="174" t="str">
        <f>+'9-A.Training Sub-Annex'!F164</f>
        <v>CP</v>
      </c>
      <c r="F89" s="174">
        <f>+'9-A.Training Sub-Annex'!G164</f>
        <v>0</v>
      </c>
      <c r="G89" s="174">
        <f>+'9-A.Training Sub-Annex'!H164</f>
        <v>0</v>
      </c>
      <c r="H89" s="174">
        <f>+'9-A.Training Sub-Annex'!I164</f>
        <v>0</v>
      </c>
      <c r="I89" s="174">
        <f>+'9-A.Training Sub-Annex'!J164</f>
        <v>0</v>
      </c>
      <c r="J89" s="174">
        <f>+'9-A.Training Sub-Annex'!K164</f>
        <v>0</v>
      </c>
      <c r="K89" s="174">
        <f>+'9-A.Training Sub-Annex'!L164</f>
        <v>0</v>
      </c>
      <c r="L89" s="174">
        <f>+'9-A.Training Sub-Annex'!M164</f>
        <v>0</v>
      </c>
      <c r="M89" s="178">
        <f>+'9-A.Training Sub-Annex'!N164</f>
        <v>0</v>
      </c>
      <c r="N89" s="174">
        <f>+'9-A.Training Sub-Annex'!O164</f>
        <v>0</v>
      </c>
      <c r="O89" s="178">
        <f>+'9-A.Training Sub-Annex'!P164</f>
        <v>0</v>
      </c>
      <c r="P89" s="103">
        <f>+'9-A.Training Sub-Annex'!Q164</f>
        <v>0</v>
      </c>
      <c r="Q89" s="3343"/>
      <c r="R89" s="160"/>
    </row>
    <row r="90" spans="1:18" x14ac:dyDescent="0.2">
      <c r="A90" s="4063"/>
      <c r="B90" s="929" t="str">
        <f>+'9-A.Training Sub-Annex'!C165</f>
        <v>B1.1.6.1</v>
      </c>
      <c r="C90" s="103" t="str">
        <f>+'9-A.Training Sub-Annex'!D165</f>
        <v>Capacity Building of ARC HR at State Level</v>
      </c>
      <c r="D90" s="174" t="str">
        <f>+'9-A.Training Sub-Annex'!E165</f>
        <v>HSS</v>
      </c>
      <c r="E90" s="174" t="str">
        <f>+'9-A.Training Sub-Annex'!F165</f>
        <v>CP</v>
      </c>
      <c r="F90" s="174">
        <f>+'9-A.Training Sub-Annex'!G165</f>
        <v>0</v>
      </c>
      <c r="G90" s="174">
        <f>+'9-A.Training Sub-Annex'!H165</f>
        <v>0</v>
      </c>
      <c r="H90" s="174">
        <f>+'9-A.Training Sub-Annex'!I165</f>
        <v>0</v>
      </c>
      <c r="I90" s="174">
        <f>+'9-A.Training Sub-Annex'!J165</f>
        <v>0</v>
      </c>
      <c r="J90" s="174">
        <f>+'9-A.Training Sub-Annex'!K165</f>
        <v>0</v>
      </c>
      <c r="K90" s="174">
        <f>+'9-A.Training Sub-Annex'!L165</f>
        <v>0</v>
      </c>
      <c r="L90" s="174">
        <f>+'9-A.Training Sub-Annex'!M165</f>
        <v>0</v>
      </c>
      <c r="M90" s="178">
        <f>+'9-A.Training Sub-Annex'!N165</f>
        <v>0</v>
      </c>
      <c r="N90" s="174">
        <f>+'9-A.Training Sub-Annex'!O165</f>
        <v>0</v>
      </c>
      <c r="O90" s="178">
        <f>+'9-A.Training Sub-Annex'!P165</f>
        <v>0</v>
      </c>
      <c r="P90" s="103">
        <f>+'9-A.Training Sub-Annex'!Q165</f>
        <v>0</v>
      </c>
      <c r="Q90" s="3343"/>
      <c r="R90" s="160"/>
    </row>
    <row r="91" spans="1:18" x14ac:dyDescent="0.2">
      <c r="A91" s="4063"/>
      <c r="B91" s="929" t="str">
        <f>+'9-A.Training Sub-Annex'!C166</f>
        <v>B1.1.6.2</v>
      </c>
      <c r="C91" s="103" t="str">
        <f>+'9-A.Training Sub-Annex'!D166</f>
        <v>Capacity Building of ARC HR at District Level</v>
      </c>
      <c r="D91" s="174" t="str">
        <f>+'9-A.Training Sub-Annex'!E166</f>
        <v>HSS</v>
      </c>
      <c r="E91" s="174" t="str">
        <f>+'9-A.Training Sub-Annex'!F166</f>
        <v>CP</v>
      </c>
      <c r="F91" s="174">
        <f>+'9-A.Training Sub-Annex'!G166</f>
        <v>0</v>
      </c>
      <c r="G91" s="174">
        <f>+'9-A.Training Sub-Annex'!H166</f>
        <v>0</v>
      </c>
      <c r="H91" s="174">
        <f>+'9-A.Training Sub-Annex'!I166</f>
        <v>0</v>
      </c>
      <c r="I91" s="174">
        <f>+'9-A.Training Sub-Annex'!J166</f>
        <v>0</v>
      </c>
      <c r="J91" s="174">
        <f>+'9-A.Training Sub-Annex'!K166</f>
        <v>0</v>
      </c>
      <c r="K91" s="174">
        <f>+'9-A.Training Sub-Annex'!L166</f>
        <v>0</v>
      </c>
      <c r="L91" s="174">
        <f>+'9-A.Training Sub-Annex'!M166</f>
        <v>0</v>
      </c>
      <c r="M91" s="178">
        <f>+'9-A.Training Sub-Annex'!N166</f>
        <v>0</v>
      </c>
      <c r="N91" s="174">
        <f>+'9-A.Training Sub-Annex'!O166</f>
        <v>0</v>
      </c>
      <c r="O91" s="178">
        <f>+'9-A.Training Sub-Annex'!P166</f>
        <v>0</v>
      </c>
      <c r="P91" s="103">
        <f>+'9-A.Training Sub-Annex'!Q166</f>
        <v>0</v>
      </c>
      <c r="Q91" s="3343"/>
      <c r="R91" s="160"/>
    </row>
    <row r="92" spans="1:18" x14ac:dyDescent="0.2">
      <c r="A92" s="4063"/>
      <c r="B92" s="929" t="str">
        <f>+'9-A.Training Sub-Annex'!C167</f>
        <v>B1.1.6.3</v>
      </c>
      <c r="C92" s="103" t="str">
        <f>+'9-A.Training Sub-Annex'!D167</f>
        <v>Capacity Building of ARC HR at Block Level</v>
      </c>
      <c r="D92" s="174" t="str">
        <f>+'9-A.Training Sub-Annex'!E167</f>
        <v>HSS</v>
      </c>
      <c r="E92" s="174" t="str">
        <f>+'9-A.Training Sub-Annex'!F167</f>
        <v>CP</v>
      </c>
      <c r="F92" s="174">
        <f>+'9-A.Training Sub-Annex'!G167</f>
        <v>0</v>
      </c>
      <c r="G92" s="174">
        <f>+'9-A.Training Sub-Annex'!H167</f>
        <v>0</v>
      </c>
      <c r="H92" s="174">
        <f>+'9-A.Training Sub-Annex'!I167</f>
        <v>0</v>
      </c>
      <c r="I92" s="174">
        <f>+'9-A.Training Sub-Annex'!J167</f>
        <v>0</v>
      </c>
      <c r="J92" s="174">
        <f>+'9-A.Training Sub-Annex'!K167</f>
        <v>0</v>
      </c>
      <c r="K92" s="174">
        <f>+'9-A.Training Sub-Annex'!L167</f>
        <v>0</v>
      </c>
      <c r="L92" s="174">
        <f>+'9-A.Training Sub-Annex'!M167</f>
        <v>0</v>
      </c>
      <c r="M92" s="178">
        <f>+'9-A.Training Sub-Annex'!N167</f>
        <v>0</v>
      </c>
      <c r="N92" s="174">
        <f>+'9-A.Training Sub-Annex'!O167</f>
        <v>0</v>
      </c>
      <c r="O92" s="178">
        <f>+'9-A.Training Sub-Annex'!P167</f>
        <v>0</v>
      </c>
      <c r="P92" s="103">
        <f>+'9-A.Training Sub-Annex'!Q167</f>
        <v>0</v>
      </c>
      <c r="Q92" s="3343"/>
      <c r="R92" s="160"/>
    </row>
    <row r="93" spans="1:18" x14ac:dyDescent="0.2">
      <c r="A93" s="4064"/>
      <c r="B93" s="929"/>
      <c r="C93" s="103" t="str">
        <f>+'9-A.Training Sub-Annex'!D168</f>
        <v>Any other (please specify)</v>
      </c>
      <c r="D93" s="174" t="str">
        <f>+'9-A.Training Sub-Annex'!E168</f>
        <v>HSS</v>
      </c>
      <c r="E93" s="174" t="str">
        <f>+'9-A.Training Sub-Annex'!F168</f>
        <v>CP</v>
      </c>
      <c r="F93" s="174">
        <f>+'9-A.Training Sub-Annex'!G168</f>
        <v>0</v>
      </c>
      <c r="G93" s="174">
        <f>+'9-A.Training Sub-Annex'!H168</f>
        <v>0</v>
      </c>
      <c r="H93" s="174">
        <f>+'9-A.Training Sub-Annex'!I168</f>
        <v>0</v>
      </c>
      <c r="I93" s="174">
        <f>+'9-A.Training Sub-Annex'!J168</f>
        <v>0</v>
      </c>
      <c r="J93" s="174">
        <f>+'9-A.Training Sub-Annex'!K168</f>
        <v>0</v>
      </c>
      <c r="K93" s="174">
        <f>+'9-A.Training Sub-Annex'!L168</f>
        <v>0</v>
      </c>
      <c r="L93" s="174">
        <f>+'9-A.Training Sub-Annex'!M168</f>
        <v>0</v>
      </c>
      <c r="M93" s="178">
        <f>+'9-A.Training Sub-Annex'!N168</f>
        <v>0</v>
      </c>
      <c r="N93" s="174">
        <f>+'9-A.Training Sub-Annex'!O168</f>
        <v>0</v>
      </c>
      <c r="O93" s="178">
        <f>+'9-A.Training Sub-Annex'!P168</f>
        <v>0</v>
      </c>
      <c r="P93" s="103">
        <f>+'9-A.Training Sub-Annex'!Q168</f>
        <v>0</v>
      </c>
      <c r="Q93" s="3343"/>
      <c r="R93" s="160"/>
    </row>
    <row r="94" spans="1:18" x14ac:dyDescent="0.2">
      <c r="A94" s="1900">
        <f>'11.IEC-BCC Annex'!A7</f>
        <v>11</v>
      </c>
      <c r="B94" s="1961"/>
      <c r="C94" s="1898" t="str">
        <f>'11.IEC-BCC Annex'!C7</f>
        <v>IEC/BCC</v>
      </c>
      <c r="D94" s="1900"/>
      <c r="E94" s="1900"/>
      <c r="F94" s="1900"/>
      <c r="G94" s="1900"/>
      <c r="H94" s="969"/>
      <c r="I94" s="1900"/>
      <c r="J94" s="969"/>
      <c r="K94" s="1900"/>
      <c r="L94" s="1900"/>
      <c r="M94" s="969"/>
      <c r="N94" s="1950"/>
      <c r="O94" s="1951"/>
      <c r="P94" s="1952"/>
      <c r="Q94" s="3354"/>
      <c r="R94" s="704"/>
    </row>
    <row r="95" spans="1:18" x14ac:dyDescent="0.2">
      <c r="A95" s="4062" t="str">
        <f>'11.IEC-BCC Annex'!A33</f>
        <v>11.4.2</v>
      </c>
      <c r="B95" s="929"/>
      <c r="C95" s="103">
        <f>'11-A. IEC Sub-Annex'!D41</f>
        <v>0</v>
      </c>
      <c r="D95" s="174" t="str">
        <f>'11-A. IEC Sub-Annex'!E41</f>
        <v>HSS</v>
      </c>
      <c r="E95" s="174" t="str">
        <f>'11-A. IEC Sub-Annex'!F41</f>
        <v>CP</v>
      </c>
      <c r="F95" s="174">
        <f>'11-A. IEC Sub-Annex'!G41</f>
        <v>0</v>
      </c>
      <c r="G95" s="174">
        <f>'11-A. IEC Sub-Annex'!H41</f>
        <v>0</v>
      </c>
      <c r="H95" s="174">
        <f>'11-A. IEC Sub-Annex'!I41</f>
        <v>0</v>
      </c>
      <c r="I95" s="174">
        <f>'11-A. IEC Sub-Annex'!J41</f>
        <v>0</v>
      </c>
      <c r="J95" s="174">
        <f>'11-A. IEC Sub-Annex'!K41</f>
        <v>0</v>
      </c>
      <c r="K95" s="174">
        <f>'11-A. IEC Sub-Annex'!L41</f>
        <v>0</v>
      </c>
      <c r="L95" s="174">
        <f>'11-A. IEC Sub-Annex'!M41</f>
        <v>0</v>
      </c>
      <c r="M95" s="178">
        <f>'11-A. IEC Sub-Annex'!N41</f>
        <v>0</v>
      </c>
      <c r="N95" s="174">
        <f>'11-A. IEC Sub-Annex'!O41</f>
        <v>0</v>
      </c>
      <c r="O95" s="178">
        <f>'11-A. IEC Sub-Annex'!P41</f>
        <v>0</v>
      </c>
      <c r="P95" s="103">
        <f>'11-A. IEC Sub-Annex'!Q41</f>
        <v>0</v>
      </c>
      <c r="Q95" s="3343"/>
      <c r="R95" s="160"/>
    </row>
    <row r="96" spans="1:18" x14ac:dyDescent="0.2">
      <c r="A96" s="4064"/>
      <c r="B96" s="929"/>
      <c r="C96" s="103">
        <f>'11-A. IEC Sub-Annex'!D42</f>
        <v>0</v>
      </c>
      <c r="D96" s="174" t="str">
        <f>'11-A. IEC Sub-Annex'!E42</f>
        <v>HSS</v>
      </c>
      <c r="E96" s="174" t="str">
        <f>'11-A. IEC Sub-Annex'!F42</f>
        <v>CP</v>
      </c>
      <c r="F96" s="174">
        <f>'11-A. IEC Sub-Annex'!G42</f>
        <v>0</v>
      </c>
      <c r="G96" s="174">
        <f>'11-A. IEC Sub-Annex'!H42</f>
        <v>0</v>
      </c>
      <c r="H96" s="174">
        <f>'11-A. IEC Sub-Annex'!I42</f>
        <v>0</v>
      </c>
      <c r="I96" s="174">
        <f>'11-A. IEC Sub-Annex'!J42</f>
        <v>0</v>
      </c>
      <c r="J96" s="174">
        <f>'11-A. IEC Sub-Annex'!K42</f>
        <v>0</v>
      </c>
      <c r="K96" s="174">
        <f>'11-A. IEC Sub-Annex'!L42</f>
        <v>0</v>
      </c>
      <c r="L96" s="174">
        <f>'11-A. IEC Sub-Annex'!M42</f>
        <v>0</v>
      </c>
      <c r="M96" s="178">
        <f>'11-A. IEC Sub-Annex'!N42</f>
        <v>0</v>
      </c>
      <c r="N96" s="174">
        <f>'11-A. IEC Sub-Annex'!O42</f>
        <v>0</v>
      </c>
      <c r="O96" s="178">
        <f>'11-A. IEC Sub-Annex'!P42</f>
        <v>0</v>
      </c>
      <c r="P96" s="103">
        <f>'11-A. IEC Sub-Annex'!Q42</f>
        <v>0</v>
      </c>
      <c r="Q96" s="3343"/>
      <c r="R96" s="160"/>
    </row>
    <row r="97" spans="1:18" x14ac:dyDescent="0.2">
      <c r="A97" s="1900">
        <f>'12.Printing Annex'!A7</f>
        <v>12</v>
      </c>
      <c r="B97" s="1900"/>
      <c r="C97" s="1898" t="str">
        <f>'12.Printing Annex'!C7</f>
        <v>Printing</v>
      </c>
      <c r="D97" s="1900"/>
      <c r="E97" s="1900"/>
      <c r="F97" s="1900"/>
      <c r="G97" s="1900"/>
      <c r="H97" s="969"/>
      <c r="I97" s="1900"/>
      <c r="J97" s="969"/>
      <c r="K97" s="1900"/>
      <c r="L97" s="1900"/>
      <c r="M97" s="969"/>
      <c r="N97" s="1950"/>
      <c r="O97" s="1951"/>
      <c r="P97" s="1952"/>
      <c r="Q97" s="3354"/>
      <c r="R97" s="704">
        <f>SUM(R98:R102)</f>
        <v>0</v>
      </c>
    </row>
    <row r="98" spans="1:18" x14ac:dyDescent="0.2">
      <c r="A98" s="4062" t="str">
        <f>'12.Printing Annex'!A18</f>
        <v>12.2.2</v>
      </c>
      <c r="B98" s="929" t="str">
        <f>'12-A. Print Sub-Annex'!C59</f>
        <v>B1.1.3.7</v>
      </c>
      <c r="C98" s="103" t="str">
        <f>+'12-A. Print Sub-Annex'!D59</f>
        <v>Printing of ASHA diary</v>
      </c>
      <c r="D98" s="174" t="str">
        <f>+'12-A. Print Sub-Annex'!E59</f>
        <v>HSS</v>
      </c>
      <c r="E98" s="174" t="str">
        <f>+'12-A. Print Sub-Annex'!F59</f>
        <v>CP</v>
      </c>
      <c r="F98" s="174">
        <f>+'12-A. Print Sub-Annex'!G59</f>
        <v>0</v>
      </c>
      <c r="G98" s="174">
        <f>+'12-A. Print Sub-Annex'!H59</f>
        <v>0</v>
      </c>
      <c r="H98" s="174">
        <f>+'12-A. Print Sub-Annex'!I59</f>
        <v>0</v>
      </c>
      <c r="I98" s="174">
        <f>+'12-A. Print Sub-Annex'!J59</f>
        <v>0</v>
      </c>
      <c r="J98" s="174">
        <f>+'12-A. Print Sub-Annex'!K59</f>
        <v>0</v>
      </c>
      <c r="K98" s="174">
        <f>+'12-A. Print Sub-Annex'!L59</f>
        <v>0</v>
      </c>
      <c r="L98" s="174">
        <f>+'12-A. Print Sub-Annex'!M59</f>
        <v>0</v>
      </c>
      <c r="M98" s="178">
        <f>+'12-A. Print Sub-Annex'!N59</f>
        <v>0</v>
      </c>
      <c r="N98" s="174">
        <f>+'12-A. Print Sub-Annex'!O59</f>
        <v>0</v>
      </c>
      <c r="O98" s="178">
        <f>+'12-A. Print Sub-Annex'!P59</f>
        <v>0</v>
      </c>
      <c r="P98" s="103">
        <f>+'12-A. Print Sub-Annex'!Q59</f>
        <v>0</v>
      </c>
      <c r="Q98" s="3365"/>
      <c r="R98" s="160"/>
    </row>
    <row r="99" spans="1:18" x14ac:dyDescent="0.2">
      <c r="A99" s="4063"/>
      <c r="B99" s="929"/>
      <c r="C99" s="103" t="str">
        <f>+'12-A. Print Sub-Annex'!D60</f>
        <v>Printing of ASHA Modules and formats</v>
      </c>
      <c r="D99" s="174" t="str">
        <f>+'12-A. Print Sub-Annex'!E60</f>
        <v>HSS</v>
      </c>
      <c r="E99" s="174" t="str">
        <f>+'12-A. Print Sub-Annex'!F60</f>
        <v>CP</v>
      </c>
      <c r="F99" s="174">
        <f>+'12-A. Print Sub-Annex'!G60</f>
        <v>0</v>
      </c>
      <c r="G99" s="174">
        <f>+'12-A. Print Sub-Annex'!H60</f>
        <v>0</v>
      </c>
      <c r="H99" s="174">
        <f>+'12-A. Print Sub-Annex'!I60</f>
        <v>0</v>
      </c>
      <c r="I99" s="174">
        <f>+'12-A. Print Sub-Annex'!J60</f>
        <v>0</v>
      </c>
      <c r="J99" s="174">
        <f>+'12-A. Print Sub-Annex'!K60</f>
        <v>0</v>
      </c>
      <c r="K99" s="174">
        <f>+'12-A. Print Sub-Annex'!L60</f>
        <v>0</v>
      </c>
      <c r="L99" s="174">
        <f>+'12-A. Print Sub-Annex'!M60</f>
        <v>0</v>
      </c>
      <c r="M99" s="178">
        <f>+'12-A. Print Sub-Annex'!N60</f>
        <v>0</v>
      </c>
      <c r="N99" s="174">
        <f>+'12-A. Print Sub-Annex'!O60</f>
        <v>0</v>
      </c>
      <c r="O99" s="178">
        <f>+'12-A. Print Sub-Annex'!P60</f>
        <v>0</v>
      </c>
      <c r="P99" s="103">
        <f>+'12-A. Print Sub-Annex'!Q60</f>
        <v>0</v>
      </c>
      <c r="Q99" s="3365"/>
      <c r="R99" s="160"/>
    </row>
    <row r="100" spans="1:18" x14ac:dyDescent="0.2">
      <c r="A100" s="4063"/>
      <c r="B100" s="929"/>
      <c r="C100" s="103" t="str">
        <f>+'12-A. Print Sub-Annex'!D61</f>
        <v>Printing of CBAC format</v>
      </c>
      <c r="D100" s="174" t="str">
        <f>+'12-A. Print Sub-Annex'!E61</f>
        <v>HSS</v>
      </c>
      <c r="E100" s="174" t="str">
        <f>+'12-A. Print Sub-Annex'!F61</f>
        <v>CP</v>
      </c>
      <c r="F100" s="174">
        <f>+'12-A. Print Sub-Annex'!G61</f>
        <v>0</v>
      </c>
      <c r="G100" s="174">
        <f>+'12-A. Print Sub-Annex'!H61</f>
        <v>0</v>
      </c>
      <c r="H100" s="174">
        <f>+'12-A. Print Sub-Annex'!I61</f>
        <v>0</v>
      </c>
      <c r="I100" s="174">
        <f>+'12-A. Print Sub-Annex'!J61</f>
        <v>0</v>
      </c>
      <c r="J100" s="174">
        <f>+'12-A. Print Sub-Annex'!K61</f>
        <v>0</v>
      </c>
      <c r="K100" s="174">
        <f>+'12-A. Print Sub-Annex'!L61</f>
        <v>0</v>
      </c>
      <c r="L100" s="174">
        <f>+'12-A. Print Sub-Annex'!M61</f>
        <v>0</v>
      </c>
      <c r="M100" s="178">
        <f>+'12-A. Print Sub-Annex'!N61</f>
        <v>0</v>
      </c>
      <c r="N100" s="174">
        <f>+'12-A. Print Sub-Annex'!O61</f>
        <v>0</v>
      </c>
      <c r="O100" s="178">
        <f>+'12-A. Print Sub-Annex'!P61</f>
        <v>0</v>
      </c>
      <c r="P100" s="103">
        <f>+'12-A. Print Sub-Annex'!Q61</f>
        <v>0</v>
      </c>
      <c r="Q100" s="3365"/>
      <c r="R100" s="160"/>
    </row>
    <row r="101" spans="1:18" x14ac:dyDescent="0.2">
      <c r="A101" s="4063"/>
      <c r="B101" s="929"/>
      <c r="C101" s="103" t="str">
        <f>+'12-A. Print Sub-Annex'!D62</f>
        <v>ASHA communication kit</v>
      </c>
      <c r="D101" s="174" t="str">
        <f>+'12-A. Print Sub-Annex'!E62</f>
        <v>HSS</v>
      </c>
      <c r="E101" s="174" t="str">
        <f>+'12-A. Print Sub-Annex'!F62</f>
        <v>CP</v>
      </c>
      <c r="F101" s="174">
        <f>+'12-A. Print Sub-Annex'!G62</f>
        <v>0</v>
      </c>
      <c r="G101" s="174">
        <f>+'12-A. Print Sub-Annex'!H62</f>
        <v>0</v>
      </c>
      <c r="H101" s="174">
        <f>+'12-A. Print Sub-Annex'!I62</f>
        <v>0</v>
      </c>
      <c r="I101" s="174">
        <f>+'12-A. Print Sub-Annex'!J62</f>
        <v>0</v>
      </c>
      <c r="J101" s="174">
        <f>+'12-A. Print Sub-Annex'!K62</f>
        <v>0</v>
      </c>
      <c r="K101" s="174">
        <f>+'12-A. Print Sub-Annex'!L62</f>
        <v>0</v>
      </c>
      <c r="L101" s="174">
        <f>+'12-A. Print Sub-Annex'!M62</f>
        <v>0</v>
      </c>
      <c r="M101" s="178">
        <f>+'12-A. Print Sub-Annex'!N62</f>
        <v>0</v>
      </c>
      <c r="N101" s="174">
        <f>+'12-A. Print Sub-Annex'!O62</f>
        <v>0</v>
      </c>
      <c r="O101" s="178">
        <f>+'12-A. Print Sub-Annex'!P62</f>
        <v>0</v>
      </c>
      <c r="P101" s="103">
        <f>+'12-A. Print Sub-Annex'!Q62</f>
        <v>0</v>
      </c>
      <c r="Q101" s="3365"/>
      <c r="R101" s="160"/>
    </row>
    <row r="102" spans="1:18" x14ac:dyDescent="0.2">
      <c r="A102" s="4064"/>
      <c r="B102" s="929"/>
      <c r="C102" s="103" t="str">
        <f>+'12-A. Print Sub-Annex'!D63</f>
        <v>Any other (please specify)</v>
      </c>
      <c r="D102" s="174" t="str">
        <f>+'12-A. Print Sub-Annex'!E63</f>
        <v>HSS</v>
      </c>
      <c r="E102" s="174" t="str">
        <f>+'12-A. Print Sub-Annex'!F63</f>
        <v>CP</v>
      </c>
      <c r="F102" s="174">
        <f>+'12-A. Print Sub-Annex'!G63</f>
        <v>0</v>
      </c>
      <c r="G102" s="174">
        <f>+'12-A. Print Sub-Annex'!H63</f>
        <v>0</v>
      </c>
      <c r="H102" s="174">
        <f>+'12-A. Print Sub-Annex'!I63</f>
        <v>0</v>
      </c>
      <c r="I102" s="174">
        <f>+'12-A. Print Sub-Annex'!J63</f>
        <v>0</v>
      </c>
      <c r="J102" s="174">
        <f>+'12-A. Print Sub-Annex'!K63</f>
        <v>0</v>
      </c>
      <c r="K102" s="174">
        <f>+'12-A. Print Sub-Annex'!L63</f>
        <v>0</v>
      </c>
      <c r="L102" s="174">
        <f>+'12-A. Print Sub-Annex'!M63</f>
        <v>0</v>
      </c>
      <c r="M102" s="178">
        <f>+'12-A. Print Sub-Annex'!N63</f>
        <v>0</v>
      </c>
      <c r="N102" s="174">
        <f>+'12-A. Print Sub-Annex'!O63</f>
        <v>0</v>
      </c>
      <c r="O102" s="178">
        <f>+'12-A. Print Sub-Annex'!P63</f>
        <v>0</v>
      </c>
      <c r="P102" s="103">
        <f>+'12-A. Print Sub-Annex'!Q63</f>
        <v>0</v>
      </c>
      <c r="Q102" s="3365"/>
      <c r="R102" s="160"/>
    </row>
    <row r="103" spans="1:18" x14ac:dyDescent="0.2">
      <c r="A103" s="1900">
        <f>'16.PM Annex'!A7</f>
        <v>16</v>
      </c>
      <c r="B103" s="1900"/>
      <c r="C103" s="1898" t="str">
        <f>'16.PM Annex'!C7</f>
        <v>Programme Management</v>
      </c>
      <c r="D103" s="1900"/>
      <c r="E103" s="1900"/>
      <c r="F103" s="1900"/>
      <c r="G103" s="1900"/>
      <c r="H103" s="969"/>
      <c r="I103" s="1900"/>
      <c r="J103" s="969"/>
      <c r="K103" s="1900"/>
      <c r="L103" s="1900"/>
      <c r="M103" s="969"/>
      <c r="N103" s="1950"/>
      <c r="O103" s="969"/>
      <c r="P103" s="1952"/>
      <c r="Q103" s="3354"/>
      <c r="R103" s="132"/>
    </row>
    <row r="104" spans="1:18" ht="30" x14ac:dyDescent="0.2">
      <c r="A104" s="929" t="str">
        <f>'16-A. PM sub Annex'!B30</f>
        <v>16.1.2.1.9</v>
      </c>
      <c r="B104" s="929" t="str">
        <f>'16-A. PM sub Annex'!D30</f>
        <v>B1.1.1.4.2</v>
      </c>
      <c r="C104" s="103" t="str">
        <f>'16-A. PM sub Annex'!E30</f>
        <v xml:space="preserve">Monthly Review meeting of ASHA facilitators with BCM at block level-Meeting Expenses </v>
      </c>
      <c r="D104" s="174" t="str">
        <f>'16-A. PM sub Annex'!F30</f>
        <v>HSS</v>
      </c>
      <c r="E104" s="174" t="str">
        <f>'16-A. PM sub Annex'!G30</f>
        <v>HRH&amp;HPIP/ NHSRC-CP</v>
      </c>
      <c r="F104" s="174">
        <f>'16-A. PM sub Annex'!H30</f>
        <v>0</v>
      </c>
      <c r="G104" s="174">
        <f>'16-A. PM sub Annex'!I30</f>
        <v>0</v>
      </c>
      <c r="H104" s="174">
        <f>'16-A. PM sub Annex'!J30</f>
        <v>0</v>
      </c>
      <c r="I104" s="174">
        <f>'16-A. PM sub Annex'!K30</f>
        <v>0</v>
      </c>
      <c r="J104" s="174">
        <f>'16-A. PM sub Annex'!L30</f>
        <v>0</v>
      </c>
      <c r="K104" s="174">
        <f>'16-A. PM sub Annex'!M30</f>
        <v>0</v>
      </c>
      <c r="L104" s="174">
        <f>'16-A. PM sub Annex'!N30</f>
        <v>0</v>
      </c>
      <c r="M104" s="178">
        <f>'16-A. PM sub Annex'!O30</f>
        <v>0</v>
      </c>
      <c r="N104" s="174">
        <f>'16-A. PM sub Annex'!P30</f>
        <v>0</v>
      </c>
      <c r="O104" s="178">
        <f>'16-A. PM sub Annex'!Q30</f>
        <v>0</v>
      </c>
      <c r="P104" s="103">
        <f>'16-A. PM sub Annex'!R30</f>
        <v>0</v>
      </c>
      <c r="Q104" s="3343"/>
      <c r="R104" s="160"/>
    </row>
    <row r="105" spans="1:18" ht="30" x14ac:dyDescent="0.2">
      <c r="A105" s="929" t="str">
        <f>'16-A. PM sub Annex'!B73</f>
        <v>16.1.3.1.4</v>
      </c>
      <c r="B105" s="929" t="str">
        <f>'16-A. PM sub Annex'!D73</f>
        <v>B1.1.5.4</v>
      </c>
      <c r="C105" s="103" t="str">
        <f>'16-A. PM sub Annex'!E73</f>
        <v>Mobility Costs for ASHA Resource Centre/ASHA Mentoring Group (Kindly Specify)</v>
      </c>
      <c r="D105" s="174" t="str">
        <f>'16-A. PM sub Annex'!F73</f>
        <v>HSS</v>
      </c>
      <c r="E105" s="174" t="str">
        <f>'16-A. PM sub Annex'!G73</f>
        <v>HRH&amp;HPIP/NHSRC-CP</v>
      </c>
      <c r="F105" s="174">
        <f>'16-A. PM sub Annex'!H73</f>
        <v>0</v>
      </c>
      <c r="G105" s="174">
        <f>'16-A. PM sub Annex'!I73</f>
        <v>0</v>
      </c>
      <c r="H105" s="174">
        <f>'16-A. PM sub Annex'!J73</f>
        <v>0</v>
      </c>
      <c r="I105" s="174">
        <f>'16-A. PM sub Annex'!K73</f>
        <v>0</v>
      </c>
      <c r="J105" s="174">
        <f>'16-A. PM sub Annex'!L73</f>
        <v>0</v>
      </c>
      <c r="K105" s="174">
        <f>'16-A. PM sub Annex'!M73</f>
        <v>0</v>
      </c>
      <c r="L105" s="174">
        <f>'16-A. PM sub Annex'!N73</f>
        <v>0</v>
      </c>
      <c r="M105" s="178">
        <f>'16-A. PM sub Annex'!O73</f>
        <v>0</v>
      </c>
      <c r="N105" s="174">
        <f>'16-A. PM sub Annex'!P73</f>
        <v>0</v>
      </c>
      <c r="O105" s="178">
        <f>'16-A. PM sub Annex'!Q73</f>
        <v>0</v>
      </c>
      <c r="P105" s="103">
        <f>'16-A. PM sub Annex'!R73</f>
        <v>0</v>
      </c>
      <c r="Q105" s="3343"/>
      <c r="R105" s="160"/>
    </row>
    <row r="106" spans="1:18" ht="30" x14ac:dyDescent="0.2">
      <c r="A106" s="929" t="str">
        <f>'16-A. PM sub Annex'!B99</f>
        <v>16.1.3.3.5</v>
      </c>
      <c r="B106" s="929" t="str">
        <f>'16-A. PM sub Annex'!D99</f>
        <v>B1.1.5.4</v>
      </c>
      <c r="C106" s="103" t="str">
        <f>'16-A. PM sub Annex'!E99</f>
        <v>Mobility Costs for ASHA Resource Centre/ASHA Mentoring Group (Kindly Specify)</v>
      </c>
      <c r="D106" s="174" t="str">
        <f>'16-A. PM sub Annex'!F99</f>
        <v>HSS</v>
      </c>
      <c r="E106" s="174" t="str">
        <f>'16-A. PM sub Annex'!G99</f>
        <v>HRH&amp;HPIP/NHSRC-CP</v>
      </c>
      <c r="F106" s="174">
        <f>'16-A. PM sub Annex'!H99</f>
        <v>0</v>
      </c>
      <c r="G106" s="174">
        <f>'16-A. PM sub Annex'!I99</f>
        <v>0</v>
      </c>
      <c r="H106" s="174">
        <f>'16-A. PM sub Annex'!J99</f>
        <v>0</v>
      </c>
      <c r="I106" s="174">
        <f>'16-A. PM sub Annex'!K99</f>
        <v>0</v>
      </c>
      <c r="J106" s="174">
        <f>'16-A. PM sub Annex'!L99</f>
        <v>0</v>
      </c>
      <c r="K106" s="174">
        <f>'16-A. PM sub Annex'!M99</f>
        <v>0</v>
      </c>
      <c r="L106" s="174">
        <f>'16-A. PM sub Annex'!N99</f>
        <v>0</v>
      </c>
      <c r="M106" s="178">
        <f>'16-A. PM sub Annex'!O99</f>
        <v>0</v>
      </c>
      <c r="N106" s="174">
        <f>'16-A. PM sub Annex'!P99</f>
        <v>0</v>
      </c>
      <c r="O106" s="178">
        <f>'16-A. PM sub Annex'!Q99</f>
        <v>0</v>
      </c>
      <c r="P106" s="103">
        <f>'16-A. PM sub Annex'!R99</f>
        <v>0</v>
      </c>
      <c r="Q106" s="3343"/>
      <c r="R106" s="160"/>
    </row>
    <row r="107" spans="1:18" ht="30" x14ac:dyDescent="0.2">
      <c r="A107" s="929" t="str">
        <f>'16-A. PM sub Annex'!B115</f>
        <v>16.1.3.4.4</v>
      </c>
      <c r="B107" s="929" t="str">
        <f>'16-A. PM sub Annex'!D115</f>
        <v>B1.1.1.4.2</v>
      </c>
      <c r="C107" s="103" t="str">
        <f>'16-A. PM sub Annex'!E115</f>
        <v xml:space="preserve">Monthly Review meeting of ASHA facilitators with BCM at block level-cost of travel and meeting expenses </v>
      </c>
      <c r="D107" s="174" t="str">
        <f>'16-A. PM sub Annex'!F115</f>
        <v>HSS</v>
      </c>
      <c r="E107" s="174" t="str">
        <f>'16-A. PM sub Annex'!G115</f>
        <v>HRH&amp;HPIP/NHSRC-CP</v>
      </c>
      <c r="F107" s="174">
        <f>'16-A. PM sub Annex'!H115</f>
        <v>0</v>
      </c>
      <c r="G107" s="174">
        <f>'16-A. PM sub Annex'!I115</f>
        <v>0</v>
      </c>
      <c r="H107" s="174">
        <f>'16-A. PM sub Annex'!J115</f>
        <v>0</v>
      </c>
      <c r="I107" s="174">
        <f>'16-A. PM sub Annex'!K115</f>
        <v>0</v>
      </c>
      <c r="J107" s="174">
        <f>'16-A. PM sub Annex'!L115</f>
        <v>0</v>
      </c>
      <c r="K107" s="174">
        <f>'16-A. PM sub Annex'!M115</f>
        <v>0</v>
      </c>
      <c r="L107" s="174">
        <f>'16-A. PM sub Annex'!N115</f>
        <v>0</v>
      </c>
      <c r="M107" s="178">
        <f>'16-A. PM sub Annex'!O115</f>
        <v>0</v>
      </c>
      <c r="N107" s="174">
        <f>'16-A. PM sub Annex'!P115</f>
        <v>0</v>
      </c>
      <c r="O107" s="178">
        <f>'16-A. PM sub Annex'!Q115</f>
        <v>0</v>
      </c>
      <c r="P107" s="103">
        <f>'16-A. PM sub Annex'!R115</f>
        <v>0</v>
      </c>
      <c r="Q107" s="3343"/>
      <c r="R107" s="160"/>
    </row>
  </sheetData>
  <sheetProtection formatCells="0" formatColumns="0" formatRows="0" autoFilter="0"/>
  <autoFilter ref="A5:M107"/>
  <mergeCells count="13">
    <mergeCell ref="A83:A87"/>
    <mergeCell ref="A89:A93"/>
    <mergeCell ref="A95:A96"/>
    <mergeCell ref="A98:A102"/>
    <mergeCell ref="Q4:R4"/>
    <mergeCell ref="E4:E5"/>
    <mergeCell ref="F4:J4"/>
    <mergeCell ref="K4:P4"/>
    <mergeCell ref="A1:C1"/>
    <mergeCell ref="A4:A5"/>
    <mergeCell ref="B4:B5"/>
    <mergeCell ref="C4:C5"/>
    <mergeCell ref="D4:D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S28"/>
  <sheetViews>
    <sheetView zoomScale="90" zoomScaleNormal="90" workbookViewId="0">
      <pane xSplit="3" ySplit="5" topLeftCell="L21" activePane="bottomRight" state="frozen"/>
      <selection activeCell="C107" sqref="C107"/>
      <selection pane="topRight" activeCell="C107" sqref="C107"/>
      <selection pane="bottomLeft" activeCell="C107" sqref="C107"/>
      <selection pane="bottomRight" activeCell="Q28" sqref="Q28:R28"/>
    </sheetView>
  </sheetViews>
  <sheetFormatPr defaultColWidth="8.85546875" defaultRowHeight="15" x14ac:dyDescent="0.2"/>
  <cols>
    <col min="1" max="1" width="10.140625" style="1825" bestFit="1" customWidth="1"/>
    <col min="2" max="2" width="24.85546875" style="1825" hidden="1" customWidth="1"/>
    <col min="3" max="3" width="39.42578125" style="881" customWidth="1"/>
    <col min="4" max="4" width="5.5703125" style="835" hidden="1" customWidth="1"/>
    <col min="5" max="5" width="14.140625" style="835" hidden="1" customWidth="1"/>
    <col min="6" max="6" width="22.7109375" style="1196" hidden="1" customWidth="1"/>
    <col min="7" max="9" width="15.140625" style="1196" hidden="1" customWidth="1"/>
    <col min="10" max="10" width="20.5703125" style="1962" hidden="1" customWidth="1"/>
    <col min="11" max="11" width="15.5703125" style="835" hidden="1" customWidth="1"/>
    <col min="12" max="12" width="13.140625" style="835" customWidth="1"/>
    <col min="13" max="13" width="15.140625" style="1962" hidden="1" customWidth="1"/>
    <col min="14" max="14" width="8.85546875" style="1196"/>
    <col min="15" max="15" width="8.85546875" style="1986" customWidth="1"/>
    <col min="16" max="16" width="28.42578125" style="3351" hidden="1" customWidth="1"/>
    <col min="17" max="17" width="33.5703125" style="1825" customWidth="1"/>
    <col min="18" max="18" width="15.85546875" style="1986" customWidth="1"/>
    <col min="19" max="16384" width="8.85546875" style="1963"/>
  </cols>
  <sheetData>
    <row r="1" spans="1:18" s="996" customFormat="1" x14ac:dyDescent="0.2">
      <c r="A1" s="4066" t="s">
        <v>4795</v>
      </c>
      <c r="B1" s="4067"/>
      <c r="C1" s="4068"/>
      <c r="D1" s="1966"/>
      <c r="E1" s="1966"/>
      <c r="F1" s="98" t="s">
        <v>3962</v>
      </c>
      <c r="G1" s="1922"/>
      <c r="H1" s="1922"/>
      <c r="I1" s="1922"/>
      <c r="J1" s="1926"/>
      <c r="K1" s="1922"/>
      <c r="L1" s="1922"/>
      <c r="M1" s="1926"/>
      <c r="N1" s="1942"/>
      <c r="O1" s="1967"/>
      <c r="P1" s="3356"/>
      <c r="Q1" s="1944"/>
      <c r="R1" s="1967"/>
    </row>
    <row r="2" spans="1:18" s="996" customFormat="1" x14ac:dyDescent="0.2">
      <c r="A2" s="1859" t="str">
        <f>HYPERLINK("#Index!F3", "Index Pg")</f>
        <v>Index Pg</v>
      </c>
      <c r="B2" s="1864"/>
      <c r="C2" s="1968" t="str">
        <f>HYPERLINK("#'Budget Summary I'!A1:AL1", "Budget Summary I")</f>
        <v>Budget Summary I</v>
      </c>
      <c r="D2" s="1969"/>
      <c r="E2" s="1084" t="s">
        <v>4608</v>
      </c>
      <c r="F2" s="177">
        <f>R6+R8+R13+R18+R20+R26</f>
        <v>0</v>
      </c>
      <c r="G2" s="1970"/>
      <c r="H2" s="1970"/>
      <c r="I2" s="1970"/>
      <c r="J2" s="1926"/>
      <c r="K2" s="1092"/>
      <c r="L2" s="1092"/>
      <c r="M2" s="1926"/>
      <c r="N2" s="1942"/>
      <c r="O2" s="1967"/>
      <c r="P2" s="3356"/>
      <c r="Q2" s="1944"/>
      <c r="R2" s="1967"/>
    </row>
    <row r="3" spans="1:18" s="996" customFormat="1" x14ac:dyDescent="0.2">
      <c r="A3" s="1863"/>
      <c r="B3" s="1864"/>
      <c r="C3" s="1971" t="str">
        <f>HYPERLINK("#'Budget Summary II'!A3:B5", "Budget Summary II")</f>
        <v>Budget Summary II</v>
      </c>
      <c r="D3" s="1972"/>
      <c r="E3" s="1939" t="s">
        <v>4609</v>
      </c>
      <c r="F3" s="725">
        <f>O6+O8+O13+O18+O20+O26</f>
        <v>0</v>
      </c>
      <c r="G3" s="1970"/>
      <c r="H3" s="1970"/>
      <c r="I3" s="1970"/>
      <c r="J3" s="1943"/>
      <c r="K3" s="1092"/>
      <c r="L3" s="1092"/>
      <c r="M3" s="1926"/>
      <c r="N3" s="1942"/>
      <c r="O3" s="1967"/>
      <c r="P3" s="3356"/>
      <c r="Q3" s="1944"/>
      <c r="R3" s="1967"/>
    </row>
    <row r="4" spans="1:18" s="1196" customForma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s="1196" customFormat="1" ht="45"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897" t="s">
        <v>63</v>
      </c>
      <c r="Q5" s="899" t="s">
        <v>2540</v>
      </c>
      <c r="R5" s="900" t="s">
        <v>4671</v>
      </c>
    </row>
    <row r="6" spans="1:18" s="1977" customFormat="1" x14ac:dyDescent="0.2">
      <c r="A6" s="840">
        <f>'6.Procurement Annex'!A7</f>
        <v>6</v>
      </c>
      <c r="B6" s="840"/>
      <c r="C6" s="840" t="str">
        <f>'6.Procurement Annex'!C7</f>
        <v>Procurement</v>
      </c>
      <c r="D6" s="912"/>
      <c r="E6" s="912"/>
      <c r="F6" s="912"/>
      <c r="G6" s="912"/>
      <c r="H6" s="1973"/>
      <c r="I6" s="912"/>
      <c r="J6" s="528"/>
      <c r="K6" s="912"/>
      <c r="L6" s="912"/>
      <c r="M6" s="528"/>
      <c r="N6" s="1974"/>
      <c r="O6" s="1975">
        <f>O7</f>
        <v>0</v>
      </c>
      <c r="P6" s="2120"/>
      <c r="Q6" s="1976"/>
      <c r="R6" s="1975">
        <f>R7</f>
        <v>0</v>
      </c>
    </row>
    <row r="7" spans="1:18" s="1977" customFormat="1" ht="30" x14ac:dyDescent="0.2">
      <c r="A7" s="1978" t="str">
        <f>'6.Procurement Annex'!A24</f>
        <v>6.1.2.7</v>
      </c>
      <c r="B7" s="1978">
        <f>'6-A. Proc. Sub-Annex'!C62</f>
        <v>0</v>
      </c>
      <c r="C7" s="1978" t="str">
        <f>'6-A. Proc. Sub-Annex'!D62</f>
        <v>Tablets; software for implementation of ANMOL</v>
      </c>
      <c r="D7" s="749" t="str">
        <f>'6-A. Proc. Sub-Annex'!E62</f>
        <v>HSS</v>
      </c>
      <c r="E7" s="749" t="str">
        <f>'6-A. Proc. Sub-Annex'!F62</f>
        <v>HSS/ HMIS-MCTS</v>
      </c>
      <c r="F7" s="749">
        <f>'6-A. Proc. Sub-Annex'!G62</f>
        <v>0</v>
      </c>
      <c r="G7" s="749">
        <f>'6-A. Proc. Sub-Annex'!H62</f>
        <v>0</v>
      </c>
      <c r="H7" s="749">
        <f>'6-A. Proc. Sub-Annex'!I62</f>
        <v>0</v>
      </c>
      <c r="I7" s="749">
        <f>'6-A. Proc. Sub-Annex'!J62</f>
        <v>0</v>
      </c>
      <c r="J7" s="749">
        <f>'6-A. Proc. Sub-Annex'!K62</f>
        <v>0</v>
      </c>
      <c r="K7" s="749">
        <f>'6-A. Proc. Sub-Annex'!L62</f>
        <v>0</v>
      </c>
      <c r="L7" s="749">
        <f>'6-A. Proc. Sub-Annex'!M62</f>
        <v>0</v>
      </c>
      <c r="M7" s="1979">
        <f>'6-A. Proc. Sub-Annex'!N62</f>
        <v>0</v>
      </c>
      <c r="N7" s="749">
        <f>'6-A. Proc. Sub-Annex'!O62</f>
        <v>0</v>
      </c>
      <c r="O7" s="1979">
        <f>'6-A. Proc. Sub-Annex'!P62</f>
        <v>0</v>
      </c>
      <c r="P7" s="1978">
        <f>'6-A. Proc. Sub-Annex'!Q62</f>
        <v>0</v>
      </c>
      <c r="Q7" s="1987"/>
      <c r="R7" s="1988"/>
    </row>
    <row r="8" spans="1:18" x14ac:dyDescent="0.2">
      <c r="A8" s="1465">
        <f>'9.Training Annex'!A7</f>
        <v>9</v>
      </c>
      <c r="B8" s="1980"/>
      <c r="C8" s="1465" t="str">
        <f>'9.Training Annex'!C7</f>
        <v>Training and Capacity Building</v>
      </c>
      <c r="D8" s="1410"/>
      <c r="E8" s="1410"/>
      <c r="F8" s="1410"/>
      <c r="G8" s="1410"/>
      <c r="H8" s="1410"/>
      <c r="I8" s="1410"/>
      <c r="J8" s="528"/>
      <c r="K8" s="1410"/>
      <c r="L8" s="1410"/>
      <c r="M8" s="528"/>
      <c r="N8" s="1974"/>
      <c r="O8" s="1981">
        <f>SUM(O9:O12)</f>
        <v>0</v>
      </c>
      <c r="P8" s="2120"/>
      <c r="Q8" s="1989"/>
      <c r="R8" s="1981">
        <f>SUM(R9:R12)</f>
        <v>0</v>
      </c>
    </row>
    <row r="9" spans="1:18" x14ac:dyDescent="0.2">
      <c r="A9" s="4065" t="str">
        <f>'9.Training Annex'!A36</f>
        <v>9.2.2.7</v>
      </c>
      <c r="B9" s="779" t="str">
        <f>'9-A.Training Sub-Annex'!C185</f>
        <v>B15.3.1.4.1</v>
      </c>
      <c r="C9" s="779" t="str">
        <f>'9-A.Training Sub-Annex'!D185</f>
        <v>Training cum review meeting for HMIS &amp; MCTS at State level</v>
      </c>
      <c r="D9" s="929" t="str">
        <f>'9-A.Training Sub-Annex'!E185</f>
        <v>HSS</v>
      </c>
      <c r="E9" s="929" t="str">
        <f>'9-A.Training Sub-Annex'!F185</f>
        <v>HMIS/ MCTS</v>
      </c>
      <c r="F9" s="929">
        <f>'9-A.Training Sub-Annex'!G185</f>
        <v>0</v>
      </c>
      <c r="G9" s="929">
        <f>'9-A.Training Sub-Annex'!H185</f>
        <v>0</v>
      </c>
      <c r="H9" s="929">
        <f>'9-A.Training Sub-Annex'!I185</f>
        <v>0</v>
      </c>
      <c r="I9" s="929">
        <f>'9-A.Training Sub-Annex'!J185</f>
        <v>0</v>
      </c>
      <c r="J9" s="929">
        <f>'9-A.Training Sub-Annex'!K185</f>
        <v>0</v>
      </c>
      <c r="K9" s="929">
        <f>'9-A.Training Sub-Annex'!L185</f>
        <v>0</v>
      </c>
      <c r="L9" s="929">
        <f>'9-A.Training Sub-Annex'!M185</f>
        <v>0</v>
      </c>
      <c r="M9" s="780">
        <f>'9-A.Training Sub-Annex'!N185</f>
        <v>0</v>
      </c>
      <c r="N9" s="929">
        <f>'9-A.Training Sub-Annex'!O185</f>
        <v>0</v>
      </c>
      <c r="O9" s="780">
        <f>'9-A.Training Sub-Annex'!P185</f>
        <v>0</v>
      </c>
      <c r="P9" s="3344">
        <f>'9-A.Training Sub-Annex'!Q185</f>
        <v>0</v>
      </c>
      <c r="Q9" s="3376"/>
      <c r="R9" s="3390"/>
    </row>
    <row r="10" spans="1:18" x14ac:dyDescent="0.2">
      <c r="A10" s="4065"/>
      <c r="B10" s="779" t="str">
        <f>'9-A.Training Sub-Annex'!C186</f>
        <v>B15.3.1.4.2</v>
      </c>
      <c r="C10" s="779" t="str">
        <f>'9-A.Training Sub-Annex'!D186</f>
        <v>Training cum review meeting for HMIS &amp; MCTS at District level</v>
      </c>
      <c r="D10" s="929" t="str">
        <f>'9-A.Training Sub-Annex'!E186</f>
        <v>HSS</v>
      </c>
      <c r="E10" s="929" t="str">
        <f>'9-A.Training Sub-Annex'!F186</f>
        <v>HMIS/ MCTS</v>
      </c>
      <c r="F10" s="929">
        <f>'9-A.Training Sub-Annex'!G186</f>
        <v>0</v>
      </c>
      <c r="G10" s="929">
        <f>'9-A.Training Sub-Annex'!H186</f>
        <v>0</v>
      </c>
      <c r="H10" s="929">
        <f>'9-A.Training Sub-Annex'!I186</f>
        <v>0</v>
      </c>
      <c r="I10" s="929">
        <f>'9-A.Training Sub-Annex'!J186</f>
        <v>0</v>
      </c>
      <c r="J10" s="929">
        <f>'9-A.Training Sub-Annex'!K186</f>
        <v>0</v>
      </c>
      <c r="K10" s="929">
        <f>'9-A.Training Sub-Annex'!L186</f>
        <v>0</v>
      </c>
      <c r="L10" s="929">
        <f>'9-A.Training Sub-Annex'!M186</f>
        <v>0</v>
      </c>
      <c r="M10" s="780">
        <f>'9-A.Training Sub-Annex'!N186</f>
        <v>0</v>
      </c>
      <c r="N10" s="929">
        <f>'9-A.Training Sub-Annex'!O186</f>
        <v>0</v>
      </c>
      <c r="O10" s="780">
        <f>'9-A.Training Sub-Annex'!P186</f>
        <v>0</v>
      </c>
      <c r="P10" s="3344">
        <f>'9-A.Training Sub-Annex'!Q186</f>
        <v>0</v>
      </c>
      <c r="Q10" s="3376"/>
      <c r="R10" s="3607"/>
    </row>
    <row r="11" spans="1:18" x14ac:dyDescent="0.2">
      <c r="A11" s="4065"/>
      <c r="B11" s="779" t="str">
        <f>'9-A.Training Sub-Annex'!C187</f>
        <v>B15.3.1.4.3</v>
      </c>
      <c r="C11" s="779" t="str">
        <f>'9-A.Training Sub-Annex'!D187</f>
        <v>Training cum review meeting for HMIS &amp; MCTS at Block level</v>
      </c>
      <c r="D11" s="929" t="str">
        <f>'9-A.Training Sub-Annex'!E187</f>
        <v>HSS</v>
      </c>
      <c r="E11" s="929" t="str">
        <f>'9-A.Training Sub-Annex'!F187</f>
        <v>HMIS/ MCTS</v>
      </c>
      <c r="F11" s="929">
        <f>'9-A.Training Sub-Annex'!G187</f>
        <v>0</v>
      </c>
      <c r="G11" s="929">
        <f>'9-A.Training Sub-Annex'!H187</f>
        <v>0</v>
      </c>
      <c r="H11" s="929">
        <f>'9-A.Training Sub-Annex'!I187</f>
        <v>0</v>
      </c>
      <c r="I11" s="929">
        <f>'9-A.Training Sub-Annex'!J187</f>
        <v>0</v>
      </c>
      <c r="J11" s="929">
        <f>'9-A.Training Sub-Annex'!K187</f>
        <v>0</v>
      </c>
      <c r="K11" s="929">
        <f>'9-A.Training Sub-Annex'!L187</f>
        <v>0</v>
      </c>
      <c r="L11" s="929">
        <f>'9-A.Training Sub-Annex'!M187</f>
        <v>0</v>
      </c>
      <c r="M11" s="780">
        <f>'9-A.Training Sub-Annex'!N187</f>
        <v>0</v>
      </c>
      <c r="N11" s="929">
        <f>'9-A.Training Sub-Annex'!O187</f>
        <v>0</v>
      </c>
      <c r="O11" s="780">
        <f>'9-A.Training Sub-Annex'!P187</f>
        <v>0</v>
      </c>
      <c r="P11" s="3344">
        <f>'9-A.Training Sub-Annex'!Q187</f>
        <v>0</v>
      </c>
      <c r="Q11" s="3376"/>
      <c r="R11" s="3607"/>
    </row>
    <row r="12" spans="1:18" x14ac:dyDescent="0.2">
      <c r="A12" s="4065"/>
      <c r="B12" s="779">
        <f>'9-A.Training Sub-Annex'!C188</f>
        <v>0</v>
      </c>
      <c r="C12" s="779" t="str">
        <f>'9-A.Training Sub-Annex'!D188</f>
        <v>Any other (please specify)</v>
      </c>
      <c r="D12" s="929" t="str">
        <f>'9-A.Training Sub-Annex'!E188</f>
        <v>HSS</v>
      </c>
      <c r="E12" s="929" t="str">
        <f>'9-A.Training Sub-Annex'!F188</f>
        <v>HMIS/ MCTS</v>
      </c>
      <c r="F12" s="929">
        <f>'9-A.Training Sub-Annex'!G188</f>
        <v>0</v>
      </c>
      <c r="G12" s="929">
        <f>'9-A.Training Sub-Annex'!H188</f>
        <v>0</v>
      </c>
      <c r="H12" s="929">
        <f>'9-A.Training Sub-Annex'!I188</f>
        <v>0</v>
      </c>
      <c r="I12" s="929">
        <f>'9-A.Training Sub-Annex'!J188</f>
        <v>0</v>
      </c>
      <c r="J12" s="929">
        <f>'9-A.Training Sub-Annex'!K188</f>
        <v>0</v>
      </c>
      <c r="K12" s="929">
        <f>'9-A.Training Sub-Annex'!L188</f>
        <v>0</v>
      </c>
      <c r="L12" s="929">
        <f>'9-A.Training Sub-Annex'!M188</f>
        <v>0</v>
      </c>
      <c r="M12" s="780">
        <f>'9-A.Training Sub-Annex'!N188</f>
        <v>0</v>
      </c>
      <c r="N12" s="929">
        <f>'9-A.Training Sub-Annex'!O188</f>
        <v>0</v>
      </c>
      <c r="O12" s="780">
        <f>'9-A.Training Sub-Annex'!P188</f>
        <v>0</v>
      </c>
      <c r="P12" s="3344">
        <f>'9-A.Training Sub-Annex'!Q188</f>
        <v>0</v>
      </c>
      <c r="Q12" s="68"/>
      <c r="R12" s="1991">
        <v>0</v>
      </c>
    </row>
    <row r="13" spans="1:18" x14ac:dyDescent="0.2">
      <c r="A13" s="723">
        <f>'12.Printing Annex'!A7</f>
        <v>12</v>
      </c>
      <c r="B13" s="723"/>
      <c r="C13" s="723" t="str">
        <f>'12.Printing Annex'!C7</f>
        <v>Printing</v>
      </c>
      <c r="D13" s="724"/>
      <c r="E13" s="724"/>
      <c r="F13" s="724"/>
      <c r="G13" s="724"/>
      <c r="H13" s="1983"/>
      <c r="I13" s="724"/>
      <c r="J13" s="528"/>
      <c r="K13" s="724"/>
      <c r="L13" s="724"/>
      <c r="M13" s="528"/>
      <c r="N13" s="1974"/>
      <c r="O13" s="1981">
        <f>SUM(O14:O17)</f>
        <v>0</v>
      </c>
      <c r="P13" s="2120"/>
      <c r="Q13" s="1989"/>
      <c r="R13" s="1990">
        <f>SUM(R14:R17)</f>
        <v>0</v>
      </c>
    </row>
    <row r="14" spans="1:18" x14ac:dyDescent="0.2">
      <c r="A14" s="4065" t="str">
        <f>'12.Printing Annex'!A20</f>
        <v>12.2.4</v>
      </c>
      <c r="B14" s="779" t="str">
        <f>'12-A. Print Sub-Annex'!C68</f>
        <v>B15.3.1.6</v>
      </c>
      <c r="C14" s="779" t="str">
        <f>'12-A. Print Sub-Annex'!D68</f>
        <v xml:space="preserve">Printing of HMIS Formats </v>
      </c>
      <c r="D14" s="929" t="str">
        <f>'12-A. Print Sub-Annex'!E68</f>
        <v>HSS</v>
      </c>
      <c r="E14" s="929" t="str">
        <f>'12-A. Print Sub-Annex'!F68</f>
        <v>HMIS-MCTS</v>
      </c>
      <c r="F14" s="929">
        <f>'12-A. Print Sub-Annex'!G68</f>
        <v>0</v>
      </c>
      <c r="G14" s="929">
        <f>'12-A. Print Sub-Annex'!H68</f>
        <v>0</v>
      </c>
      <c r="H14" s="929">
        <f>'12-A. Print Sub-Annex'!I68</f>
        <v>0</v>
      </c>
      <c r="I14" s="929">
        <f>'12-A. Print Sub-Annex'!J68</f>
        <v>0</v>
      </c>
      <c r="J14" s="929">
        <f>'12-A. Print Sub-Annex'!K68</f>
        <v>0</v>
      </c>
      <c r="K14" s="929">
        <f>'12-A. Print Sub-Annex'!L68</f>
        <v>0</v>
      </c>
      <c r="L14" s="929">
        <f>'12-A. Print Sub-Annex'!M68</f>
        <v>0</v>
      </c>
      <c r="M14" s="780">
        <f>'12-A. Print Sub-Annex'!N68</f>
        <v>0</v>
      </c>
      <c r="N14" s="929">
        <f>'12-A. Print Sub-Annex'!O68</f>
        <v>0</v>
      </c>
      <c r="O14" s="780">
        <f>'12-A. Print Sub-Annex'!P68</f>
        <v>0</v>
      </c>
      <c r="P14" s="3344">
        <f>'12-A. Print Sub-Annex'!Q68</f>
        <v>0</v>
      </c>
      <c r="Q14" s="3389"/>
      <c r="R14" s="3390"/>
    </row>
    <row r="15" spans="1:18" x14ac:dyDescent="0.2">
      <c r="A15" s="4065"/>
      <c r="B15" s="779" t="str">
        <f>'12-A. Print Sub-Annex'!C69</f>
        <v>B15.3.2.1</v>
      </c>
      <c r="C15" s="779" t="str">
        <f>'12-A. Print Sub-Annex'!D69</f>
        <v xml:space="preserve">Printing of RCH Registers </v>
      </c>
      <c r="D15" s="929" t="str">
        <f>'12-A. Print Sub-Annex'!E69</f>
        <v>HSS</v>
      </c>
      <c r="E15" s="929" t="str">
        <f>'12-A. Print Sub-Annex'!F69</f>
        <v>HMIS-MCTS</v>
      </c>
      <c r="F15" s="929">
        <f>'12-A. Print Sub-Annex'!G69</f>
        <v>0</v>
      </c>
      <c r="G15" s="929">
        <f>'12-A. Print Sub-Annex'!H69</f>
        <v>0</v>
      </c>
      <c r="H15" s="929">
        <f>'12-A. Print Sub-Annex'!I69</f>
        <v>0</v>
      </c>
      <c r="I15" s="929">
        <f>'12-A. Print Sub-Annex'!J69</f>
        <v>0</v>
      </c>
      <c r="J15" s="929">
        <f>'12-A. Print Sub-Annex'!K69</f>
        <v>0</v>
      </c>
      <c r="K15" s="929">
        <f>'12-A. Print Sub-Annex'!L69</f>
        <v>0</v>
      </c>
      <c r="L15" s="929">
        <f>'12-A. Print Sub-Annex'!M69</f>
        <v>0</v>
      </c>
      <c r="M15" s="780">
        <f>'12-A. Print Sub-Annex'!N69</f>
        <v>0</v>
      </c>
      <c r="N15" s="929">
        <f>'12-A. Print Sub-Annex'!O69</f>
        <v>0</v>
      </c>
      <c r="O15" s="780">
        <f>'12-A. Print Sub-Annex'!P69</f>
        <v>0</v>
      </c>
      <c r="P15" s="3344">
        <f>'12-A. Print Sub-Annex'!Q69</f>
        <v>0</v>
      </c>
      <c r="Q15" s="3333"/>
      <c r="R15" s="3394"/>
    </row>
    <row r="16" spans="1:18" x14ac:dyDescent="0.2">
      <c r="A16" s="4065"/>
      <c r="B16" s="779" t="str">
        <f>'12-A. Print Sub-Annex'!C70</f>
        <v>B15.3.2.2</v>
      </c>
      <c r="C16" s="779" t="str">
        <f>'12-A. Print Sub-Annex'!D70</f>
        <v>Printing of MCTS follow-up formats/ services due list/ work plan</v>
      </c>
      <c r="D16" s="929" t="str">
        <f>'12-A. Print Sub-Annex'!E70</f>
        <v>HSS</v>
      </c>
      <c r="E16" s="929" t="str">
        <f>'12-A. Print Sub-Annex'!F70</f>
        <v>HMIS-MCTS</v>
      </c>
      <c r="F16" s="929">
        <f>'12-A. Print Sub-Annex'!G70</f>
        <v>0</v>
      </c>
      <c r="G16" s="929">
        <f>'12-A. Print Sub-Annex'!H70</f>
        <v>0</v>
      </c>
      <c r="H16" s="929">
        <f>'12-A. Print Sub-Annex'!I70</f>
        <v>0</v>
      </c>
      <c r="I16" s="929">
        <f>'12-A. Print Sub-Annex'!J70</f>
        <v>0</v>
      </c>
      <c r="J16" s="929">
        <f>'12-A. Print Sub-Annex'!K70</f>
        <v>0</v>
      </c>
      <c r="K16" s="929">
        <f>'12-A. Print Sub-Annex'!L70</f>
        <v>0</v>
      </c>
      <c r="L16" s="929">
        <f>'12-A. Print Sub-Annex'!M70</f>
        <v>0</v>
      </c>
      <c r="M16" s="780">
        <f>'12-A. Print Sub-Annex'!N70</f>
        <v>0</v>
      </c>
      <c r="N16" s="929">
        <f>'12-A. Print Sub-Annex'!O70</f>
        <v>0</v>
      </c>
      <c r="O16" s="780">
        <f>'12-A. Print Sub-Annex'!P70</f>
        <v>0</v>
      </c>
      <c r="P16" s="3344">
        <f>'12-A. Print Sub-Annex'!Q70</f>
        <v>0</v>
      </c>
      <c r="Q16" s="68"/>
      <c r="R16" s="1991"/>
    </row>
    <row r="17" spans="1:19" x14ac:dyDescent="0.2">
      <c r="A17" s="4065"/>
      <c r="B17" s="779">
        <f>'12-A. Print Sub-Annex'!C71</f>
        <v>0</v>
      </c>
      <c r="C17" s="779" t="str">
        <f>'12-A. Print Sub-Annex'!D71</f>
        <v>Any other (please specify)</v>
      </c>
      <c r="D17" s="929" t="str">
        <f>'12-A. Print Sub-Annex'!E71</f>
        <v>HSS</v>
      </c>
      <c r="E17" s="929" t="str">
        <f>'12-A. Print Sub-Annex'!F71</f>
        <v>HMIS-MCTS</v>
      </c>
      <c r="F17" s="929">
        <f>'12-A. Print Sub-Annex'!G71</f>
        <v>0</v>
      </c>
      <c r="G17" s="929">
        <f>'12-A. Print Sub-Annex'!H71</f>
        <v>0</v>
      </c>
      <c r="H17" s="929">
        <f>'12-A. Print Sub-Annex'!I71</f>
        <v>0</v>
      </c>
      <c r="I17" s="929">
        <f>'12-A. Print Sub-Annex'!J71</f>
        <v>0</v>
      </c>
      <c r="J17" s="929">
        <f>'12-A. Print Sub-Annex'!K71</f>
        <v>0</v>
      </c>
      <c r="K17" s="929">
        <f>'12-A. Print Sub-Annex'!L71</f>
        <v>0</v>
      </c>
      <c r="L17" s="929">
        <f>'12-A. Print Sub-Annex'!M71</f>
        <v>0</v>
      </c>
      <c r="M17" s="780">
        <f>'12-A. Print Sub-Annex'!N71</f>
        <v>0</v>
      </c>
      <c r="N17" s="929">
        <f>'12-A. Print Sub-Annex'!O71</f>
        <v>0</v>
      </c>
      <c r="O17" s="780">
        <f>'12-A. Print Sub-Annex'!P71</f>
        <v>0</v>
      </c>
      <c r="P17" s="3344">
        <f>'12-A. Print Sub-Annex'!Q71</f>
        <v>0</v>
      </c>
      <c r="Q17" s="3392"/>
      <c r="R17" s="3391"/>
    </row>
    <row r="18" spans="1:19" x14ac:dyDescent="0.2">
      <c r="A18" s="1754">
        <f>'14.Drug warehouse &amp;Logistic Anx'!A7</f>
        <v>14</v>
      </c>
      <c r="B18" s="1984"/>
      <c r="C18" s="1754" t="str">
        <f>'14.Drug warehouse &amp;Logistic Anx'!C7</f>
        <v>Drug Warehousing and Logistics</v>
      </c>
      <c r="D18" s="1755"/>
      <c r="E18" s="1755"/>
      <c r="F18" s="724"/>
      <c r="G18" s="724"/>
      <c r="H18" s="1983"/>
      <c r="I18" s="724"/>
      <c r="J18" s="528"/>
      <c r="K18" s="724"/>
      <c r="L18" s="724"/>
      <c r="M18" s="528"/>
      <c r="N18" s="1974"/>
      <c r="O18" s="1981">
        <f>O19</f>
        <v>0</v>
      </c>
      <c r="P18" s="2120"/>
      <c r="Q18" s="1989"/>
      <c r="R18" s="1990">
        <f>R19</f>
        <v>0</v>
      </c>
    </row>
    <row r="19" spans="1:19" s="996" customFormat="1" x14ac:dyDescent="0.2">
      <c r="A19" s="1768" t="str">
        <f>'14.Drug warehouse &amp;Logistic Anx'!A18</f>
        <v>14.2.2</v>
      </c>
      <c r="B19" s="1768" t="str">
        <f>'14.Drug warehouse &amp;Logistic Anx'!B18</f>
        <v>B15.3.3.1</v>
      </c>
      <c r="C19" s="1768" t="str">
        <f>'14.Drug warehouse &amp;Logistic Anx'!C18</f>
        <v xml:space="preserve">Implementation of DVDMS </v>
      </c>
      <c r="D19" s="1714" t="str">
        <f>'14.Drug warehouse &amp;Logistic Anx'!D18</f>
        <v>HSS</v>
      </c>
      <c r="E19" s="1714" t="str">
        <f>'14.Drug warehouse &amp;Logistic Anx'!E18</f>
        <v>HMIS/ MCTC</v>
      </c>
      <c r="F19" s="1714">
        <f>'14.Drug warehouse &amp;Logistic Anx'!F18</f>
        <v>0</v>
      </c>
      <c r="G19" s="1714">
        <f>'14.Drug warehouse &amp;Logistic Anx'!G18</f>
        <v>0</v>
      </c>
      <c r="H19" s="1714">
        <f>'14.Drug warehouse &amp;Logistic Anx'!H18</f>
        <v>0</v>
      </c>
      <c r="I19" s="1714">
        <f>'14.Drug warehouse &amp;Logistic Anx'!I18</f>
        <v>0</v>
      </c>
      <c r="J19" s="1714">
        <f>'14.Drug warehouse &amp;Logistic Anx'!J18</f>
        <v>0</v>
      </c>
      <c r="K19" s="1714">
        <f>'14.Drug warehouse &amp;Logistic Anx'!K18</f>
        <v>0</v>
      </c>
      <c r="L19" s="1714">
        <f>'14.Drug warehouse &amp;Logistic Anx'!L18</f>
        <v>0</v>
      </c>
      <c r="M19" s="1985">
        <f>'14.Drug warehouse &amp;Logistic Anx'!M18</f>
        <v>0</v>
      </c>
      <c r="N19" s="1714">
        <f>'14.Drug warehouse &amp;Logistic Anx'!N18</f>
        <v>0</v>
      </c>
      <c r="O19" s="1985">
        <f>'14.Drug warehouse &amp;Logistic Anx'!O18</f>
        <v>0</v>
      </c>
      <c r="P19" s="1768">
        <f>'14.Drug warehouse &amp;Logistic Anx'!P18</f>
        <v>0</v>
      </c>
      <c r="Q19" s="1992"/>
      <c r="R19" s="1993"/>
    </row>
    <row r="20" spans="1:19" x14ac:dyDescent="0.2">
      <c r="A20" s="1754">
        <f>'16.PM Annex'!A7</f>
        <v>16</v>
      </c>
      <c r="B20" s="1984"/>
      <c r="C20" s="1754" t="str">
        <f>'16.PM Annex'!C7</f>
        <v>Programme Management</v>
      </c>
      <c r="D20" s="1755"/>
      <c r="E20" s="1755"/>
      <c r="F20" s="724"/>
      <c r="G20" s="724"/>
      <c r="H20" s="1983"/>
      <c r="I20" s="724"/>
      <c r="J20" s="528"/>
      <c r="K20" s="724"/>
      <c r="L20" s="724"/>
      <c r="M20" s="528"/>
      <c r="N20" s="1974"/>
      <c r="O20" s="1981">
        <f>SUM(O21:O25)</f>
        <v>0</v>
      </c>
      <c r="P20" s="2120"/>
      <c r="Q20" s="1989"/>
      <c r="R20" s="1990">
        <f>SUM(R21:R25)</f>
        <v>0</v>
      </c>
    </row>
    <row r="21" spans="1:19" x14ac:dyDescent="0.2">
      <c r="A21" s="441" t="str">
        <f>'16.PM Annex'!A18</f>
        <v>16.3.1</v>
      </c>
      <c r="B21" s="441" t="str">
        <f>'16.PM Annex'!B18</f>
        <v>B15.3.1.1/ B15.3.1.2</v>
      </c>
      <c r="C21" s="441" t="str">
        <f>'16.PM Annex'!C18</f>
        <v>HR Support for HMIS &amp; MCTS</v>
      </c>
      <c r="D21" s="1138"/>
      <c r="E21" s="1138"/>
      <c r="F21" s="1138">
        <f>'16.PM Annex'!E18</f>
        <v>0</v>
      </c>
      <c r="G21" s="1138">
        <f>'16.PM Annex'!F18</f>
        <v>0</v>
      </c>
      <c r="H21" s="1138">
        <f>'16.PM Annex'!G18</f>
        <v>0</v>
      </c>
      <c r="I21" s="1138">
        <f>'16.PM Annex'!H18</f>
        <v>0</v>
      </c>
      <c r="J21" s="1138">
        <f>'16.PM Annex'!I18</f>
        <v>0</v>
      </c>
      <c r="K21" s="1138">
        <f>'16.PM Annex'!J18</f>
        <v>0</v>
      </c>
      <c r="L21" s="1138">
        <f>'16.PM Annex'!K18</f>
        <v>0</v>
      </c>
      <c r="M21" s="675">
        <f>'16.PM Annex'!L18</f>
        <v>0</v>
      </c>
      <c r="N21" s="1138">
        <f>'16.PM Annex'!M18</f>
        <v>0</v>
      </c>
      <c r="O21" s="675">
        <f>'16.PM Annex'!N18</f>
        <v>0</v>
      </c>
      <c r="P21" s="3347">
        <f>'16.PM Annex'!O18</f>
        <v>0</v>
      </c>
      <c r="Q21" s="68"/>
      <c r="R21" s="1991"/>
    </row>
    <row r="22" spans="1:19" x14ac:dyDescent="0.2">
      <c r="A22" s="441" t="str">
        <f>'16.PM Annex'!A19</f>
        <v>16.3.2</v>
      </c>
      <c r="B22" s="441" t="str">
        <f>'16.PM Annex'!B19</f>
        <v>B15.3.1.5.1/ B15.3.1.5.2</v>
      </c>
      <c r="C22" s="441" t="str">
        <f>'16.PM Annex'!C19</f>
        <v xml:space="preserve">Mobility Support for HMIS &amp; MCTS </v>
      </c>
      <c r="D22" s="1138"/>
      <c r="E22" s="1138"/>
      <c r="F22" s="1138">
        <f>'16.PM Annex'!E19</f>
        <v>0</v>
      </c>
      <c r="G22" s="1138">
        <f>'16.PM Annex'!F19</f>
        <v>0</v>
      </c>
      <c r="H22" s="1138">
        <f>'16.PM Annex'!G19</f>
        <v>0</v>
      </c>
      <c r="I22" s="1138">
        <f>'16.PM Annex'!H19</f>
        <v>0</v>
      </c>
      <c r="J22" s="1138">
        <f>'16.PM Annex'!I19</f>
        <v>0</v>
      </c>
      <c r="K22" s="1138">
        <f>'16.PM Annex'!J19</f>
        <v>0</v>
      </c>
      <c r="L22" s="1138">
        <f>'16.PM Annex'!K19</f>
        <v>0</v>
      </c>
      <c r="M22" s="675">
        <f>'16.PM Annex'!L19</f>
        <v>0</v>
      </c>
      <c r="N22" s="1138">
        <f>'16.PM Annex'!M19</f>
        <v>0</v>
      </c>
      <c r="O22" s="675">
        <f>'16.PM Annex'!N19</f>
        <v>0</v>
      </c>
      <c r="P22" s="3347">
        <f>'16.PM Annex'!O19</f>
        <v>0</v>
      </c>
      <c r="Q22" s="3393"/>
      <c r="R22" s="3607"/>
    </row>
    <row r="23" spans="1:19" ht="60" x14ac:dyDescent="0.2">
      <c r="A23" s="441" t="str">
        <f>'16.PM Annex'!A20</f>
        <v>16.3.3</v>
      </c>
      <c r="B23" s="441" t="str">
        <f>'16.PM Annex'!B20</f>
        <v>B15.3.2.5/ B15.3.2.6/ B15.3.2.9/ B15.3.2.12/ B15.3.2.13</v>
      </c>
      <c r="C23" s="441" t="str">
        <f>'16.PM Annex'!C20</f>
        <v>Operational cost for HMIS &amp; MCTS (incl. Internet connectivity; AMC of Laptop, printers, computers, UPS; Office expenditure; Mobile reimbursement)</v>
      </c>
      <c r="D23" s="1138"/>
      <c r="E23" s="1138"/>
      <c r="F23" s="1138">
        <f>'16.PM Annex'!E20</f>
        <v>0</v>
      </c>
      <c r="G23" s="1138">
        <f>'16.PM Annex'!F20</f>
        <v>0</v>
      </c>
      <c r="H23" s="1138">
        <f>'16.PM Annex'!G20</f>
        <v>0</v>
      </c>
      <c r="I23" s="1138">
        <f>'16.PM Annex'!H20</f>
        <v>0</v>
      </c>
      <c r="J23" s="1138">
        <f>'16.PM Annex'!I20</f>
        <v>0</v>
      </c>
      <c r="K23" s="1138">
        <f>'16.PM Annex'!J20</f>
        <v>0</v>
      </c>
      <c r="L23" s="1138">
        <f>'16.PM Annex'!K20</f>
        <v>0</v>
      </c>
      <c r="M23" s="675">
        <f>'16.PM Annex'!L20</f>
        <v>0</v>
      </c>
      <c r="N23" s="1138">
        <f>'16.PM Annex'!M20</f>
        <v>0</v>
      </c>
      <c r="O23" s="675">
        <f>'16.PM Annex'!N20</f>
        <v>0</v>
      </c>
      <c r="P23" s="3347">
        <f>'16.PM Annex'!O20</f>
        <v>0</v>
      </c>
      <c r="Q23" s="3333"/>
      <c r="R23" s="3368"/>
    </row>
    <row r="24" spans="1:19" ht="30" x14ac:dyDescent="0.2">
      <c r="A24" s="441" t="str">
        <f>'16.PM Annex'!A21</f>
        <v>16.3.4</v>
      </c>
      <c r="B24" s="441" t="str">
        <f>'16.PM Annex'!B21</f>
        <v>B15.3.2.3/ B15.3.2.4/ B15.3.2.7/ B15.3.2.8</v>
      </c>
      <c r="C24" s="441" t="str">
        <f>'16.PM Annex'!C21</f>
        <v>Procurement of Computer/Printer/UPS/ Laptop/ VSAT</v>
      </c>
      <c r="D24" s="1138"/>
      <c r="E24" s="1138"/>
      <c r="F24" s="1138">
        <f>'16.PM Annex'!E21</f>
        <v>0</v>
      </c>
      <c r="G24" s="1138">
        <f>'16.PM Annex'!F21</f>
        <v>0</v>
      </c>
      <c r="H24" s="1138">
        <f>'16.PM Annex'!G21</f>
        <v>0</v>
      </c>
      <c r="I24" s="1138">
        <f>'16.PM Annex'!H21</f>
        <v>0</v>
      </c>
      <c r="J24" s="1138">
        <f>'16.PM Annex'!I21</f>
        <v>0</v>
      </c>
      <c r="K24" s="1138">
        <f>'16.PM Annex'!J21</f>
        <v>0</v>
      </c>
      <c r="L24" s="1138">
        <f>'16.PM Annex'!K21</f>
        <v>0</v>
      </c>
      <c r="M24" s="675">
        <f>'16.PM Annex'!L21</f>
        <v>0</v>
      </c>
      <c r="N24" s="1138">
        <f>'16.PM Annex'!M21</f>
        <v>0</v>
      </c>
      <c r="O24" s="675">
        <f>'16.PM Annex'!N21</f>
        <v>0</v>
      </c>
      <c r="P24" s="3347">
        <f>'16.PM Annex'!O21</f>
        <v>0</v>
      </c>
      <c r="Q24" s="68"/>
      <c r="R24" s="1991"/>
    </row>
    <row r="25" spans="1:19" x14ac:dyDescent="0.2">
      <c r="A25" s="441" t="str">
        <f>'16.PM Annex'!A22</f>
        <v>16.3.5</v>
      </c>
      <c r="B25" s="441" t="str">
        <f>'16.PM Annex'!B22</f>
        <v>B15.3.2.10/ B15.3.2.11</v>
      </c>
      <c r="C25" s="441" t="str">
        <f>'16.PM Annex'!C22</f>
        <v>Call Centre (Capex/ Opex)</v>
      </c>
      <c r="D25" s="1138"/>
      <c r="E25" s="1138"/>
      <c r="F25" s="1138">
        <f>'16.PM Annex'!E22</f>
        <v>0</v>
      </c>
      <c r="G25" s="1138">
        <f>'16.PM Annex'!F22</f>
        <v>0</v>
      </c>
      <c r="H25" s="1138">
        <f>'16.PM Annex'!G22</f>
        <v>0</v>
      </c>
      <c r="I25" s="1138">
        <f>'16.PM Annex'!H22</f>
        <v>0</v>
      </c>
      <c r="J25" s="1138">
        <f>'16.PM Annex'!I22</f>
        <v>0</v>
      </c>
      <c r="K25" s="1138">
        <f>'16.PM Annex'!J22</f>
        <v>0</v>
      </c>
      <c r="L25" s="1138">
        <f>'16.PM Annex'!K22</f>
        <v>0</v>
      </c>
      <c r="M25" s="675">
        <f>'16.PM Annex'!L22</f>
        <v>0</v>
      </c>
      <c r="N25" s="1138">
        <f>'16.PM Annex'!M22</f>
        <v>0</v>
      </c>
      <c r="O25" s="675">
        <f>'16.PM Annex'!N22</f>
        <v>0</v>
      </c>
      <c r="P25" s="3347">
        <f>'16.PM Annex'!O22</f>
        <v>0</v>
      </c>
      <c r="Q25" s="68"/>
      <c r="R25" s="1991"/>
    </row>
    <row r="26" spans="1:19" ht="30" x14ac:dyDescent="0.2">
      <c r="A26" s="1465">
        <f>'17.IT Initiatives_SD'!A7</f>
        <v>17</v>
      </c>
      <c r="B26" s="1980"/>
      <c r="C26" s="1465" t="str">
        <f>'17.IT Initiatives_SD'!C7</f>
        <v>IT Initiatives for strengthening Service Delivery</v>
      </c>
      <c r="D26" s="1410"/>
      <c r="E26" s="1410"/>
      <c r="F26" s="724"/>
      <c r="G26" s="724"/>
      <c r="H26" s="1983"/>
      <c r="I26" s="724"/>
      <c r="J26" s="528"/>
      <c r="K26" s="724"/>
      <c r="L26" s="724"/>
      <c r="M26" s="528"/>
      <c r="N26" s="1974"/>
      <c r="O26" s="1981">
        <f>SUM(O27:O28)</f>
        <v>0</v>
      </c>
      <c r="P26" s="2120"/>
      <c r="Q26" s="1989"/>
      <c r="R26" s="1990">
        <f>SUM(R27:R28)</f>
        <v>0</v>
      </c>
    </row>
    <row r="27" spans="1:19" ht="30" x14ac:dyDescent="0.2">
      <c r="A27" s="103">
        <f>'17.IT Initiatives_SD'!A12</f>
        <v>17.3</v>
      </c>
      <c r="B27" s="103">
        <f>'17.IT Initiatives_SD'!B12</f>
        <v>0</v>
      </c>
      <c r="C27" s="103" t="str">
        <f>'17.IT Initiatives_SD'!C12</f>
        <v>Implementation of ANMOL (Excel Procurement)</v>
      </c>
      <c r="D27" s="174" t="str">
        <f>'17.IT Initiatives_SD'!D12</f>
        <v>HSS</v>
      </c>
      <c r="E27" s="174" t="str">
        <f>'17.IT Initiatives_SD'!E12</f>
        <v>HMIS/ MCTS</v>
      </c>
      <c r="F27" s="174">
        <f>'17.IT Initiatives_SD'!F12</f>
        <v>0</v>
      </c>
      <c r="G27" s="174">
        <f>'17.IT Initiatives_SD'!G12</f>
        <v>0</v>
      </c>
      <c r="H27" s="174">
        <f>'17.IT Initiatives_SD'!H12</f>
        <v>0</v>
      </c>
      <c r="I27" s="174">
        <f>'17.IT Initiatives_SD'!I12</f>
        <v>0</v>
      </c>
      <c r="J27" s="174">
        <f>'17.IT Initiatives_SD'!J12</f>
        <v>0</v>
      </c>
      <c r="K27" s="174">
        <f>'17.IT Initiatives_SD'!K12</f>
        <v>0</v>
      </c>
      <c r="L27" s="174">
        <f>'17.IT Initiatives_SD'!L12</f>
        <v>0</v>
      </c>
      <c r="M27" s="178">
        <f>'17.IT Initiatives_SD'!M12</f>
        <v>0</v>
      </c>
      <c r="N27" s="174">
        <f>'17.IT Initiatives_SD'!N12</f>
        <v>0</v>
      </c>
      <c r="O27" s="178">
        <f>'17.IT Initiatives_SD'!O12</f>
        <v>0</v>
      </c>
      <c r="P27" s="3344">
        <f>'17.IT Initiatives_SD'!P12</f>
        <v>0</v>
      </c>
      <c r="Q27" s="68"/>
      <c r="R27" s="1991"/>
    </row>
    <row r="28" spans="1:19" ht="30" x14ac:dyDescent="0.2">
      <c r="A28" s="103">
        <f>'17.IT Initiatives_SD'!A17</f>
        <v>17.8</v>
      </c>
      <c r="B28" s="103">
        <f>'17.IT Initiatives_SD'!B17</f>
        <v>0</v>
      </c>
      <c r="C28" s="103" t="str">
        <f>'17.IT Initiatives_SD'!C17</f>
        <v>Other IT Initiatives for Service Delivery (please specify)</v>
      </c>
      <c r="D28" s="174" t="str">
        <f>'17.IT Initiatives_SD'!D17</f>
        <v>HSS</v>
      </c>
      <c r="E28" s="174" t="str">
        <f>'17.IT Initiatives_SD'!E17</f>
        <v>HMIS/ MCTS</v>
      </c>
      <c r="F28" s="174">
        <f>'17.IT Initiatives_SD'!F17</f>
        <v>0</v>
      </c>
      <c r="G28" s="174">
        <f>'17.IT Initiatives_SD'!G17</f>
        <v>0</v>
      </c>
      <c r="H28" s="174">
        <f>'17.IT Initiatives_SD'!H17</f>
        <v>0</v>
      </c>
      <c r="I28" s="174">
        <f>'17.IT Initiatives_SD'!I17</f>
        <v>0</v>
      </c>
      <c r="J28" s="174">
        <f>'17.IT Initiatives_SD'!J17</f>
        <v>0</v>
      </c>
      <c r="K28" s="174">
        <f>'17.IT Initiatives_SD'!K17</f>
        <v>0</v>
      </c>
      <c r="L28" s="174">
        <f>'17.IT Initiatives_SD'!L17</f>
        <v>0</v>
      </c>
      <c r="M28" s="178">
        <f>'17.IT Initiatives_SD'!M17</f>
        <v>0</v>
      </c>
      <c r="N28" s="174">
        <f>'17.IT Initiatives_SD'!N17</f>
        <v>0</v>
      </c>
      <c r="O28" s="178">
        <f>'17.IT Initiatives_SD'!O17</f>
        <v>0</v>
      </c>
      <c r="P28" s="3344">
        <f>'17.IT Initiatives_SD'!P17</f>
        <v>0</v>
      </c>
      <c r="Q28" s="3383"/>
      <c r="R28" s="3394"/>
      <c r="S28" s="3387"/>
    </row>
  </sheetData>
  <sheetProtection formatCells="0" formatColumns="0" formatRows="0" autoFilter="0"/>
  <autoFilter ref="A5:M28"/>
  <mergeCells count="11">
    <mergeCell ref="A9:A12"/>
    <mergeCell ref="A14:A17"/>
    <mergeCell ref="Q4:R4"/>
    <mergeCell ref="E4:E5"/>
    <mergeCell ref="A1:C1"/>
    <mergeCell ref="A4:A5"/>
    <mergeCell ref="B4:B5"/>
    <mergeCell ref="C4:C5"/>
    <mergeCell ref="D4:D5"/>
    <mergeCell ref="F4:J4"/>
    <mergeCell ref="K4:P4"/>
  </mergeCells>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S32"/>
  <sheetViews>
    <sheetView zoomScale="70" zoomScaleNormal="70" workbookViewId="0">
      <pane xSplit="3" ySplit="5" topLeftCell="L15" activePane="bottomRight" state="frozen"/>
      <selection activeCell="C107" sqref="C107"/>
      <selection pane="topRight" activeCell="C107" sqref="C107"/>
      <selection pane="bottomLeft" activeCell="C107" sqref="C107"/>
      <selection pane="bottomRight" activeCell="Q27" sqref="Q27:R28"/>
    </sheetView>
  </sheetViews>
  <sheetFormatPr defaultColWidth="9.140625" defaultRowHeight="15" x14ac:dyDescent="0.2"/>
  <cols>
    <col min="1" max="1" width="10.140625" style="1196" bestFit="1" customWidth="1"/>
    <col min="2" max="2" width="19.85546875" style="1196" hidden="1" customWidth="1"/>
    <col min="3" max="3" width="67.85546875" style="835" bestFit="1" customWidth="1"/>
    <col min="4" max="4" width="12.85546875" style="835" hidden="1" customWidth="1"/>
    <col min="5" max="5" width="20.42578125" style="835" hidden="1" customWidth="1"/>
    <col min="6" max="6" width="25.5703125" style="1196" hidden="1" customWidth="1"/>
    <col min="7" max="7" width="16.85546875" style="1196" hidden="1" customWidth="1"/>
    <col min="8" max="8" width="18.28515625" style="1962" hidden="1" customWidth="1"/>
    <col min="9" max="9" width="15" style="1196" hidden="1" customWidth="1"/>
    <col min="10" max="10" width="12.140625" style="1962" hidden="1" customWidth="1"/>
    <col min="11" max="11" width="22.7109375" style="835" hidden="1" customWidth="1"/>
    <col min="12" max="12" width="17.28515625" style="835" bestFit="1" customWidth="1"/>
    <col min="13" max="13" width="11" style="1962" hidden="1" customWidth="1"/>
    <col min="14" max="14" width="9.140625" style="1196"/>
    <col min="15" max="15" width="16" style="1196" customWidth="1"/>
    <col min="16" max="16" width="43.5703125" style="835" hidden="1" customWidth="1"/>
    <col min="17" max="17" width="47.85546875" style="1196" customWidth="1"/>
    <col min="18" max="18" width="14.85546875" style="1962" customWidth="1"/>
    <col min="19" max="19" width="58.28515625" style="1963" customWidth="1"/>
    <col min="20" max="16384" width="9.140625" style="1963"/>
  </cols>
  <sheetData>
    <row r="1" spans="1:18" s="996" customFormat="1" x14ac:dyDescent="0.2">
      <c r="A1" s="4069" t="s">
        <v>2941</v>
      </c>
      <c r="B1" s="4070"/>
      <c r="C1" s="4071"/>
      <c r="D1" s="1966"/>
      <c r="E1" s="1966"/>
      <c r="F1" s="98" t="s">
        <v>3926</v>
      </c>
      <c r="G1" s="1926"/>
      <c r="H1" s="1926"/>
      <c r="I1" s="1926"/>
      <c r="J1" s="1926"/>
      <c r="K1" s="1922"/>
      <c r="L1" s="1922"/>
      <c r="M1" s="1926"/>
      <c r="N1" s="1942"/>
      <c r="O1" s="1942"/>
      <c r="P1" s="836"/>
      <c r="Q1" s="1942"/>
      <c r="R1" s="1942"/>
    </row>
    <row r="2" spans="1:18" s="996" customFormat="1" x14ac:dyDescent="0.2">
      <c r="A2" s="1929" t="str">
        <f>HYPERLINK("#Index!F3", "Index Pg")</f>
        <v>Index Pg</v>
      </c>
      <c r="B2" s="1936"/>
      <c r="C2" s="1407" t="str">
        <f>HYPERLINK("#'Budget Summary I'!A1:AL1", "Budget Summary I")</f>
        <v>Budget Summary I</v>
      </c>
      <c r="D2" s="1994"/>
      <c r="E2" s="1084" t="s">
        <v>4608</v>
      </c>
      <c r="F2" s="1995">
        <f>R26+R23+R19+R14+R9+R6+R31+R12+R29</f>
        <v>0</v>
      </c>
      <c r="G2" s="1926"/>
      <c r="H2" s="1926"/>
      <c r="I2" s="1926"/>
      <c r="J2" s="1926"/>
      <c r="K2" s="1942"/>
      <c r="L2" s="1092"/>
      <c r="M2" s="1926"/>
      <c r="N2" s="1942"/>
      <c r="O2" s="1942"/>
      <c r="P2" s="836"/>
      <c r="Q2" s="1942"/>
      <c r="R2" s="1942"/>
    </row>
    <row r="3" spans="1:18" s="996" customFormat="1" x14ac:dyDescent="0.2">
      <c r="A3" s="1935"/>
      <c r="B3" s="1936"/>
      <c r="C3" s="1407" t="str">
        <f>HYPERLINK("#'Budget Summary II'!A3:B5", "Budget Summary II")</f>
        <v>Budget Summary II</v>
      </c>
      <c r="D3" s="1935"/>
      <c r="E3" s="1939" t="s">
        <v>4609</v>
      </c>
      <c r="F3" s="1995">
        <f>O26+O23+O19+O14+O9+O6+O31+O12+O29</f>
        <v>0</v>
      </c>
      <c r="G3" s="1926"/>
      <c r="H3" s="1926"/>
      <c r="I3" s="1926"/>
      <c r="J3" s="1926"/>
      <c r="K3" s="1942"/>
      <c r="L3" s="1092"/>
      <c r="M3" s="1926"/>
      <c r="N3" s="1942"/>
      <c r="O3" s="1942"/>
      <c r="P3" s="836"/>
      <c r="Q3" s="1942"/>
      <c r="R3" s="1942"/>
    </row>
    <row r="4" spans="1:18" s="1196" customFormat="1" ht="14.25" customHeight="1" x14ac:dyDescent="0.2">
      <c r="A4" s="3823" t="s">
        <v>53</v>
      </c>
      <c r="B4" s="3823" t="s">
        <v>54</v>
      </c>
      <c r="C4" s="3823" t="s">
        <v>55</v>
      </c>
      <c r="D4" s="3823" t="s">
        <v>56</v>
      </c>
      <c r="E4" s="3823" t="s">
        <v>57</v>
      </c>
      <c r="F4" s="3822" t="s">
        <v>4629</v>
      </c>
      <c r="G4" s="3822"/>
      <c r="H4" s="3822"/>
      <c r="I4" s="3822"/>
      <c r="J4" s="3822"/>
      <c r="K4" s="3822" t="s">
        <v>4640</v>
      </c>
      <c r="L4" s="3822"/>
      <c r="M4" s="3822"/>
      <c r="N4" s="3822"/>
      <c r="O4" s="3822"/>
      <c r="P4" s="3822"/>
      <c r="Q4" s="3826" t="s">
        <v>4670</v>
      </c>
      <c r="R4" s="3826"/>
    </row>
    <row r="5" spans="1:18" s="1196" customFormat="1" ht="29.1" customHeight="1"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897" t="s">
        <v>63</v>
      </c>
      <c r="Q5" s="899" t="s">
        <v>2540</v>
      </c>
      <c r="R5" s="900" t="s">
        <v>4671</v>
      </c>
    </row>
    <row r="6" spans="1:18" s="996" customFormat="1" x14ac:dyDescent="0.2">
      <c r="A6" s="1996">
        <f>'1.SD Facility Based Annex'!A7</f>
        <v>1</v>
      </c>
      <c r="B6" s="1996"/>
      <c r="C6" s="1997" t="str">
        <f>'1.SD Facility Based Annex'!C7</f>
        <v>Service Delivery - Facility Based</v>
      </c>
      <c r="D6" s="1996"/>
      <c r="E6" s="1996"/>
      <c r="F6" s="1996"/>
      <c r="G6" s="1996"/>
      <c r="H6" s="1996"/>
      <c r="I6" s="1996"/>
      <c r="J6" s="1996"/>
      <c r="K6" s="1996"/>
      <c r="L6" s="1996"/>
      <c r="M6" s="969"/>
      <c r="N6" s="1996"/>
      <c r="O6" s="969">
        <f>SUM(O7:O8)</f>
        <v>0</v>
      </c>
      <c r="P6" s="1997"/>
      <c r="Q6" s="1997"/>
      <c r="R6" s="969">
        <f>SUM(R7:R8)</f>
        <v>0</v>
      </c>
    </row>
    <row r="7" spans="1:18" s="996" customFormat="1" ht="69.75" customHeight="1" x14ac:dyDescent="0.2">
      <c r="A7" s="984" t="str">
        <f>'1.SD Facility Based Annex'!A54</f>
        <v>1.1.7.3</v>
      </c>
      <c r="B7" s="984" t="str">
        <f>'1.SD Facility Based Annex'!B54</f>
        <v>B14.3</v>
      </c>
      <c r="C7" s="1998" t="str">
        <f>'1.SD Facility Based Annex'!C54</f>
        <v>Transfusion support to patients with blood disorders  and for prevention programs</v>
      </c>
      <c r="D7" s="984" t="str">
        <f>'1.SD Facility Based Annex'!D54</f>
        <v>HSS</v>
      </c>
      <c r="E7" s="984" t="str">
        <f>'1.SD Facility Based Annex'!E54</f>
        <v>Blood Cell/ HSS</v>
      </c>
      <c r="F7" s="984">
        <f>'1.SD Facility Based Annex'!F54</f>
        <v>0</v>
      </c>
      <c r="G7" s="984">
        <f>'1.SD Facility Based Annex'!G54</f>
        <v>0</v>
      </c>
      <c r="H7" s="984">
        <f>'1.SD Facility Based Annex'!H54</f>
        <v>0</v>
      </c>
      <c r="I7" s="984">
        <f>'1.SD Facility Based Annex'!I54</f>
        <v>0</v>
      </c>
      <c r="J7" s="984">
        <f>'1.SD Facility Based Annex'!J54</f>
        <v>0</v>
      </c>
      <c r="K7" s="984">
        <f>'1.SD Facility Based Annex'!K54</f>
        <v>0</v>
      </c>
      <c r="L7" s="984">
        <f>'1.SD Facility Based Annex'!L54</f>
        <v>0</v>
      </c>
      <c r="M7" s="939">
        <f>'1.SD Facility Based Annex'!M54</f>
        <v>0</v>
      </c>
      <c r="N7" s="984">
        <f>'1.SD Facility Based Annex'!N54</f>
        <v>0</v>
      </c>
      <c r="O7" s="939">
        <f>'1.SD Facility Based Annex'!O54</f>
        <v>0</v>
      </c>
      <c r="P7" s="1998">
        <f>'1.SD Facility Based Annex'!P54</f>
        <v>0</v>
      </c>
      <c r="Q7" s="2003"/>
      <c r="R7" s="1906"/>
    </row>
    <row r="8" spans="1:18" s="996" customFormat="1" ht="69.75" customHeight="1" x14ac:dyDescent="0.2">
      <c r="A8" s="984" t="str">
        <f>'1.SD Facility Based Annex'!A58</f>
        <v>1.1.7.7</v>
      </c>
      <c r="B8" s="984">
        <f>'1.SD Facility Based Annex'!B58</f>
        <v>0</v>
      </c>
      <c r="C8" s="1998" t="str">
        <f>'1.SD Facility Based Annex'!C58</f>
        <v>Patient requiring Blood Transfusion: 1) Patients with blood disorders 2) Patients in Trauma 3) Other requiring blood transfusion</v>
      </c>
      <c r="D8" s="984" t="str">
        <f>'1.SD Facility Based Annex'!D58</f>
        <v>HSS</v>
      </c>
      <c r="E8" s="984" t="str">
        <f>'1.SD Facility Based Annex'!E58</f>
        <v>Blood Cell/ HSS</v>
      </c>
      <c r="F8" s="984">
        <f>'1.SD Facility Based Annex'!F58</f>
        <v>0</v>
      </c>
      <c r="G8" s="984">
        <f>'1.SD Facility Based Annex'!G58</f>
        <v>0</v>
      </c>
      <c r="H8" s="984">
        <f>'1.SD Facility Based Annex'!H58</f>
        <v>0</v>
      </c>
      <c r="I8" s="984">
        <f>'1.SD Facility Based Annex'!I58</f>
        <v>0</v>
      </c>
      <c r="J8" s="984">
        <f>'1.SD Facility Based Annex'!J58</f>
        <v>0</v>
      </c>
      <c r="K8" s="984">
        <f>'1.SD Facility Based Annex'!K58</f>
        <v>0</v>
      </c>
      <c r="L8" s="984">
        <f>'1.SD Facility Based Annex'!L58</f>
        <v>0</v>
      </c>
      <c r="M8" s="939">
        <f>'1.SD Facility Based Annex'!M58</f>
        <v>0</v>
      </c>
      <c r="N8" s="984">
        <f>'1.SD Facility Based Annex'!N58</f>
        <v>0</v>
      </c>
      <c r="O8" s="939">
        <f>'1.SD Facility Based Annex'!O58</f>
        <v>0</v>
      </c>
      <c r="P8" s="1998">
        <f>'1.SD Facility Based Annex'!P58</f>
        <v>0</v>
      </c>
      <c r="Q8" s="2003"/>
      <c r="R8" s="2004"/>
    </row>
    <row r="9" spans="1:18" x14ac:dyDescent="0.2">
      <c r="A9" s="724">
        <f>'2.SD Community Based Annex'!A7</f>
        <v>2</v>
      </c>
      <c r="B9" s="724"/>
      <c r="C9" s="723" t="str">
        <f>'2.SD Community Based Annex'!C7</f>
        <v>Service Delivery - Community Based</v>
      </c>
      <c r="D9" s="724"/>
      <c r="E9" s="724"/>
      <c r="F9" s="724"/>
      <c r="G9" s="724"/>
      <c r="H9" s="724"/>
      <c r="I9" s="724"/>
      <c r="J9" s="724"/>
      <c r="K9" s="724"/>
      <c r="L9" s="724"/>
      <c r="M9" s="528"/>
      <c r="N9" s="724"/>
      <c r="O9" s="528">
        <f>SUM(O10:O11)</f>
        <v>0</v>
      </c>
      <c r="P9" s="3306"/>
      <c r="Q9" s="691"/>
      <c r="R9" s="170">
        <f>SUM(R10:R11)</f>
        <v>0</v>
      </c>
    </row>
    <row r="10" spans="1:18" ht="30" x14ac:dyDescent="0.2">
      <c r="A10" s="174" t="str">
        <f>'2.SD Community Based Annex'!A16</f>
        <v>2.1.3.1</v>
      </c>
      <c r="B10" s="174" t="str">
        <f>'2.SD Community Based Annex'!B16</f>
        <v>B11.2.4</v>
      </c>
      <c r="C10" s="103" t="str">
        <f>'2.SD Community Based Annex'!C16</f>
        <v>Blood collection and Transport Vans (including POL and TA /DA of HR of BCTV and other contingency)</v>
      </c>
      <c r="D10" s="174" t="str">
        <f>'2.SD Community Based Annex'!D16</f>
        <v>HSS</v>
      </c>
      <c r="E10" s="174" t="str">
        <f>'2.SD Community Based Annex'!E16</f>
        <v>Blood Services</v>
      </c>
      <c r="F10" s="174">
        <f>'2.SD Community Based Annex'!F16</f>
        <v>0</v>
      </c>
      <c r="G10" s="174">
        <f>'2.SD Community Based Annex'!G16</f>
        <v>0</v>
      </c>
      <c r="H10" s="174">
        <f>'2.SD Community Based Annex'!H16</f>
        <v>0</v>
      </c>
      <c r="I10" s="174">
        <f>'2.SD Community Based Annex'!I16</f>
        <v>0</v>
      </c>
      <c r="J10" s="174">
        <f>'2.SD Community Based Annex'!J16</f>
        <v>0</v>
      </c>
      <c r="K10" s="174">
        <f>'2.SD Community Based Annex'!K16</f>
        <v>0</v>
      </c>
      <c r="L10" s="174">
        <f>'2.SD Community Based Annex'!L16</f>
        <v>0</v>
      </c>
      <c r="M10" s="178">
        <f>'2.SD Community Based Annex'!M16</f>
        <v>0</v>
      </c>
      <c r="N10" s="174">
        <f>'2.SD Community Based Annex'!N16</f>
        <v>0</v>
      </c>
      <c r="O10" s="178">
        <f>'2.SD Community Based Annex'!O16</f>
        <v>0</v>
      </c>
      <c r="P10" s="3307">
        <f>'2.SD Community Based Annex'!P16</f>
        <v>0</v>
      </c>
      <c r="Q10" s="2003"/>
      <c r="R10" s="160"/>
    </row>
    <row r="11" spans="1:18" ht="45" x14ac:dyDescent="0.2">
      <c r="A11" s="174" t="str">
        <f>'2.SD Community Based Annex'!A56</f>
        <v>2.3.3.1</v>
      </c>
      <c r="B11" s="174" t="str">
        <f>'2.SD Community Based Annex'!B56</f>
        <v>A.2.10.1</v>
      </c>
      <c r="C11" s="103" t="str">
        <f>'2.SD Community Based Annex'!C56</f>
        <v>One time Screening to Identify the carriers of Sickle cell trait, β Thalassemia, Haemoglobin variants at school especially class 8 students and in newborns</v>
      </c>
      <c r="D11" s="174" t="str">
        <f>'2.SD Community Based Annex'!D56</f>
        <v>RCH</v>
      </c>
      <c r="E11" s="174" t="str">
        <f>'2.SD Community Based Annex'!E56</f>
        <v>CH</v>
      </c>
      <c r="F11" s="174">
        <f>'2.SD Community Based Annex'!F56</f>
        <v>0</v>
      </c>
      <c r="G11" s="174">
        <f>'2.SD Community Based Annex'!G56</f>
        <v>0</v>
      </c>
      <c r="H11" s="174">
        <f>'2.SD Community Based Annex'!H56</f>
        <v>0</v>
      </c>
      <c r="I11" s="174">
        <f>'2.SD Community Based Annex'!I56</f>
        <v>0</v>
      </c>
      <c r="J11" s="174">
        <f>'2.SD Community Based Annex'!J56</f>
        <v>0</v>
      </c>
      <c r="K11" s="174">
        <f>'2.SD Community Based Annex'!K56</f>
        <v>0</v>
      </c>
      <c r="L11" s="174">
        <f>'2.SD Community Based Annex'!L56</f>
        <v>0</v>
      </c>
      <c r="M11" s="178">
        <f>'2.SD Community Based Annex'!M56</f>
        <v>0</v>
      </c>
      <c r="N11" s="174">
        <f>'2.SD Community Based Annex'!N56</f>
        <v>0</v>
      </c>
      <c r="O11" s="178">
        <f>'2.SD Community Based Annex'!O56</f>
        <v>0</v>
      </c>
      <c r="P11" s="3307">
        <f>'2.SD Community Based Annex'!P56</f>
        <v>0</v>
      </c>
      <c r="Q11" s="2003"/>
      <c r="R11" s="160"/>
    </row>
    <row r="12" spans="1:18" x14ac:dyDescent="0.2">
      <c r="A12" s="724">
        <f>'5.Infrastructure Annex'!A7</f>
        <v>5</v>
      </c>
      <c r="B12" s="724"/>
      <c r="C12" s="723" t="str">
        <f>'5.Infrastructure Annex'!C7</f>
        <v>Infrastructure</v>
      </c>
      <c r="D12" s="724"/>
      <c r="E12" s="724"/>
      <c r="F12" s="724"/>
      <c r="G12" s="724"/>
      <c r="H12" s="528"/>
      <c r="I12" s="724"/>
      <c r="J12" s="528"/>
      <c r="K12" s="724"/>
      <c r="L12" s="724"/>
      <c r="M12" s="528"/>
      <c r="N12" s="1974"/>
      <c r="O12" s="1999">
        <f>O13</f>
        <v>0</v>
      </c>
      <c r="P12" s="844"/>
      <c r="Q12" s="2005"/>
      <c r="R12" s="2006">
        <f>R13</f>
        <v>0</v>
      </c>
    </row>
    <row r="13" spans="1:18" x14ac:dyDescent="0.2">
      <c r="A13" s="174" t="str">
        <f>'5.Infrastructure Annex'!A84</f>
        <v>5.3.3</v>
      </c>
      <c r="B13" s="174" t="str">
        <f>'5.Infrastructure Annex'!B84</f>
        <v>B4.1.5.4.1</v>
      </c>
      <c r="C13" s="103" t="str">
        <f>'5.Infrastructure Annex'!C84</f>
        <v>Blood bank/ BCSU/ BSU/ Day care centre for hemoglobinopathies</v>
      </c>
      <c r="D13" s="174" t="str">
        <f>'5.Infrastructure Annex'!D84</f>
        <v>HSS</v>
      </c>
      <c r="E13" s="174" t="str">
        <f>'5.Infrastructure Annex'!E84</f>
        <v>Blood cell/ HSS</v>
      </c>
      <c r="F13" s="174">
        <f>'5.Infrastructure Annex'!F84</f>
        <v>0</v>
      </c>
      <c r="G13" s="174">
        <f>'5.Infrastructure Annex'!G84</f>
        <v>0</v>
      </c>
      <c r="H13" s="174">
        <f>'5.Infrastructure Annex'!H84</f>
        <v>0</v>
      </c>
      <c r="I13" s="174">
        <f>'5.Infrastructure Annex'!I84</f>
        <v>0</v>
      </c>
      <c r="J13" s="174">
        <f>'5.Infrastructure Annex'!J84</f>
        <v>0</v>
      </c>
      <c r="K13" s="174">
        <f>'5.Infrastructure Annex'!K84</f>
        <v>0</v>
      </c>
      <c r="L13" s="174">
        <f>'5.Infrastructure Annex'!L84</f>
        <v>0</v>
      </c>
      <c r="M13" s="178">
        <f>'5.Infrastructure Annex'!M84</f>
        <v>0</v>
      </c>
      <c r="N13" s="174">
        <f>'5.Infrastructure Annex'!N84</f>
        <v>0</v>
      </c>
      <c r="O13" s="178">
        <f>'5.Infrastructure Annex'!O84</f>
        <v>0</v>
      </c>
      <c r="P13" s="3307">
        <f>'5.Infrastructure Annex'!P84</f>
        <v>0</v>
      </c>
      <c r="Q13" s="67"/>
      <c r="R13" s="160"/>
    </row>
    <row r="14" spans="1:18" x14ac:dyDescent="0.2">
      <c r="A14" s="724">
        <f>'6.Procurement Annex'!A7</f>
        <v>6</v>
      </c>
      <c r="B14" s="724"/>
      <c r="C14" s="723" t="str">
        <f>'6.Procurement Annex'!C7</f>
        <v>Procurement</v>
      </c>
      <c r="D14" s="724"/>
      <c r="E14" s="724"/>
      <c r="F14" s="724"/>
      <c r="G14" s="724"/>
      <c r="H14" s="528"/>
      <c r="I14" s="724"/>
      <c r="J14" s="528"/>
      <c r="K14" s="724"/>
      <c r="L14" s="724"/>
      <c r="M14" s="528"/>
      <c r="N14" s="1974"/>
      <c r="O14" s="1999">
        <f>SUM(O15:O18)</f>
        <v>0</v>
      </c>
      <c r="P14" s="2120"/>
      <c r="Q14" s="1989"/>
      <c r="R14" s="2006">
        <f>SUM(R15:R18)</f>
        <v>0</v>
      </c>
    </row>
    <row r="15" spans="1:18" x14ac:dyDescent="0.2">
      <c r="A15" s="3761" t="str">
        <f>'6.Procurement Annex'!A20</f>
        <v>6.1.2.3</v>
      </c>
      <c r="B15" s="929">
        <f>'6-A. Proc. Sub-Annex'!C51</f>
        <v>0</v>
      </c>
      <c r="C15" s="779" t="str">
        <f>'6-A. Proc. Sub-Annex'!D51</f>
        <v>Equipment for Blood Banks/BSU/BCSU</v>
      </c>
      <c r="D15" s="929" t="str">
        <f>'6-A. Proc. Sub-Annex'!E51</f>
        <v>HSS</v>
      </c>
      <c r="E15" s="929" t="str">
        <f>'6-A. Proc. Sub-Annex'!F51</f>
        <v>Blood Cell</v>
      </c>
      <c r="F15" s="929">
        <f>'6-A. Proc. Sub-Annex'!G51</f>
        <v>0</v>
      </c>
      <c r="G15" s="929">
        <f>'6-A. Proc. Sub-Annex'!H51</f>
        <v>0</v>
      </c>
      <c r="H15" s="929">
        <f>'6-A. Proc. Sub-Annex'!I51</f>
        <v>0</v>
      </c>
      <c r="I15" s="929">
        <f>'6-A. Proc. Sub-Annex'!J51</f>
        <v>0</v>
      </c>
      <c r="J15" s="929">
        <f>'6-A. Proc. Sub-Annex'!K51</f>
        <v>0</v>
      </c>
      <c r="K15" s="929">
        <f>'6-A. Proc. Sub-Annex'!L51</f>
        <v>0</v>
      </c>
      <c r="L15" s="929">
        <f>'6-A. Proc. Sub-Annex'!M51</f>
        <v>0</v>
      </c>
      <c r="M15" s="1958">
        <f>'6-A. Proc. Sub-Annex'!N51</f>
        <v>0</v>
      </c>
      <c r="N15" s="929">
        <f>'6-A. Proc. Sub-Annex'!O51</f>
        <v>0</v>
      </c>
      <c r="O15" s="1958">
        <f>'6-A. Proc. Sub-Annex'!P51</f>
        <v>0</v>
      </c>
      <c r="P15" s="3307">
        <f>'6-A. Proc. Sub-Annex'!Q51</f>
        <v>0</v>
      </c>
      <c r="Q15" s="67"/>
      <c r="R15" s="160"/>
    </row>
    <row r="16" spans="1:18" x14ac:dyDescent="0.2">
      <c r="A16" s="3761"/>
      <c r="B16" s="929">
        <f>'6-A. Proc. Sub-Annex'!C52</f>
        <v>0</v>
      </c>
      <c r="C16" s="779" t="str">
        <f>'6-A. Proc. Sub-Annex'!D52</f>
        <v>Equipment for Day Care Centre</v>
      </c>
      <c r="D16" s="929" t="str">
        <f>'6-A. Proc. Sub-Annex'!E52</f>
        <v>HSS</v>
      </c>
      <c r="E16" s="929" t="str">
        <f>'6-A. Proc. Sub-Annex'!F52</f>
        <v>Blood Cell</v>
      </c>
      <c r="F16" s="929">
        <f>'6-A. Proc. Sub-Annex'!G52</f>
        <v>0</v>
      </c>
      <c r="G16" s="929">
        <f>'6-A. Proc. Sub-Annex'!H52</f>
        <v>0</v>
      </c>
      <c r="H16" s="929">
        <f>'6-A. Proc. Sub-Annex'!I52</f>
        <v>0</v>
      </c>
      <c r="I16" s="929">
        <f>'6-A. Proc. Sub-Annex'!J52</f>
        <v>0</v>
      </c>
      <c r="J16" s="929">
        <f>'6-A. Proc. Sub-Annex'!K52</f>
        <v>0</v>
      </c>
      <c r="K16" s="929">
        <f>'6-A. Proc. Sub-Annex'!L52</f>
        <v>0</v>
      </c>
      <c r="L16" s="929">
        <f>'6-A. Proc. Sub-Annex'!M52</f>
        <v>0</v>
      </c>
      <c r="M16" s="1958">
        <f>'6-A. Proc. Sub-Annex'!N52</f>
        <v>0</v>
      </c>
      <c r="N16" s="929">
        <f>'6-A. Proc. Sub-Annex'!O52</f>
        <v>0</v>
      </c>
      <c r="O16" s="1958">
        <f>'6-A. Proc. Sub-Annex'!P52</f>
        <v>0</v>
      </c>
      <c r="P16" s="3307">
        <f>'6-A. Proc. Sub-Annex'!Q52</f>
        <v>0</v>
      </c>
      <c r="Q16" s="68"/>
      <c r="R16" s="160"/>
    </row>
    <row r="17" spans="1:19" x14ac:dyDescent="0.2">
      <c r="A17" s="3761" t="str">
        <f>'6.Procurement Annex'!A65</f>
        <v>6.2.2.2</v>
      </c>
      <c r="B17" s="929" t="str">
        <f>'6-A. Proc. Sub-Annex'!C198</f>
        <v>B.16.2.11.1</v>
      </c>
      <c r="C17" s="779" t="str">
        <f>'6-A. Proc. Sub-Annex'!D198</f>
        <v xml:space="preserve">Drugs and Supplies for blood services </v>
      </c>
      <c r="D17" s="929" t="str">
        <f>'6-A. Proc. Sub-Annex'!E198</f>
        <v>HSS</v>
      </c>
      <c r="E17" s="929" t="str">
        <f>'6-A. Proc. Sub-Annex'!F198</f>
        <v>Blood Cell</v>
      </c>
      <c r="F17" s="929">
        <f>'6-A. Proc. Sub-Annex'!G198</f>
        <v>0</v>
      </c>
      <c r="G17" s="929">
        <f>'6-A. Proc. Sub-Annex'!H198</f>
        <v>0</v>
      </c>
      <c r="H17" s="929">
        <f>'6-A. Proc. Sub-Annex'!I198</f>
        <v>0</v>
      </c>
      <c r="I17" s="929">
        <f>'6-A. Proc. Sub-Annex'!J198</f>
        <v>0</v>
      </c>
      <c r="J17" s="929">
        <f>'6-A. Proc. Sub-Annex'!K198</f>
        <v>0</v>
      </c>
      <c r="K17" s="929">
        <f>'6-A. Proc. Sub-Annex'!L198</f>
        <v>0</v>
      </c>
      <c r="L17" s="929">
        <f>'6-A. Proc. Sub-Annex'!M198</f>
        <v>0</v>
      </c>
      <c r="M17" s="1958">
        <f>'6-A. Proc. Sub-Annex'!N198</f>
        <v>0</v>
      </c>
      <c r="N17" s="929">
        <f>'6-A. Proc. Sub-Annex'!O198</f>
        <v>0</v>
      </c>
      <c r="O17" s="1958">
        <f>'6-A. Proc. Sub-Annex'!P198</f>
        <v>0</v>
      </c>
      <c r="P17" s="3307">
        <f>'6-A. Proc. Sub-Annex'!Q198</f>
        <v>0</v>
      </c>
      <c r="Q17" s="67"/>
      <c r="R17" s="160"/>
    </row>
    <row r="18" spans="1:19" ht="276.75" customHeight="1" x14ac:dyDescent="0.2">
      <c r="A18" s="3761"/>
      <c r="B18" s="929" t="str">
        <f>'6-A. Proc. Sub-Annex'!C199</f>
        <v>B.16.2.11.1</v>
      </c>
      <c r="C18" s="779" t="str">
        <f>'6-A. Proc. Sub-Annex'!D199</f>
        <v xml:space="preserve">Drugs and Supplies for blood related disorders- Haemoglobinopathies &amp; Haemophilia </v>
      </c>
      <c r="D18" s="929" t="str">
        <f>'6-A. Proc. Sub-Annex'!E199</f>
        <v>HSS</v>
      </c>
      <c r="E18" s="929" t="str">
        <f>'6-A. Proc. Sub-Annex'!F199</f>
        <v>Blood Cell</v>
      </c>
      <c r="F18" s="929">
        <f>'6-A. Proc. Sub-Annex'!G199</f>
        <v>0</v>
      </c>
      <c r="G18" s="929">
        <f>'6-A. Proc. Sub-Annex'!H199</f>
        <v>0</v>
      </c>
      <c r="H18" s="929">
        <f>'6-A. Proc. Sub-Annex'!I199</f>
        <v>0</v>
      </c>
      <c r="I18" s="929">
        <f>'6-A. Proc. Sub-Annex'!J199</f>
        <v>0</v>
      </c>
      <c r="J18" s="929">
        <f>'6-A. Proc. Sub-Annex'!K199</f>
        <v>0</v>
      </c>
      <c r="K18" s="929">
        <f>'6-A. Proc. Sub-Annex'!L199</f>
        <v>0</v>
      </c>
      <c r="L18" s="929">
        <f>'6-A. Proc. Sub-Annex'!M199</f>
        <v>0</v>
      </c>
      <c r="M18" s="1958">
        <f>'6-A. Proc. Sub-Annex'!N199</f>
        <v>0</v>
      </c>
      <c r="N18" s="929">
        <f>'6-A. Proc. Sub-Annex'!O199</f>
        <v>0</v>
      </c>
      <c r="O18" s="1958">
        <f>'6-A. Proc. Sub-Annex'!P199</f>
        <v>0</v>
      </c>
      <c r="P18" s="3307">
        <f>'6-A. Proc. Sub-Annex'!Q199</f>
        <v>0</v>
      </c>
      <c r="Q18" s="3388"/>
      <c r="R18" s="3374"/>
      <c r="S18" s="3348"/>
    </row>
    <row r="19" spans="1:19" x14ac:dyDescent="0.2">
      <c r="A19" s="724">
        <f>'9.Training Annex'!A7</f>
        <v>9</v>
      </c>
      <c r="B19" s="724"/>
      <c r="C19" s="723" t="str">
        <f>'9.Training Annex'!C7</f>
        <v>Training and Capacity Building</v>
      </c>
      <c r="D19" s="724"/>
      <c r="E19" s="724"/>
      <c r="F19" s="724"/>
      <c r="G19" s="724"/>
      <c r="H19" s="528"/>
      <c r="I19" s="724"/>
      <c r="J19" s="528"/>
      <c r="K19" s="724"/>
      <c r="L19" s="724"/>
      <c r="M19" s="528"/>
      <c r="N19" s="1974"/>
      <c r="O19" s="1999">
        <f>SUM(O20:O22)</f>
        <v>0</v>
      </c>
      <c r="P19" s="2120"/>
      <c r="Q19" s="1989"/>
      <c r="R19" s="2006">
        <f>SUM(R20:R22)</f>
        <v>0</v>
      </c>
    </row>
    <row r="20" spans="1:19" x14ac:dyDescent="0.2">
      <c r="A20" s="4072" t="str">
        <f>'9.Training Annex'!A30</f>
        <v>9.2.2.1</v>
      </c>
      <c r="B20" s="174" t="str">
        <f>'9-A.Training Sub-Annex'!C147</f>
        <v>A.9.3.8</v>
      </c>
      <c r="C20" s="103" t="str">
        <f>'9-A.Training Sub-Annex'!D147</f>
        <v>Blood Bank/Blood Storage Unit (BSU) Training</v>
      </c>
      <c r="D20" s="174" t="str">
        <f>'9-A.Training Sub-Annex'!E147</f>
        <v>HSS</v>
      </c>
      <c r="E20" s="174" t="str">
        <f>'9-A.Training Sub-Annex'!F147</f>
        <v>Blood Services</v>
      </c>
      <c r="F20" s="174">
        <f>'9-A.Training Sub-Annex'!G147</f>
        <v>0</v>
      </c>
      <c r="G20" s="174">
        <f>'9-A.Training Sub-Annex'!H147</f>
        <v>0</v>
      </c>
      <c r="H20" s="174">
        <f>'9-A.Training Sub-Annex'!I147</f>
        <v>0</v>
      </c>
      <c r="I20" s="174">
        <f>'9-A.Training Sub-Annex'!J147</f>
        <v>0</v>
      </c>
      <c r="J20" s="174">
        <f>'9-A.Training Sub-Annex'!K147</f>
        <v>0</v>
      </c>
      <c r="K20" s="174">
        <f>'9-A.Training Sub-Annex'!L147</f>
        <v>0</v>
      </c>
      <c r="L20" s="174">
        <f>'9-A.Training Sub-Annex'!M147</f>
        <v>0</v>
      </c>
      <c r="M20" s="178">
        <f>'9-A.Training Sub-Annex'!N147</f>
        <v>0</v>
      </c>
      <c r="N20" s="174">
        <f>'9-A.Training Sub-Annex'!O147</f>
        <v>0</v>
      </c>
      <c r="O20" s="178">
        <f>'9-A.Training Sub-Annex'!P147</f>
        <v>0</v>
      </c>
      <c r="P20" s="3307">
        <f>'9-A.Training Sub-Annex'!Q147</f>
        <v>0</v>
      </c>
      <c r="Q20" s="68"/>
      <c r="R20" s="160"/>
    </row>
    <row r="21" spans="1:19" x14ac:dyDescent="0.2">
      <c r="A21" s="4072"/>
      <c r="B21" s="174" t="str">
        <f>'9-A.Training Sub-Annex'!C148</f>
        <v>A.9.3.8</v>
      </c>
      <c r="C21" s="103" t="str">
        <f>'9-A.Training Sub-Annex'!D148</f>
        <v xml:space="preserve">Training for Haemoglobinopathies </v>
      </c>
      <c r="D21" s="174" t="str">
        <f>'9-A.Training Sub-Annex'!E148</f>
        <v>HSS</v>
      </c>
      <c r="E21" s="174" t="str">
        <f>'9-A.Training Sub-Annex'!F148</f>
        <v>Blood Services</v>
      </c>
      <c r="F21" s="174">
        <f>'9-A.Training Sub-Annex'!G148</f>
        <v>0</v>
      </c>
      <c r="G21" s="174">
        <f>'9-A.Training Sub-Annex'!H148</f>
        <v>0</v>
      </c>
      <c r="H21" s="174">
        <f>'9-A.Training Sub-Annex'!I148</f>
        <v>0</v>
      </c>
      <c r="I21" s="174">
        <f>'9-A.Training Sub-Annex'!J148</f>
        <v>0</v>
      </c>
      <c r="J21" s="174">
        <f>'9-A.Training Sub-Annex'!K148</f>
        <v>0</v>
      </c>
      <c r="K21" s="174">
        <f>'9-A.Training Sub-Annex'!L148</f>
        <v>0</v>
      </c>
      <c r="L21" s="174">
        <f>'9-A.Training Sub-Annex'!M148</f>
        <v>0</v>
      </c>
      <c r="M21" s="178">
        <f>'9-A.Training Sub-Annex'!N148</f>
        <v>0</v>
      </c>
      <c r="N21" s="174">
        <f>'9-A.Training Sub-Annex'!O148</f>
        <v>0</v>
      </c>
      <c r="O21" s="178">
        <f>'9-A.Training Sub-Annex'!P148</f>
        <v>0</v>
      </c>
      <c r="P21" s="3307">
        <f>'9-A.Training Sub-Annex'!Q148</f>
        <v>0</v>
      </c>
      <c r="Q21" s="68"/>
      <c r="R21" s="160"/>
    </row>
    <row r="22" spans="1:19" x14ac:dyDescent="0.2">
      <c r="A22" s="4072"/>
      <c r="B22" s="174">
        <f>'9-A.Training Sub-Annex'!C149</f>
        <v>0</v>
      </c>
      <c r="C22" s="103" t="str">
        <f>'9-A.Training Sub-Annex'!D149</f>
        <v>Any other trainings (please specify) related to BB and blood disorders</v>
      </c>
      <c r="D22" s="174" t="str">
        <f>'9-A.Training Sub-Annex'!E149</f>
        <v>HSS</v>
      </c>
      <c r="E22" s="174" t="str">
        <f>'9-A.Training Sub-Annex'!F149</f>
        <v>Blood Services</v>
      </c>
      <c r="F22" s="174">
        <f>'9-A.Training Sub-Annex'!G149</f>
        <v>0</v>
      </c>
      <c r="G22" s="174">
        <f>'9-A.Training Sub-Annex'!H149</f>
        <v>0</v>
      </c>
      <c r="H22" s="174">
        <f>'9-A.Training Sub-Annex'!I149</f>
        <v>0</v>
      </c>
      <c r="I22" s="174">
        <f>'9-A.Training Sub-Annex'!J149</f>
        <v>0</v>
      </c>
      <c r="J22" s="174">
        <f>'9-A.Training Sub-Annex'!K149</f>
        <v>0</v>
      </c>
      <c r="K22" s="174">
        <f>'9-A.Training Sub-Annex'!L149</f>
        <v>0</v>
      </c>
      <c r="L22" s="174">
        <f>'9-A.Training Sub-Annex'!M149</f>
        <v>0</v>
      </c>
      <c r="M22" s="178">
        <f>'9-A.Training Sub-Annex'!N149</f>
        <v>0</v>
      </c>
      <c r="N22" s="174">
        <f>'9-A.Training Sub-Annex'!O149</f>
        <v>0</v>
      </c>
      <c r="O22" s="178">
        <f>'9-A.Training Sub-Annex'!P149</f>
        <v>0</v>
      </c>
      <c r="P22" s="3307">
        <f>'9-A.Training Sub-Annex'!Q149</f>
        <v>0</v>
      </c>
      <c r="Q22" s="68"/>
      <c r="R22" s="160"/>
    </row>
    <row r="23" spans="1:19" x14ac:dyDescent="0.2">
      <c r="A23" s="724">
        <f>'11.IEC-BCC Annex'!A7</f>
        <v>11</v>
      </c>
      <c r="B23" s="724"/>
      <c r="C23" s="723" t="e">
        <f>'11-A. IEC Sub-Annex'!#REF!</f>
        <v>#REF!</v>
      </c>
      <c r="D23" s="724"/>
      <c r="E23" s="724"/>
      <c r="F23" s="724"/>
      <c r="G23" s="724"/>
      <c r="H23" s="528"/>
      <c r="I23" s="724"/>
      <c r="J23" s="528"/>
      <c r="K23" s="724"/>
      <c r="L23" s="724"/>
      <c r="M23" s="528"/>
      <c r="N23" s="1974"/>
      <c r="O23" s="528">
        <f>SUM(O24:O25)</f>
        <v>0</v>
      </c>
      <c r="P23" s="2120"/>
      <c r="Q23" s="1989"/>
      <c r="R23" s="170">
        <f>SUM(R24:R25)</f>
        <v>0</v>
      </c>
    </row>
    <row r="24" spans="1:19" x14ac:dyDescent="0.2">
      <c r="A24" s="3761" t="str">
        <f>'11.IEC-BCC Annex'!A18</f>
        <v>11.2.2</v>
      </c>
      <c r="B24" s="929">
        <f>'11-A. IEC Sub-Annex'!C38</f>
        <v>0</v>
      </c>
      <c r="C24" s="779" t="str">
        <f>'11-A. IEC Sub-Annex'!D38</f>
        <v>IEC/BCC activities under Blood Services</v>
      </c>
      <c r="D24" s="929" t="str">
        <f>'11-A. IEC Sub-Annex'!E38</f>
        <v>HSS</v>
      </c>
      <c r="E24" s="929" t="str">
        <f>'11-A. IEC Sub-Annex'!F38</f>
        <v>Blood Cell</v>
      </c>
      <c r="F24" s="929">
        <f>'11-A. IEC Sub-Annex'!G38</f>
        <v>0</v>
      </c>
      <c r="G24" s="929">
        <f>'11-A. IEC Sub-Annex'!H38</f>
        <v>0</v>
      </c>
      <c r="H24" s="929">
        <f>'11-A. IEC Sub-Annex'!I38</f>
        <v>0</v>
      </c>
      <c r="I24" s="929">
        <f>'11-A. IEC Sub-Annex'!J38</f>
        <v>0</v>
      </c>
      <c r="J24" s="929">
        <f>'11-A. IEC Sub-Annex'!K38</f>
        <v>0</v>
      </c>
      <c r="K24" s="929">
        <f>'11-A. IEC Sub-Annex'!L38</f>
        <v>0</v>
      </c>
      <c r="L24" s="929">
        <f>'11-A. IEC Sub-Annex'!M38</f>
        <v>0</v>
      </c>
      <c r="M24" s="1958">
        <f>'11-A. IEC Sub-Annex'!N38</f>
        <v>0</v>
      </c>
      <c r="N24" s="929">
        <f>'11-A. IEC Sub-Annex'!O38</f>
        <v>0</v>
      </c>
      <c r="O24" s="1958">
        <f>'11-A. IEC Sub-Annex'!P38</f>
        <v>0</v>
      </c>
      <c r="P24" s="3307">
        <f>'11-A. IEC Sub-Annex'!Q38</f>
        <v>0</v>
      </c>
      <c r="Q24" s="68"/>
      <c r="R24" s="160"/>
    </row>
    <row r="25" spans="1:19" ht="55.5" customHeight="1" x14ac:dyDescent="0.2">
      <c r="A25" s="3761"/>
      <c r="B25" s="929">
        <f>'11-A. IEC Sub-Annex'!C39</f>
        <v>0</v>
      </c>
      <c r="C25" s="779" t="str">
        <f>'11-A. IEC Sub-Annex'!D39</f>
        <v>IEC/BCC activities under Blood Disorders</v>
      </c>
      <c r="D25" s="929" t="str">
        <f>'11-A. IEC Sub-Annex'!E39</f>
        <v>HSS</v>
      </c>
      <c r="E25" s="929" t="str">
        <f>'11-A. IEC Sub-Annex'!F39</f>
        <v>Blood Cell</v>
      </c>
      <c r="F25" s="929">
        <f>'11-A. IEC Sub-Annex'!G39</f>
        <v>0</v>
      </c>
      <c r="G25" s="929">
        <f>'11-A. IEC Sub-Annex'!H39</f>
        <v>0</v>
      </c>
      <c r="H25" s="929">
        <f>'11-A. IEC Sub-Annex'!I39</f>
        <v>0</v>
      </c>
      <c r="I25" s="929">
        <f>'11-A. IEC Sub-Annex'!J39</f>
        <v>0</v>
      </c>
      <c r="J25" s="929">
        <f>'11-A. IEC Sub-Annex'!K39</f>
        <v>0</v>
      </c>
      <c r="K25" s="929">
        <f>'11-A. IEC Sub-Annex'!L39</f>
        <v>0</v>
      </c>
      <c r="L25" s="929">
        <f>'11-A. IEC Sub-Annex'!M39</f>
        <v>0</v>
      </c>
      <c r="M25" s="1958">
        <f>'11-A. IEC Sub-Annex'!N39</f>
        <v>0</v>
      </c>
      <c r="N25" s="929">
        <f>'11-A. IEC Sub-Annex'!O39</f>
        <v>0</v>
      </c>
      <c r="O25" s="1958">
        <f>'11-A. IEC Sub-Annex'!P39</f>
        <v>0</v>
      </c>
      <c r="P25" s="3307">
        <f>'11-A. IEC Sub-Annex'!Q39</f>
        <v>0</v>
      </c>
      <c r="Q25" s="67"/>
      <c r="R25" s="160"/>
    </row>
    <row r="26" spans="1:19" x14ac:dyDescent="0.2">
      <c r="A26" s="724">
        <f>'12.Printing Annex'!A7</f>
        <v>12</v>
      </c>
      <c r="B26" s="724"/>
      <c r="C26" s="723" t="str">
        <f>'12.Printing Annex'!C7</f>
        <v>Printing</v>
      </c>
      <c r="D26" s="724"/>
      <c r="E26" s="724"/>
      <c r="F26" s="724"/>
      <c r="G26" s="724"/>
      <c r="H26" s="528"/>
      <c r="I26" s="724"/>
      <c r="J26" s="528"/>
      <c r="K26" s="724"/>
      <c r="L26" s="724"/>
      <c r="M26" s="528"/>
      <c r="N26" s="1974"/>
      <c r="O26" s="528">
        <f>SUM(O27:O28)</f>
        <v>0</v>
      </c>
      <c r="P26" s="2120"/>
      <c r="Q26" s="1989"/>
      <c r="R26" s="170">
        <f>SUM(R27:R28)</f>
        <v>0</v>
      </c>
    </row>
    <row r="27" spans="1:19" ht="42" customHeight="1" x14ac:dyDescent="0.2">
      <c r="A27" s="3761" t="str">
        <f>'12.Printing Annex'!A19</f>
        <v>12.2.3</v>
      </c>
      <c r="B27" s="929" t="str">
        <f>'12-A. Print Sub-Annex'!C65</f>
        <v>B.10.7.4.5</v>
      </c>
      <c r="C27" s="779" t="str">
        <f>'12-A. Print Sub-Annex'!D65</f>
        <v>Printing of  cards for screening of  children for hemoglobinopathies</v>
      </c>
      <c r="D27" s="929" t="str">
        <f>'12-A. Print Sub-Annex'!E65</f>
        <v>HSS</v>
      </c>
      <c r="E27" s="929" t="str">
        <f>'12-A. Print Sub-Annex'!F65</f>
        <v>Blood cell</v>
      </c>
      <c r="F27" s="929">
        <f>'12-A. Print Sub-Annex'!G65</f>
        <v>0</v>
      </c>
      <c r="G27" s="929">
        <f>'12-A. Print Sub-Annex'!H65</f>
        <v>0</v>
      </c>
      <c r="H27" s="929">
        <f>'12-A. Print Sub-Annex'!I65</f>
        <v>0</v>
      </c>
      <c r="I27" s="929">
        <f>'12-A. Print Sub-Annex'!J65</f>
        <v>0</v>
      </c>
      <c r="J27" s="929">
        <f>'12-A. Print Sub-Annex'!K65</f>
        <v>0</v>
      </c>
      <c r="K27" s="929">
        <f>'12-A. Print Sub-Annex'!L65</f>
        <v>0</v>
      </c>
      <c r="L27" s="929">
        <f>'12-A. Print Sub-Annex'!M65</f>
        <v>0</v>
      </c>
      <c r="M27" s="1958">
        <f>'12-A. Print Sub-Annex'!N65</f>
        <v>0</v>
      </c>
      <c r="N27" s="929">
        <f>'12-A. Print Sub-Annex'!O65</f>
        <v>0</v>
      </c>
      <c r="O27" s="1958">
        <f>'12-A. Print Sub-Annex'!P65</f>
        <v>0</v>
      </c>
      <c r="P27" s="3307">
        <f>'12-A. Print Sub-Annex'!Q65</f>
        <v>0</v>
      </c>
      <c r="Q27" s="67"/>
      <c r="R27" s="160"/>
    </row>
    <row r="28" spans="1:19" x14ac:dyDescent="0.2">
      <c r="A28" s="3761"/>
      <c r="B28" s="929">
        <f>'12-A. Print Sub-Annex'!C66</f>
        <v>0</v>
      </c>
      <c r="C28" s="779" t="str">
        <f>'12-A. Print Sub-Annex'!D66</f>
        <v>Any other (please specify)</v>
      </c>
      <c r="D28" s="929" t="str">
        <f>'12-A. Print Sub-Annex'!E66</f>
        <v>HSS</v>
      </c>
      <c r="E28" s="929" t="str">
        <f>'12-A. Print Sub-Annex'!F66</f>
        <v>Blood cell</v>
      </c>
      <c r="F28" s="929">
        <f>'12-A. Print Sub-Annex'!G66</f>
        <v>0</v>
      </c>
      <c r="G28" s="929">
        <f>'12-A. Print Sub-Annex'!H66</f>
        <v>0</v>
      </c>
      <c r="H28" s="929">
        <f>'12-A. Print Sub-Annex'!I66</f>
        <v>0</v>
      </c>
      <c r="I28" s="929">
        <f>'12-A. Print Sub-Annex'!J66</f>
        <v>0</v>
      </c>
      <c r="J28" s="929">
        <f>'12-A. Print Sub-Annex'!K66</f>
        <v>0</v>
      </c>
      <c r="K28" s="929">
        <f>'12-A. Print Sub-Annex'!L66</f>
        <v>0</v>
      </c>
      <c r="L28" s="929">
        <f>'12-A. Print Sub-Annex'!M66</f>
        <v>0</v>
      </c>
      <c r="M28" s="1958">
        <f>'12-A. Print Sub-Annex'!N66</f>
        <v>0</v>
      </c>
      <c r="N28" s="929">
        <f>'12-A. Print Sub-Annex'!O66</f>
        <v>0</v>
      </c>
      <c r="O28" s="1958">
        <f>'12-A. Print Sub-Annex'!P66</f>
        <v>0</v>
      </c>
      <c r="P28" s="3307">
        <f>'12-A. Print Sub-Annex'!Q66</f>
        <v>0</v>
      </c>
      <c r="Q28" s="67"/>
      <c r="R28" s="160"/>
    </row>
    <row r="29" spans="1:19" x14ac:dyDescent="0.2">
      <c r="A29" s="724">
        <f>'16.PM Annex'!A7</f>
        <v>16</v>
      </c>
      <c r="B29" s="724"/>
      <c r="C29" s="723" t="str">
        <f>'16.PM Annex'!C7</f>
        <v>Programme Management</v>
      </c>
      <c r="D29" s="724"/>
      <c r="E29" s="724"/>
      <c r="F29" s="724"/>
      <c r="G29" s="724"/>
      <c r="H29" s="528"/>
      <c r="I29" s="724"/>
      <c r="J29" s="528"/>
      <c r="K29" s="724"/>
      <c r="L29" s="724"/>
      <c r="M29" s="528"/>
      <c r="N29" s="1974"/>
      <c r="O29" s="1999">
        <f>O30</f>
        <v>0</v>
      </c>
      <c r="P29" s="2120"/>
      <c r="Q29" s="1989"/>
      <c r="R29" s="2006">
        <f>R30</f>
        <v>0</v>
      </c>
    </row>
    <row r="30" spans="1:19" ht="30" x14ac:dyDescent="0.2">
      <c r="A30" s="929" t="str">
        <f>'16-A. PM sub Annex'!B150</f>
        <v>16.1.5.1.1</v>
      </c>
      <c r="B30" s="929" t="str">
        <f>'16-A. PM sub Annex'!D150</f>
        <v>B14.2</v>
      </c>
      <c r="C30" s="103" t="str">
        <f>'16-A. PM sub Annex'!E150</f>
        <v xml:space="preserve">PM cost for E-rakt kosh- refer to strengthening of blood services guidelines </v>
      </c>
      <c r="D30" s="929" t="str">
        <f>'16-A. PM sub Annex'!F150</f>
        <v>HSS</v>
      </c>
      <c r="E30" s="929" t="str">
        <f>'16-A. PM sub Annex'!G150</f>
        <v>HRH&amp;HPIP/Blood cell</v>
      </c>
      <c r="F30" s="929">
        <f>'16-A. PM sub Annex'!H150</f>
        <v>0</v>
      </c>
      <c r="G30" s="929">
        <f>'16-A. PM sub Annex'!I150</f>
        <v>0</v>
      </c>
      <c r="H30" s="929">
        <f>'16-A. PM sub Annex'!J150</f>
        <v>0</v>
      </c>
      <c r="I30" s="929">
        <f>'16-A. PM sub Annex'!K150</f>
        <v>0</v>
      </c>
      <c r="J30" s="929">
        <f>'16-A. PM sub Annex'!L150</f>
        <v>0</v>
      </c>
      <c r="K30" s="929">
        <f>'16-A. PM sub Annex'!M150</f>
        <v>0</v>
      </c>
      <c r="L30" s="929">
        <f>'16-A. PM sub Annex'!N150</f>
        <v>0</v>
      </c>
      <c r="M30" s="1958">
        <f>'16-A. PM sub Annex'!O150</f>
        <v>0</v>
      </c>
      <c r="N30" s="929">
        <f>'16-A. PM sub Annex'!P150</f>
        <v>0</v>
      </c>
      <c r="O30" s="1958">
        <f>'16-A. PM sub Annex'!Q150</f>
        <v>0</v>
      </c>
      <c r="P30" s="3307">
        <f>'16-A. PM sub Annex'!R150</f>
        <v>0</v>
      </c>
      <c r="Q30" s="68"/>
      <c r="R30" s="160"/>
    </row>
    <row r="31" spans="1:19" x14ac:dyDescent="0.2">
      <c r="A31" s="724">
        <f>'17.IT Initiatives_SD'!A7</f>
        <v>17</v>
      </c>
      <c r="B31" s="724"/>
      <c r="C31" s="723" t="str">
        <f>'17.IT Initiatives_SD'!C7</f>
        <v>IT Initiatives for strengthening Service Delivery</v>
      </c>
      <c r="D31" s="724"/>
      <c r="E31" s="724"/>
      <c r="F31" s="724"/>
      <c r="G31" s="724"/>
      <c r="H31" s="528"/>
      <c r="I31" s="724"/>
      <c r="J31" s="528"/>
      <c r="K31" s="724"/>
      <c r="L31" s="724"/>
      <c r="M31" s="528"/>
      <c r="N31" s="1974"/>
      <c r="O31" s="1999">
        <f>O32</f>
        <v>0</v>
      </c>
      <c r="P31" s="2120"/>
      <c r="Q31" s="1989"/>
      <c r="R31" s="2006">
        <f>R32</f>
        <v>0</v>
      </c>
    </row>
    <row r="32" spans="1:19" ht="30" x14ac:dyDescent="0.2">
      <c r="A32" s="929">
        <f>'17.IT Initiatives_SD'!A13</f>
        <v>17.399999999999999</v>
      </c>
      <c r="B32" s="929" t="str">
        <f>'17.IT Initiatives_SD'!B13</f>
        <v>B14.2</v>
      </c>
      <c r="C32" s="103" t="str">
        <f>'17.IT Initiatives_SD'!C13</f>
        <v xml:space="preserve">E-rakt kosh- refer to strengthening of blood services guidelines &amp; Software for hemoglobinopathies &amp; Haemophilia </v>
      </c>
      <c r="D32" s="174" t="str">
        <f>'17.IT Initiatives_SD'!D13</f>
        <v>HSS</v>
      </c>
      <c r="E32" s="174" t="str">
        <f>'17.IT Initiatives_SD'!E13</f>
        <v>Blood Services</v>
      </c>
      <c r="F32" s="174">
        <f>'17.IT Initiatives_SD'!F13</f>
        <v>0</v>
      </c>
      <c r="G32" s="174">
        <f>'17.IT Initiatives_SD'!G13</f>
        <v>0</v>
      </c>
      <c r="H32" s="174">
        <f>'17.IT Initiatives_SD'!H13</f>
        <v>0</v>
      </c>
      <c r="I32" s="174">
        <f>'17.IT Initiatives_SD'!I13</f>
        <v>0</v>
      </c>
      <c r="J32" s="174">
        <f>'17.IT Initiatives_SD'!J13</f>
        <v>0</v>
      </c>
      <c r="K32" s="174">
        <f>'17.IT Initiatives_SD'!K13</f>
        <v>0</v>
      </c>
      <c r="L32" s="174">
        <f>'17.IT Initiatives_SD'!L13</f>
        <v>0</v>
      </c>
      <c r="M32" s="178">
        <f>'17.IT Initiatives_SD'!M13</f>
        <v>0</v>
      </c>
      <c r="N32" s="174">
        <f>'17.IT Initiatives_SD'!N13</f>
        <v>0</v>
      </c>
      <c r="O32" s="178">
        <f>'17.IT Initiatives_SD'!O13</f>
        <v>0</v>
      </c>
      <c r="P32" s="3307">
        <f>'17.IT Initiatives_SD'!P13</f>
        <v>0</v>
      </c>
      <c r="Q32" s="68"/>
      <c r="R32" s="160"/>
    </row>
  </sheetData>
  <sheetProtection formatCells="0" formatColumns="0" formatRows="0" autoFilter="0"/>
  <autoFilter ref="A5:M32"/>
  <mergeCells count="14">
    <mergeCell ref="A17:A18"/>
    <mergeCell ref="A15:A16"/>
    <mergeCell ref="A20:A22"/>
    <mergeCell ref="A24:A25"/>
    <mergeCell ref="A27:A28"/>
    <mergeCell ref="Q4:R4"/>
    <mergeCell ref="E4:E5"/>
    <mergeCell ref="A1:C1"/>
    <mergeCell ref="A4:A5"/>
    <mergeCell ref="B4:B5"/>
    <mergeCell ref="C4:C5"/>
    <mergeCell ref="D4:D5"/>
    <mergeCell ref="F4:J4"/>
    <mergeCell ref="K4:P4"/>
  </mergeCells>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R36"/>
  <sheetViews>
    <sheetView zoomScale="70" zoomScaleNormal="70" workbookViewId="0">
      <pane xSplit="3" ySplit="5" topLeftCell="L24" activePane="bottomRight" state="frozen"/>
      <selection activeCell="C107" sqref="C107"/>
      <selection pane="topRight" activeCell="C107" sqref="C107"/>
      <selection pane="bottomLeft" activeCell="C107" sqref="C107"/>
      <selection pane="bottomRight" activeCell="Q35" sqref="Q35:R35"/>
    </sheetView>
  </sheetViews>
  <sheetFormatPr defaultColWidth="8.7109375" defaultRowHeight="15" x14ac:dyDescent="0.2"/>
  <cols>
    <col min="1" max="1" width="10.85546875" style="1825" bestFit="1" customWidth="1"/>
    <col min="2" max="2" width="19" style="1825" hidden="1" customWidth="1"/>
    <col min="3" max="3" width="56" style="1825" customWidth="1"/>
    <col min="4" max="4" width="4.5703125" style="1196" hidden="1" customWidth="1"/>
    <col min="5" max="5" width="19.5703125" style="1196" hidden="1" customWidth="1"/>
    <col min="6" max="6" width="33.42578125" style="1196" hidden="1" customWidth="1"/>
    <col min="7" max="7" width="17.28515625" style="1196" hidden="1" customWidth="1"/>
    <col min="8" max="8" width="15.85546875" style="1962" hidden="1" customWidth="1"/>
    <col min="9" max="9" width="15.140625" style="1196" hidden="1" customWidth="1"/>
    <col min="10" max="10" width="12" style="1962" hidden="1" customWidth="1"/>
    <col min="11" max="11" width="17.140625" style="881" hidden="1" customWidth="1"/>
    <col min="12" max="12" width="15.85546875" style="881" customWidth="1"/>
    <col min="13" max="13" width="14" style="1962" hidden="1" customWidth="1"/>
    <col min="14" max="14" width="8.7109375" style="1963"/>
    <col min="15" max="15" width="15.28515625" style="1986" customWidth="1"/>
    <col min="16" max="16" width="52.140625" style="3348" hidden="1" customWidth="1"/>
    <col min="17" max="17" width="31.85546875" style="3348" customWidth="1"/>
    <col min="18" max="18" width="18.85546875" style="1963" customWidth="1"/>
    <col min="19" max="16384" width="8.7109375" style="1963"/>
  </cols>
  <sheetData>
    <row r="1" spans="1:18" ht="30" x14ac:dyDescent="0.2">
      <c r="A1" s="4073" t="s">
        <v>3958</v>
      </c>
      <c r="B1" s="4073"/>
      <c r="C1" s="4073"/>
      <c r="D1" s="1922"/>
      <c r="E1" s="1966"/>
      <c r="F1" s="98" t="s">
        <v>3959</v>
      </c>
      <c r="G1" s="1102"/>
      <c r="H1" s="1102"/>
      <c r="J1" s="1926"/>
      <c r="K1" s="2007"/>
      <c r="L1" s="2007"/>
      <c r="M1" s="1926"/>
    </row>
    <row r="2" spans="1:18" s="1196" customFormat="1" x14ac:dyDescent="0.25">
      <c r="A2" s="1859" t="str">
        <f>HYPERLINK("#Index!F3", "Index Pg")</f>
        <v>Index Pg</v>
      </c>
      <c r="B2" s="1864"/>
      <c r="C2" s="831" t="str">
        <f>HYPERLINK("#'Budget Summary I'!A1:AL1", "Budget Summary I")</f>
        <v>Budget Summary I</v>
      </c>
      <c r="D2" s="1930"/>
      <c r="E2" s="1730" t="s">
        <v>4608</v>
      </c>
      <c r="F2" s="1995">
        <f>R6+R8+R13+R17+R22+R28+R30+R32+R34</f>
        <v>0</v>
      </c>
      <c r="G2" s="1934"/>
      <c r="H2" s="1934"/>
      <c r="J2" s="1926"/>
      <c r="K2" s="2008"/>
      <c r="L2" s="2008"/>
      <c r="M2" s="1926"/>
      <c r="O2" s="1962"/>
      <c r="P2" s="3349"/>
      <c r="Q2" s="3349"/>
    </row>
    <row r="3" spans="1:18" s="1942" customFormat="1" x14ac:dyDescent="0.25">
      <c r="A3" s="1863"/>
      <c r="B3" s="1864"/>
      <c r="C3" s="1937" t="str">
        <f>HYPERLINK("#'Budget Summary II'!A3:B5", "Budget Summary II")</f>
        <v>Budget Summary II</v>
      </c>
      <c r="D3" s="1930"/>
      <c r="E3" s="2009" t="s">
        <v>4609</v>
      </c>
      <c r="F3" s="2010">
        <f>O6+O8+O13+O17+O22+O28+O30+O32+O34</f>
        <v>300</v>
      </c>
      <c r="G3" s="1934"/>
      <c r="H3" s="1934"/>
      <c r="J3" s="1943"/>
      <c r="K3" s="2008"/>
      <c r="L3" s="2008"/>
      <c r="M3" s="1926"/>
      <c r="O3" s="1943"/>
      <c r="P3" s="3350"/>
      <c r="Q3" s="3350"/>
    </row>
    <row r="4" spans="1:18" s="1196" customFormat="1" ht="14.45" customHeigh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s="1196" customFormat="1" ht="60"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897" t="s">
        <v>63</v>
      </c>
      <c r="Q5" s="899" t="s">
        <v>2540</v>
      </c>
      <c r="R5" s="900" t="s">
        <v>4671</v>
      </c>
    </row>
    <row r="6" spans="1:18" x14ac:dyDescent="0.2">
      <c r="A6" s="1997">
        <f>'1.SD Facility Based Annex'!A7</f>
        <v>1</v>
      </c>
      <c r="B6" s="1997">
        <f>'1.SD Facility Based Annex'!B7</f>
        <v>0</v>
      </c>
      <c r="C6" s="1997" t="str">
        <f>'1.SD Facility Based Annex'!C7</f>
        <v>Service Delivery - Facility Based</v>
      </c>
      <c r="D6" s="1997"/>
      <c r="E6" s="1997"/>
      <c r="F6" s="1997"/>
      <c r="G6" s="1997"/>
      <c r="H6" s="1997"/>
      <c r="I6" s="1997"/>
      <c r="J6" s="1997"/>
      <c r="K6" s="1997"/>
      <c r="L6" s="1997"/>
      <c r="M6" s="1108"/>
      <c r="N6" s="1997"/>
      <c r="O6" s="1108">
        <f>O7</f>
        <v>0</v>
      </c>
      <c r="P6" s="1997"/>
      <c r="Q6" s="1997"/>
      <c r="R6" s="1108">
        <f>R7</f>
        <v>0</v>
      </c>
    </row>
    <row r="7" spans="1:18" x14ac:dyDescent="0.2">
      <c r="A7" s="779" t="str">
        <f>'1.SD Facility Based Annex'!A56</f>
        <v>1.1.7.5</v>
      </c>
      <c r="B7" s="779">
        <f>'1.SD Facility Based Annex'!B56</f>
        <v>0</v>
      </c>
      <c r="C7" s="779" t="str">
        <f>'1.SD Facility Based Annex'!C56</f>
        <v>ICT for HWC- Internet connection</v>
      </c>
      <c r="D7" s="779" t="str">
        <f>'1.SD Facility Based Annex'!D56</f>
        <v>HSS</v>
      </c>
      <c r="E7" s="779" t="str">
        <f>'1.SD Facility Based Annex'!E56</f>
        <v>CPHC</v>
      </c>
      <c r="F7" s="779">
        <f>'1.SD Facility Based Annex'!F56</f>
        <v>0</v>
      </c>
      <c r="G7" s="779">
        <f>'1.SD Facility Based Annex'!G56</f>
        <v>0</v>
      </c>
      <c r="H7" s="779">
        <f>'1.SD Facility Based Annex'!H56</f>
        <v>0</v>
      </c>
      <c r="I7" s="779">
        <f>'1.SD Facility Based Annex'!I56</f>
        <v>0</v>
      </c>
      <c r="J7" s="779">
        <f>'1.SD Facility Based Annex'!J56</f>
        <v>0</v>
      </c>
      <c r="K7" s="779">
        <f>'1.SD Facility Based Annex'!K56</f>
        <v>0</v>
      </c>
      <c r="L7" s="779">
        <f>'1.SD Facility Based Annex'!L56</f>
        <v>0</v>
      </c>
      <c r="M7" s="780">
        <f>'1.SD Facility Based Annex'!M56</f>
        <v>0</v>
      </c>
      <c r="N7" s="779">
        <f>'1.SD Facility Based Annex'!N56</f>
        <v>0</v>
      </c>
      <c r="O7" s="780">
        <f>'1.SD Facility Based Annex'!O56</f>
        <v>0</v>
      </c>
      <c r="P7" s="3344">
        <f>'1.SD Facility Based Annex'!P56</f>
        <v>0</v>
      </c>
      <c r="Q7" s="3342"/>
      <c r="R7" s="1827"/>
    </row>
    <row r="8" spans="1:18" x14ac:dyDescent="0.2">
      <c r="A8" s="1997">
        <f>'5.Infrastructure Annex'!A7</f>
        <v>5</v>
      </c>
      <c r="B8" s="1997"/>
      <c r="C8" s="1997" t="str">
        <f>'5.Infrastructure Annex'!C7</f>
        <v>Infrastructure</v>
      </c>
      <c r="D8" s="1996"/>
      <c r="E8" s="1996"/>
      <c r="F8" s="1996"/>
      <c r="G8" s="1996"/>
      <c r="H8" s="969"/>
      <c r="I8" s="1996"/>
      <c r="J8" s="969"/>
      <c r="K8" s="1997"/>
      <c r="L8" s="1997"/>
      <c r="M8" s="969"/>
      <c r="N8" s="2011"/>
      <c r="O8" s="2012">
        <f>SUM(O9:O12)</f>
        <v>0</v>
      </c>
      <c r="P8" s="3340"/>
      <c r="Q8" s="3341"/>
      <c r="R8" s="2017">
        <f>SUM(R9:R12)</f>
        <v>0</v>
      </c>
    </row>
    <row r="9" spans="1:18" x14ac:dyDescent="0.2">
      <c r="A9" s="779" t="str">
        <f>'5.Infrastructure Annex'!A28</f>
        <v>5.1.1.2.7</v>
      </c>
      <c r="B9" s="779" t="str">
        <f>'5.Infrastructure Annex'!B28</f>
        <v>B4.1.4.2</v>
      </c>
      <c r="C9" s="779" t="str">
        <f>'5.Infrastructure Annex'!C28</f>
        <v>Upgradation/ Renovation of HWC-HSCs</v>
      </c>
      <c r="D9" s="779" t="str">
        <f>'5.Infrastructure Annex'!D28</f>
        <v>HSS</v>
      </c>
      <c r="E9" s="779" t="str">
        <f>'5.Infrastructure Annex'!E28</f>
        <v>CPHC</v>
      </c>
      <c r="F9" s="779">
        <f>'5.Infrastructure Annex'!F28</f>
        <v>0</v>
      </c>
      <c r="G9" s="779">
        <f>'5.Infrastructure Annex'!G28</f>
        <v>0</v>
      </c>
      <c r="H9" s="779">
        <f>'5.Infrastructure Annex'!H28</f>
        <v>0</v>
      </c>
      <c r="I9" s="779">
        <f>'5.Infrastructure Annex'!I28</f>
        <v>0</v>
      </c>
      <c r="J9" s="779">
        <f>'5.Infrastructure Annex'!J28</f>
        <v>0</v>
      </c>
      <c r="K9" s="779">
        <f>'5.Infrastructure Annex'!K28</f>
        <v>0</v>
      </c>
      <c r="L9" s="779">
        <f>'5.Infrastructure Annex'!L28</f>
        <v>0</v>
      </c>
      <c r="M9" s="780">
        <f>'5.Infrastructure Annex'!M28</f>
        <v>0</v>
      </c>
      <c r="N9" s="779">
        <f>'5.Infrastructure Annex'!N28</f>
        <v>0</v>
      </c>
      <c r="O9" s="780">
        <f>'5.Infrastructure Annex'!O28</f>
        <v>0</v>
      </c>
      <c r="P9" s="3344">
        <f>'5.Infrastructure Annex'!P28</f>
        <v>0</v>
      </c>
      <c r="Q9" s="3343"/>
      <c r="R9" s="1827"/>
    </row>
    <row r="10" spans="1:18" x14ac:dyDescent="0.2">
      <c r="A10" s="779" t="str">
        <f>'5.Infrastructure Annex'!A29</f>
        <v>5.1.1.2.8</v>
      </c>
      <c r="B10" s="779" t="str">
        <f>'5.Infrastructure Annex'!B29</f>
        <v>B18.3</v>
      </c>
      <c r="C10" s="779" t="str">
        <f>'5.Infrastructure Annex'!C29</f>
        <v>Infrastructure strengthening of SC  to H&amp;WC</v>
      </c>
      <c r="D10" s="779" t="str">
        <f>'5.Infrastructure Annex'!D29</f>
        <v>HSS</v>
      </c>
      <c r="E10" s="779" t="str">
        <f>'5.Infrastructure Annex'!E29</f>
        <v>CPHC</v>
      </c>
      <c r="F10" s="779">
        <f>'5.Infrastructure Annex'!F29</f>
        <v>0</v>
      </c>
      <c r="G10" s="779">
        <f>'5.Infrastructure Annex'!G29</f>
        <v>0</v>
      </c>
      <c r="H10" s="779">
        <f>'5.Infrastructure Annex'!H29</f>
        <v>0</v>
      </c>
      <c r="I10" s="779">
        <f>'5.Infrastructure Annex'!I29</f>
        <v>0</v>
      </c>
      <c r="J10" s="779">
        <f>'5.Infrastructure Annex'!J29</f>
        <v>0</v>
      </c>
      <c r="K10" s="779">
        <f>'5.Infrastructure Annex'!K29</f>
        <v>0</v>
      </c>
      <c r="L10" s="779">
        <f>'5.Infrastructure Annex'!L29</f>
        <v>0</v>
      </c>
      <c r="M10" s="780">
        <f>'5.Infrastructure Annex'!M29</f>
        <v>0</v>
      </c>
      <c r="N10" s="779">
        <f>'5.Infrastructure Annex'!N29</f>
        <v>0</v>
      </c>
      <c r="O10" s="780">
        <f>'5.Infrastructure Annex'!O29</f>
        <v>0</v>
      </c>
      <c r="P10" s="3344">
        <f>'5.Infrastructure Annex'!P29</f>
        <v>0</v>
      </c>
      <c r="Q10" s="3343"/>
      <c r="R10" s="1827"/>
    </row>
    <row r="11" spans="1:18" x14ac:dyDescent="0.2">
      <c r="A11" s="779" t="str">
        <f>'5.Infrastructure Annex'!A30</f>
        <v>5.1.1.2.9</v>
      </c>
      <c r="B11" s="779">
        <f>'5.Infrastructure Annex'!B30</f>
        <v>0</v>
      </c>
      <c r="C11" s="779" t="str">
        <f>'5.Infrastructure Annex'!C30</f>
        <v>Infrastructure strengthening of PHC  to H&amp;WC</v>
      </c>
      <c r="D11" s="779" t="str">
        <f>'5.Infrastructure Annex'!D30</f>
        <v>HSS</v>
      </c>
      <c r="E11" s="779" t="str">
        <f>'5.Infrastructure Annex'!E30</f>
        <v>CPHC</v>
      </c>
      <c r="F11" s="779">
        <f>'5.Infrastructure Annex'!F30</f>
        <v>0</v>
      </c>
      <c r="G11" s="779">
        <f>'5.Infrastructure Annex'!G30</f>
        <v>0</v>
      </c>
      <c r="H11" s="779">
        <f>'5.Infrastructure Annex'!H30</f>
        <v>0</v>
      </c>
      <c r="I11" s="779">
        <f>'5.Infrastructure Annex'!I30</f>
        <v>0</v>
      </c>
      <c r="J11" s="779">
        <f>'5.Infrastructure Annex'!J30</f>
        <v>0</v>
      </c>
      <c r="K11" s="779">
        <f>'5.Infrastructure Annex'!K30</f>
        <v>0</v>
      </c>
      <c r="L11" s="779">
        <f>'5.Infrastructure Annex'!L30</f>
        <v>0</v>
      </c>
      <c r="M11" s="780">
        <f>'5.Infrastructure Annex'!M30</f>
        <v>0</v>
      </c>
      <c r="N11" s="779">
        <f>'5.Infrastructure Annex'!N30</f>
        <v>0</v>
      </c>
      <c r="O11" s="780">
        <f>'5.Infrastructure Annex'!O30</f>
        <v>0</v>
      </c>
      <c r="P11" s="3344">
        <f>'5.Infrastructure Annex'!P30</f>
        <v>0</v>
      </c>
      <c r="Q11" s="3343"/>
      <c r="R11" s="1827"/>
    </row>
    <row r="12" spans="1:18" x14ac:dyDescent="0.2">
      <c r="A12" s="779" t="str">
        <f>'5.Infrastructure Annex'!A41</f>
        <v>5.1.1.3.5</v>
      </c>
      <c r="B12" s="779" t="str">
        <f>'5.Infrastructure Annex'!B41</f>
        <v>B4.1.4.3</v>
      </c>
      <c r="C12" s="779" t="str">
        <f>'5.Infrastructure Annex'!C41</f>
        <v>Spill over of Ongoing Upgradation Works - HWC-HSCs</v>
      </c>
      <c r="D12" s="779" t="str">
        <f>'5.Infrastructure Annex'!D41</f>
        <v>HSS</v>
      </c>
      <c r="E12" s="779" t="str">
        <f>'5.Infrastructure Annex'!E41</f>
        <v>CPHC</v>
      </c>
      <c r="F12" s="779">
        <f>'5.Infrastructure Annex'!F41</f>
        <v>0</v>
      </c>
      <c r="G12" s="779">
        <f>'5.Infrastructure Annex'!G41</f>
        <v>0</v>
      </c>
      <c r="H12" s="779">
        <f>'5.Infrastructure Annex'!H41</f>
        <v>0</v>
      </c>
      <c r="I12" s="779">
        <f>'5.Infrastructure Annex'!I41</f>
        <v>0</v>
      </c>
      <c r="J12" s="779">
        <f>'5.Infrastructure Annex'!J41</f>
        <v>0</v>
      </c>
      <c r="K12" s="779">
        <f>'5.Infrastructure Annex'!K41</f>
        <v>0</v>
      </c>
      <c r="L12" s="779">
        <f>'5.Infrastructure Annex'!L41</f>
        <v>0</v>
      </c>
      <c r="M12" s="780">
        <f>'5.Infrastructure Annex'!M41</f>
        <v>0</v>
      </c>
      <c r="N12" s="779">
        <f>'5.Infrastructure Annex'!N41</f>
        <v>0</v>
      </c>
      <c r="O12" s="780">
        <f>'5.Infrastructure Annex'!O41</f>
        <v>0</v>
      </c>
      <c r="P12" s="3344">
        <f>'5.Infrastructure Annex'!P41</f>
        <v>0</v>
      </c>
      <c r="Q12" s="3343"/>
      <c r="R12" s="1827"/>
    </row>
    <row r="13" spans="1:18" x14ac:dyDescent="0.2">
      <c r="A13" s="1997">
        <f>'6.Procurement Annex'!A7</f>
        <v>6</v>
      </c>
      <c r="B13" s="1997"/>
      <c r="C13" s="1997" t="str">
        <f>'6.Procurement Annex'!C7</f>
        <v>Procurement</v>
      </c>
      <c r="D13" s="1996"/>
      <c r="E13" s="1996"/>
      <c r="F13" s="1996"/>
      <c r="G13" s="1996"/>
      <c r="H13" s="969"/>
      <c r="I13" s="1996"/>
      <c r="J13" s="969"/>
      <c r="K13" s="1997"/>
      <c r="L13" s="1997"/>
      <c r="M13" s="969"/>
      <c r="N13" s="2011"/>
      <c r="O13" s="2012">
        <f>SUM(O14:O16)</f>
        <v>0</v>
      </c>
      <c r="P13" s="3340"/>
      <c r="Q13" s="3341"/>
      <c r="R13" s="2017">
        <f>SUM(R14:R16)</f>
        <v>0</v>
      </c>
    </row>
    <row r="14" spans="1:18" ht="282" customHeight="1" x14ac:dyDescent="0.2">
      <c r="A14" s="779" t="str">
        <f>'6.Procurement Annex'!A23</f>
        <v>6.1.2.6</v>
      </c>
      <c r="B14" s="779">
        <f>'6-A. Proc. Sub-Annex'!C60</f>
        <v>0</v>
      </c>
      <c r="C14" s="779" t="str">
        <f>'6-A. Proc. Sub-Annex'!D60</f>
        <v xml:space="preserve">IT equipment for HWCs (PHC and SHCS) </v>
      </c>
      <c r="D14" s="779" t="str">
        <f>'6-A. Proc. Sub-Annex'!E60</f>
        <v>HSS</v>
      </c>
      <c r="E14" s="779" t="str">
        <f>'6-A. Proc. Sub-Annex'!F60</f>
        <v>CPHC</v>
      </c>
      <c r="F14" s="779">
        <f>'6-A. Proc. Sub-Annex'!G60</f>
        <v>0</v>
      </c>
      <c r="G14" s="779">
        <f>'6-A. Proc. Sub-Annex'!H60</f>
        <v>0</v>
      </c>
      <c r="H14" s="779">
        <f>'6-A. Proc. Sub-Annex'!I60</f>
        <v>0</v>
      </c>
      <c r="I14" s="779">
        <f>'6-A. Proc. Sub-Annex'!J60</f>
        <v>0</v>
      </c>
      <c r="J14" s="779">
        <f>'6-A. Proc. Sub-Annex'!K60</f>
        <v>0</v>
      </c>
      <c r="K14" s="779">
        <f>'6-A. Proc. Sub-Annex'!L60</f>
        <v>0</v>
      </c>
      <c r="L14" s="779">
        <f>'6-A. Proc. Sub-Annex'!M60</f>
        <v>0</v>
      </c>
      <c r="M14" s="780">
        <f>'6-A. Proc. Sub-Annex'!N60</f>
        <v>0</v>
      </c>
      <c r="N14" s="779">
        <f>'6-A. Proc. Sub-Annex'!O60</f>
        <v>0</v>
      </c>
      <c r="O14" s="780">
        <f>'6-A. Proc. Sub-Annex'!P60</f>
        <v>0</v>
      </c>
      <c r="P14" s="3344">
        <f>'6-A. Proc. Sub-Annex'!Q60</f>
        <v>0</v>
      </c>
      <c r="Q14" s="3346"/>
      <c r="R14" s="3395"/>
    </row>
    <row r="15" spans="1:18" x14ac:dyDescent="0.2">
      <c r="A15" s="4065" t="str">
        <f>'6.Procurement Annex'!A69</f>
        <v>6.2.2.6</v>
      </c>
      <c r="B15" s="779">
        <f>'6-A. Proc. Sub-Annex'!C209</f>
        <v>0</v>
      </c>
      <c r="C15" s="779" t="str">
        <f>'6-A. Proc. Sub-Annex'!D209</f>
        <v xml:space="preserve">Lab strengthening for SHC - HWC </v>
      </c>
      <c r="D15" s="779" t="str">
        <f>'6-A. Proc. Sub-Annex'!E209</f>
        <v>HSS</v>
      </c>
      <c r="E15" s="779" t="str">
        <f>'6-A. Proc. Sub-Annex'!F209</f>
        <v>CPHC</v>
      </c>
      <c r="F15" s="779">
        <f>'6-A. Proc. Sub-Annex'!G209</f>
        <v>0</v>
      </c>
      <c r="G15" s="779">
        <f>'6-A. Proc. Sub-Annex'!H209</f>
        <v>0</v>
      </c>
      <c r="H15" s="779">
        <f>'6-A. Proc. Sub-Annex'!I209</f>
        <v>0</v>
      </c>
      <c r="I15" s="779">
        <f>'6-A. Proc. Sub-Annex'!J209</f>
        <v>0</v>
      </c>
      <c r="J15" s="779">
        <f>'6-A. Proc. Sub-Annex'!K209</f>
        <v>0</v>
      </c>
      <c r="K15" s="779">
        <f>'6-A. Proc. Sub-Annex'!L209</f>
        <v>0</v>
      </c>
      <c r="L15" s="779">
        <f>'6-A. Proc. Sub-Annex'!M209</f>
        <v>0</v>
      </c>
      <c r="M15" s="780">
        <f>'6-A. Proc. Sub-Annex'!N209</f>
        <v>0</v>
      </c>
      <c r="N15" s="779">
        <f>'6-A. Proc. Sub-Annex'!O209</f>
        <v>0</v>
      </c>
      <c r="O15" s="780">
        <f>'6-A. Proc. Sub-Annex'!P209</f>
        <v>0</v>
      </c>
      <c r="P15" s="3344">
        <f>'6-A. Proc. Sub-Annex'!Q209</f>
        <v>0</v>
      </c>
      <c r="Q15" s="3343"/>
      <c r="R15" s="1827"/>
    </row>
    <row r="16" spans="1:18" x14ac:dyDescent="0.2">
      <c r="A16" s="4065"/>
      <c r="B16" s="779">
        <f>'6-A. Proc. Sub-Annex'!C210</f>
        <v>0</v>
      </c>
      <c r="C16" s="779" t="str">
        <f>'6-A. Proc. Sub-Annex'!D210</f>
        <v xml:space="preserve">Lab strengthening for PHC - HWC </v>
      </c>
      <c r="D16" s="779" t="str">
        <f>'6-A. Proc. Sub-Annex'!E210</f>
        <v>HSS</v>
      </c>
      <c r="E16" s="779" t="str">
        <f>'6-A. Proc. Sub-Annex'!F210</f>
        <v>CPHC</v>
      </c>
      <c r="F16" s="779">
        <f>'6-A. Proc. Sub-Annex'!G210</f>
        <v>0</v>
      </c>
      <c r="G16" s="779">
        <f>'6-A. Proc. Sub-Annex'!H210</f>
        <v>0</v>
      </c>
      <c r="H16" s="779">
        <f>'6-A. Proc. Sub-Annex'!I210</f>
        <v>0</v>
      </c>
      <c r="I16" s="779">
        <f>'6-A. Proc. Sub-Annex'!J210</f>
        <v>0</v>
      </c>
      <c r="J16" s="779">
        <f>'6-A. Proc. Sub-Annex'!K210</f>
        <v>0</v>
      </c>
      <c r="K16" s="779">
        <f>'6-A. Proc. Sub-Annex'!L210</f>
        <v>0</v>
      </c>
      <c r="L16" s="779">
        <f>'6-A. Proc. Sub-Annex'!M210</f>
        <v>0</v>
      </c>
      <c r="M16" s="780">
        <f>'6-A. Proc. Sub-Annex'!N210</f>
        <v>0</v>
      </c>
      <c r="N16" s="779">
        <f>'6-A. Proc. Sub-Annex'!O210</f>
        <v>0</v>
      </c>
      <c r="O16" s="780">
        <f>'6-A. Proc. Sub-Annex'!P210</f>
        <v>0</v>
      </c>
      <c r="P16" s="3344">
        <f>'6-A. Proc. Sub-Annex'!Q210</f>
        <v>0</v>
      </c>
      <c r="Q16" s="3343"/>
      <c r="R16" s="1827"/>
    </row>
    <row r="17" spans="1:18" x14ac:dyDescent="0.2">
      <c r="A17" s="1997">
        <f>'8.Human Resources (SD) Annex'!A7</f>
        <v>8</v>
      </c>
      <c r="B17" s="1997"/>
      <c r="C17" s="1997" t="str">
        <f>'8.Human Resources (SD) Annex'!C7</f>
        <v>Human Resources</v>
      </c>
      <c r="D17" s="1996"/>
      <c r="E17" s="1996"/>
      <c r="F17" s="1996"/>
      <c r="G17" s="1996"/>
      <c r="H17" s="969"/>
      <c r="I17" s="1996"/>
      <c r="J17" s="969"/>
      <c r="K17" s="1997"/>
      <c r="L17" s="1997"/>
      <c r="M17" s="969"/>
      <c r="N17" s="2011"/>
      <c r="O17" s="2012">
        <f>SUM(O18:O21)</f>
        <v>300</v>
      </c>
      <c r="P17" s="3340"/>
      <c r="Q17" s="3341"/>
      <c r="R17" s="2017">
        <f>SUM(R18:R21)</f>
        <v>0</v>
      </c>
    </row>
    <row r="18" spans="1:18" s="996" customFormat="1" ht="30" x14ac:dyDescent="0.2">
      <c r="A18" s="1998" t="str">
        <f>'8.Human Resources (SD) Annex'!A106</f>
        <v>8.1.12.1</v>
      </c>
      <c r="B18" s="1998"/>
      <c r="C18" s="1998" t="str">
        <f>'8.Human Resources (SD) Annex'!C106</f>
        <v>Mid-level Service Provider</v>
      </c>
      <c r="D18" s="1998" t="str">
        <f>'8.Human Resources (SD) Annex'!D106</f>
        <v>HSS</v>
      </c>
      <c r="E18" s="1998" t="str">
        <f>'8.Human Resources (SD) Annex'!E106</f>
        <v>CPHC</v>
      </c>
      <c r="F18" s="1998">
        <f>'8.Human Resources (SD) Annex'!F106</f>
        <v>0</v>
      </c>
      <c r="G18" s="1998">
        <f>'8.Human Resources (SD) Annex'!G106</f>
        <v>0</v>
      </c>
      <c r="H18" s="1998">
        <f>'8.Human Resources (SD) Annex'!H106</f>
        <v>0</v>
      </c>
      <c r="I18" s="1998">
        <f>'8.Human Resources (SD) Annex'!I106</f>
        <v>0</v>
      </c>
      <c r="J18" s="1998">
        <f>'8.Human Resources (SD) Annex'!J106</f>
        <v>0</v>
      </c>
      <c r="K18" s="1998" t="str">
        <f>'8.Human Resources (SD) Annex'!L106</f>
        <v>Cost per month</v>
      </c>
      <c r="L18" s="1998">
        <f>'8.Human Resources (SD) Annex'!M106</f>
        <v>20000</v>
      </c>
      <c r="M18" s="619">
        <f>'8.Human Resources (SD) Annex'!N106</f>
        <v>0.2</v>
      </c>
      <c r="N18" s="1998">
        <f>'8.Human Resources (SD) Annex'!O106</f>
        <v>1500</v>
      </c>
      <c r="O18" s="619">
        <f>'8.Human Resources (SD) Annex'!P106</f>
        <v>300</v>
      </c>
      <c r="P18" s="1998" t="str">
        <f>'8.Human Resources (SD) Annex'!Q106</f>
        <v>New activity.
Proposed for 1500 MLHP for one month</v>
      </c>
      <c r="Q18" s="3346"/>
      <c r="R18" s="677"/>
    </row>
    <row r="19" spans="1:18" s="996" customFormat="1" x14ac:dyDescent="0.2">
      <c r="A19" s="1998" t="str">
        <f>'8.Human Resources (SD) Annex'!A107</f>
        <v>8.1.12.2</v>
      </c>
      <c r="B19" s="1998"/>
      <c r="C19" s="1998" t="str">
        <f>'8.Human Resources (SD) Annex'!C107</f>
        <v>Performance incentive for Mid-level service providers</v>
      </c>
      <c r="D19" s="1998" t="str">
        <f>'8.Human Resources (SD) Annex'!D107</f>
        <v>HSS</v>
      </c>
      <c r="E19" s="1998" t="str">
        <f>'8.Human Resources (SD) Annex'!E107</f>
        <v>CPHC</v>
      </c>
      <c r="F19" s="1998">
        <f>'8.Human Resources (SD) Annex'!F107</f>
        <v>0</v>
      </c>
      <c r="G19" s="1998">
        <f>'8.Human Resources (SD) Annex'!G107</f>
        <v>0</v>
      </c>
      <c r="H19" s="1998">
        <f>'8.Human Resources (SD) Annex'!H107</f>
        <v>0</v>
      </c>
      <c r="I19" s="1998">
        <f>'8.Human Resources (SD) Annex'!I107</f>
        <v>0</v>
      </c>
      <c r="J19" s="1998">
        <f>'8.Human Resources (SD) Annex'!J107</f>
        <v>0</v>
      </c>
      <c r="K19" s="1998">
        <f>'8.Human Resources (SD) Annex'!L107</f>
        <v>0</v>
      </c>
      <c r="L19" s="1998">
        <f>'8.Human Resources (SD) Annex'!M107</f>
        <v>0</v>
      </c>
      <c r="M19" s="619">
        <f>'8.Human Resources (SD) Annex'!N107</f>
        <v>0</v>
      </c>
      <c r="N19" s="1998">
        <f>'8.Human Resources (SD) Annex'!O107</f>
        <v>0</v>
      </c>
      <c r="O19" s="619">
        <f>'8.Human Resources (SD) Annex'!P107</f>
        <v>0</v>
      </c>
      <c r="P19" s="1998">
        <f>'8.Human Resources (SD) Annex'!Q107</f>
        <v>0</v>
      </c>
      <c r="Q19" s="3346"/>
      <c r="R19" s="677"/>
    </row>
    <row r="20" spans="1:18" ht="30" x14ac:dyDescent="0.2">
      <c r="A20" s="779" t="str">
        <f>'8.Human Resources (SD) Annex'!A173</f>
        <v>8.4.10</v>
      </c>
      <c r="B20" s="779"/>
      <c r="C20" s="103" t="str">
        <f>'8.Human Resources (SD) Annex'!C172</f>
        <v>Team based incentives for Health &amp; Wellness Centres (H&amp;WC - Sub Centre)</v>
      </c>
      <c r="D20" s="103" t="str">
        <f>'8.Human Resources (SD) Annex'!D172</f>
        <v>HSS</v>
      </c>
      <c r="E20" s="103" t="str">
        <f>'8.Human Resources (SD) Annex'!E172</f>
        <v>CPHC</v>
      </c>
      <c r="F20" s="103">
        <f>'8.Human Resources (SD) Annex'!F172</f>
        <v>0</v>
      </c>
      <c r="G20" s="103">
        <f>'8.Human Resources (SD) Annex'!G172</f>
        <v>0</v>
      </c>
      <c r="H20" s="103">
        <f>'8.Human Resources (SD) Annex'!H172</f>
        <v>0</v>
      </c>
      <c r="I20" s="103">
        <f>'8.Human Resources (SD) Annex'!I172</f>
        <v>0</v>
      </c>
      <c r="J20" s="103">
        <f>'8.Human Resources (SD) Annex'!J172</f>
        <v>0</v>
      </c>
      <c r="K20" s="103">
        <f>'8.Human Resources (SD) Annex'!L172</f>
        <v>0</v>
      </c>
      <c r="L20" s="103">
        <f>'8.Human Resources (SD) Annex'!M172</f>
        <v>0</v>
      </c>
      <c r="M20" s="675">
        <f>'8.Human Resources (SD) Annex'!N172</f>
        <v>0</v>
      </c>
      <c r="N20" s="103">
        <f>'8.Human Resources (SD) Annex'!O172</f>
        <v>0</v>
      </c>
      <c r="O20" s="675">
        <f>'8.Human Resources (SD) Annex'!P172</f>
        <v>0</v>
      </c>
      <c r="P20" s="3344">
        <f>'8.Human Resources (SD) Annex'!Q172</f>
        <v>0</v>
      </c>
      <c r="Q20" s="3343"/>
      <c r="R20" s="1445"/>
    </row>
    <row r="21" spans="1:18" ht="30" x14ac:dyDescent="0.2">
      <c r="A21" s="779" t="str">
        <f>'8.Human Resources (SD) Annex'!A174</f>
        <v>8.4.11</v>
      </c>
      <c r="B21" s="779"/>
      <c r="C21" s="103" t="str">
        <f>'8.Human Resources (SD) Annex'!C173</f>
        <v>Team based incentives for Health &amp; Wellness Centres (H&amp;WC - PHC)</v>
      </c>
      <c r="D21" s="103" t="str">
        <f>'8.Human Resources (SD) Annex'!D173</f>
        <v>HSS</v>
      </c>
      <c r="E21" s="103" t="str">
        <f>'8.Human Resources (SD) Annex'!E173</f>
        <v>CPHC</v>
      </c>
      <c r="F21" s="103">
        <f>'8.Human Resources (SD) Annex'!F173</f>
        <v>0</v>
      </c>
      <c r="G21" s="103">
        <f>'8.Human Resources (SD) Annex'!G173</f>
        <v>0</v>
      </c>
      <c r="H21" s="103">
        <f>'8.Human Resources (SD) Annex'!H173</f>
        <v>0</v>
      </c>
      <c r="I21" s="103">
        <f>'8.Human Resources (SD) Annex'!I173</f>
        <v>0</v>
      </c>
      <c r="J21" s="103">
        <f>'8.Human Resources (SD) Annex'!J173</f>
        <v>0</v>
      </c>
      <c r="K21" s="103">
        <f>'8.Human Resources (SD) Annex'!L173</f>
        <v>0</v>
      </c>
      <c r="L21" s="103">
        <f>'8.Human Resources (SD) Annex'!M173</f>
        <v>0</v>
      </c>
      <c r="M21" s="675">
        <f>'8.Human Resources (SD) Annex'!N173</f>
        <v>0</v>
      </c>
      <c r="N21" s="103">
        <f>'8.Human Resources (SD) Annex'!O173</f>
        <v>0</v>
      </c>
      <c r="O21" s="675">
        <f>'8.Human Resources (SD) Annex'!P173</f>
        <v>0</v>
      </c>
      <c r="P21" s="3344">
        <f>'8.Human Resources (SD) Annex'!Q173</f>
        <v>0</v>
      </c>
      <c r="Q21" s="3343"/>
      <c r="R21" s="1445"/>
    </row>
    <row r="22" spans="1:18" x14ac:dyDescent="0.2">
      <c r="A22" s="1997">
        <f>'9.Training Annex'!A7</f>
        <v>9</v>
      </c>
      <c r="B22" s="1997"/>
      <c r="C22" s="1997" t="str">
        <f>'9.Training Annex'!C7</f>
        <v>Training and Capacity Building</v>
      </c>
      <c r="D22" s="1996"/>
      <c r="E22" s="1996"/>
      <c r="F22" s="1996"/>
      <c r="G22" s="1996"/>
      <c r="H22" s="969"/>
      <c r="I22" s="1996"/>
      <c r="J22" s="969"/>
      <c r="K22" s="1997"/>
      <c r="L22" s="1997"/>
      <c r="M22" s="969"/>
      <c r="N22" s="2011"/>
      <c r="O22" s="2012">
        <f>SUM(O23:O27)</f>
        <v>0</v>
      </c>
      <c r="P22" s="3340"/>
      <c r="Q22" s="3341"/>
      <c r="R22" s="2017">
        <f>SUM(R23:R27)</f>
        <v>0</v>
      </c>
    </row>
    <row r="23" spans="1:18" x14ac:dyDescent="0.2">
      <c r="A23" s="4072" t="str">
        <f>'9.Training Annex'!A37</f>
        <v>9.2.2.8</v>
      </c>
      <c r="B23" s="103" t="str">
        <f>'9-A.Training Sub-Annex'!C190</f>
        <v>B18.3</v>
      </c>
      <c r="C23" s="103" t="str">
        <f>'9-A.Training Sub-Annex'!D190</f>
        <v xml:space="preserve">Training on CPCH for CHOs </v>
      </c>
      <c r="D23" s="103" t="str">
        <f>'9-A.Training Sub-Annex'!E190</f>
        <v>HSS</v>
      </c>
      <c r="E23" s="103" t="str">
        <f>'9-A.Training Sub-Annex'!F190</f>
        <v>CPHC</v>
      </c>
      <c r="F23" s="103">
        <f>'9-A.Training Sub-Annex'!G190</f>
        <v>0</v>
      </c>
      <c r="G23" s="103">
        <f>'9-A.Training Sub-Annex'!H190</f>
        <v>0</v>
      </c>
      <c r="H23" s="103">
        <f>'9-A.Training Sub-Annex'!I190</f>
        <v>0</v>
      </c>
      <c r="I23" s="103">
        <f>'9-A.Training Sub-Annex'!J190</f>
        <v>0</v>
      </c>
      <c r="J23" s="103">
        <f>'9-A.Training Sub-Annex'!K190</f>
        <v>0</v>
      </c>
      <c r="K23" s="103">
        <f>'9-A.Training Sub-Annex'!L190</f>
        <v>0</v>
      </c>
      <c r="L23" s="103">
        <f>'9-A.Training Sub-Annex'!M190</f>
        <v>0</v>
      </c>
      <c r="M23" s="675">
        <f>'9-A.Training Sub-Annex'!N190</f>
        <v>0</v>
      </c>
      <c r="N23" s="103">
        <f>'9-A.Training Sub-Annex'!O190</f>
        <v>0</v>
      </c>
      <c r="O23" s="675">
        <f>'9-A.Training Sub-Annex'!P190</f>
        <v>0</v>
      </c>
      <c r="P23" s="3344">
        <f>'9-A.Training Sub-Annex'!Q190</f>
        <v>0</v>
      </c>
      <c r="Q23" s="3343"/>
      <c r="R23" s="1445"/>
    </row>
    <row r="24" spans="1:18" x14ac:dyDescent="0.2">
      <c r="A24" s="4072"/>
      <c r="B24" s="103" t="str">
        <f>'9-A.Training Sub-Annex'!C191</f>
        <v>B18.3</v>
      </c>
      <c r="C24" s="103" t="str">
        <f>'9-A.Training Sub-Annex'!D191</f>
        <v xml:space="preserve">Multiskilling of MPW and ASHAs at HWCs (SHC and PHC) </v>
      </c>
      <c r="D24" s="103" t="str">
        <f>'9-A.Training Sub-Annex'!E191</f>
        <v>HSS</v>
      </c>
      <c r="E24" s="103" t="str">
        <f>'9-A.Training Sub-Annex'!F191</f>
        <v>CPHC</v>
      </c>
      <c r="F24" s="103">
        <f>'9-A.Training Sub-Annex'!G191</f>
        <v>0</v>
      </c>
      <c r="G24" s="103">
        <f>'9-A.Training Sub-Annex'!H191</f>
        <v>0</v>
      </c>
      <c r="H24" s="103">
        <f>'9-A.Training Sub-Annex'!I191</f>
        <v>0</v>
      </c>
      <c r="I24" s="103">
        <f>'9-A.Training Sub-Annex'!J191</f>
        <v>0</v>
      </c>
      <c r="J24" s="103">
        <f>'9-A.Training Sub-Annex'!K191</f>
        <v>0</v>
      </c>
      <c r="K24" s="103">
        <f>'9-A.Training Sub-Annex'!L191</f>
        <v>0</v>
      </c>
      <c r="L24" s="103">
        <f>'9-A.Training Sub-Annex'!M191</f>
        <v>0</v>
      </c>
      <c r="M24" s="675">
        <f>'9-A.Training Sub-Annex'!N191</f>
        <v>0</v>
      </c>
      <c r="N24" s="103">
        <f>'9-A.Training Sub-Annex'!O191</f>
        <v>0</v>
      </c>
      <c r="O24" s="675">
        <f>'9-A.Training Sub-Annex'!P191</f>
        <v>0</v>
      </c>
      <c r="P24" s="3344">
        <f>'9-A.Training Sub-Annex'!Q191</f>
        <v>0</v>
      </c>
      <c r="Q24" s="3343"/>
      <c r="R24" s="1445"/>
    </row>
    <row r="25" spans="1:18" x14ac:dyDescent="0.2">
      <c r="A25" s="4072"/>
      <c r="B25" s="103" t="str">
        <f>'9-A.Training Sub-Annex'!C192</f>
        <v>B3.4</v>
      </c>
      <c r="C25" s="103" t="str">
        <f>'9-A.Training Sub-Annex'!D192</f>
        <v xml:space="preserve">Additional Training of CHOs </v>
      </c>
      <c r="D25" s="103" t="str">
        <f>'9-A.Training Sub-Annex'!E192</f>
        <v>HSS</v>
      </c>
      <c r="E25" s="103" t="str">
        <f>'9-A.Training Sub-Annex'!F192</f>
        <v>CPHC</v>
      </c>
      <c r="F25" s="103">
        <f>'9-A.Training Sub-Annex'!G192</f>
        <v>0</v>
      </c>
      <c r="G25" s="103">
        <f>'9-A.Training Sub-Annex'!H192</f>
        <v>0</v>
      </c>
      <c r="H25" s="103">
        <f>'9-A.Training Sub-Annex'!I192</f>
        <v>0</v>
      </c>
      <c r="I25" s="103">
        <f>'9-A.Training Sub-Annex'!J192</f>
        <v>0</v>
      </c>
      <c r="J25" s="103">
        <f>'9-A.Training Sub-Annex'!K192</f>
        <v>0</v>
      </c>
      <c r="K25" s="103">
        <f>'9-A.Training Sub-Annex'!L192</f>
        <v>0</v>
      </c>
      <c r="L25" s="103">
        <f>'9-A.Training Sub-Annex'!M192</f>
        <v>0</v>
      </c>
      <c r="M25" s="675">
        <f>'9-A.Training Sub-Annex'!N192</f>
        <v>0</v>
      </c>
      <c r="N25" s="103">
        <f>'9-A.Training Sub-Annex'!O192</f>
        <v>0</v>
      </c>
      <c r="O25" s="675">
        <f>'9-A.Training Sub-Annex'!P192</f>
        <v>0</v>
      </c>
      <c r="P25" s="3344">
        <f>'9-A.Training Sub-Annex'!Q192</f>
        <v>0</v>
      </c>
      <c r="Q25" s="3343"/>
      <c r="R25" s="1445"/>
    </row>
    <row r="26" spans="1:18" x14ac:dyDescent="0.2">
      <c r="A26" s="4072"/>
      <c r="B26" s="103">
        <f>'9-A.Training Sub-Annex'!C193</f>
        <v>0</v>
      </c>
      <c r="C26" s="103" t="str">
        <f>'9-A.Training Sub-Annex'!D193</f>
        <v>Training of MO and Staff nurses</v>
      </c>
      <c r="D26" s="103" t="str">
        <f>'9-A.Training Sub-Annex'!E193</f>
        <v>HSS</v>
      </c>
      <c r="E26" s="103" t="str">
        <f>'9-A.Training Sub-Annex'!F193</f>
        <v>CPHC</v>
      </c>
      <c r="F26" s="103">
        <f>'9-A.Training Sub-Annex'!G193</f>
        <v>0</v>
      </c>
      <c r="G26" s="103">
        <f>'9-A.Training Sub-Annex'!H193</f>
        <v>0</v>
      </c>
      <c r="H26" s="103">
        <f>'9-A.Training Sub-Annex'!I193</f>
        <v>0</v>
      </c>
      <c r="I26" s="103">
        <f>'9-A.Training Sub-Annex'!J193</f>
        <v>0</v>
      </c>
      <c r="J26" s="103">
        <f>'9-A.Training Sub-Annex'!K193</f>
        <v>0</v>
      </c>
      <c r="K26" s="103">
        <f>'9-A.Training Sub-Annex'!L193</f>
        <v>0</v>
      </c>
      <c r="L26" s="103">
        <f>'9-A.Training Sub-Annex'!M193</f>
        <v>0</v>
      </c>
      <c r="M26" s="675">
        <f>'9-A.Training Sub-Annex'!N193</f>
        <v>0</v>
      </c>
      <c r="N26" s="103">
        <f>'9-A.Training Sub-Annex'!O193</f>
        <v>0</v>
      </c>
      <c r="O26" s="675">
        <f>'9-A.Training Sub-Annex'!P193</f>
        <v>0</v>
      </c>
      <c r="P26" s="3344">
        <f>'9-A.Training Sub-Annex'!Q193</f>
        <v>0</v>
      </c>
      <c r="Q26" s="3343"/>
      <c r="R26" s="1445"/>
    </row>
    <row r="27" spans="1:18" x14ac:dyDescent="0.2">
      <c r="A27" s="4072"/>
      <c r="B27" s="103">
        <f>'9-A.Training Sub-Annex'!C194</f>
        <v>0</v>
      </c>
      <c r="C27" s="103" t="str">
        <f>'9-A.Training Sub-Annex'!D194</f>
        <v>Any other (please specify)</v>
      </c>
      <c r="D27" s="103" t="str">
        <f>'9-A.Training Sub-Annex'!E194</f>
        <v>HSS</v>
      </c>
      <c r="E27" s="103" t="str">
        <f>'9-A.Training Sub-Annex'!F194</f>
        <v>CPHC</v>
      </c>
      <c r="F27" s="103">
        <f>'9-A.Training Sub-Annex'!G194</f>
        <v>0</v>
      </c>
      <c r="G27" s="103">
        <f>'9-A.Training Sub-Annex'!H194</f>
        <v>0</v>
      </c>
      <c r="H27" s="103">
        <f>'9-A.Training Sub-Annex'!I194</f>
        <v>0</v>
      </c>
      <c r="I27" s="103">
        <f>'9-A.Training Sub-Annex'!J194</f>
        <v>0</v>
      </c>
      <c r="J27" s="103">
        <f>'9-A.Training Sub-Annex'!K194</f>
        <v>0</v>
      </c>
      <c r="K27" s="103">
        <f>'9-A.Training Sub-Annex'!L194</f>
        <v>0</v>
      </c>
      <c r="L27" s="103">
        <f>'9-A.Training Sub-Annex'!M194</f>
        <v>0</v>
      </c>
      <c r="M27" s="675">
        <f>'9-A.Training Sub-Annex'!N194</f>
        <v>0</v>
      </c>
      <c r="N27" s="103">
        <f>'9-A.Training Sub-Annex'!O194</f>
        <v>0</v>
      </c>
      <c r="O27" s="675">
        <f>'9-A.Training Sub-Annex'!P194</f>
        <v>0</v>
      </c>
      <c r="P27" s="3344">
        <f>'9-A.Training Sub-Annex'!Q194</f>
        <v>0</v>
      </c>
      <c r="Q27" s="3343"/>
      <c r="R27" s="1445"/>
    </row>
    <row r="28" spans="1:18" x14ac:dyDescent="0.2">
      <c r="A28" s="1997">
        <f>'11.IEC-BCC Annex'!A7</f>
        <v>11</v>
      </c>
      <c r="B28" s="1997"/>
      <c r="C28" s="1997" t="str">
        <f>'11.IEC-BCC Annex'!C7</f>
        <v>IEC/BCC</v>
      </c>
      <c r="D28" s="1996"/>
      <c r="E28" s="1996"/>
      <c r="F28" s="1996"/>
      <c r="G28" s="1996"/>
      <c r="H28" s="969"/>
      <c r="I28" s="1996"/>
      <c r="J28" s="969"/>
      <c r="K28" s="1997"/>
      <c r="L28" s="1997"/>
      <c r="M28" s="969"/>
      <c r="N28" s="2011"/>
      <c r="O28" s="2012">
        <f>O29</f>
        <v>0</v>
      </c>
      <c r="P28" s="3340"/>
      <c r="Q28" s="3341"/>
      <c r="R28" s="2017">
        <f>R29</f>
        <v>0</v>
      </c>
    </row>
    <row r="29" spans="1:18" ht="30" x14ac:dyDescent="0.2">
      <c r="A29" s="2013" t="str">
        <f>'11.IEC-BCC Annex'!A20</f>
        <v>11.2.4</v>
      </c>
      <c r="B29" s="2013" t="str">
        <f>'11-A. IEC Sub-Annex'!C43</f>
        <v>B18.3</v>
      </c>
      <c r="C29" s="2014" t="str">
        <f>'11-A. IEC Sub-Annex'!D43</f>
        <v>IEC activities for Ayushman Bharat Health &amp; Wellness centre (H&amp;WC)</v>
      </c>
      <c r="D29" s="2014" t="str">
        <f>'11-A. IEC Sub-Annex'!E43</f>
        <v>HSS</v>
      </c>
      <c r="E29" s="2014" t="str">
        <f>'11-A. IEC Sub-Annex'!F43</f>
        <v>CPHC</v>
      </c>
      <c r="F29" s="2015">
        <f>'11-A. IEC Sub-Annex'!G43</f>
        <v>0</v>
      </c>
      <c r="G29" s="2015">
        <f>'11-A. IEC Sub-Annex'!H43</f>
        <v>0</v>
      </c>
      <c r="H29" s="2015">
        <f>'11-A. IEC Sub-Annex'!I43</f>
        <v>0</v>
      </c>
      <c r="I29" s="2015">
        <f>'11-A. IEC Sub-Annex'!J43</f>
        <v>0</v>
      </c>
      <c r="J29" s="2015">
        <f>'11-A. IEC Sub-Annex'!K43</f>
        <v>0</v>
      </c>
      <c r="K29" s="2015">
        <f>'11-A. IEC Sub-Annex'!L43</f>
        <v>0</v>
      </c>
      <c r="L29" s="2015">
        <f>'11-A. IEC Sub-Annex'!M43</f>
        <v>0</v>
      </c>
      <c r="M29" s="675">
        <f>'11-A. IEC Sub-Annex'!N43</f>
        <v>0</v>
      </c>
      <c r="N29" s="2015">
        <f>'11-A. IEC Sub-Annex'!O43</f>
        <v>0</v>
      </c>
      <c r="O29" s="675">
        <f>'11-A. IEC Sub-Annex'!P43</f>
        <v>0</v>
      </c>
      <c r="P29" s="3355">
        <f>'11-A. IEC Sub-Annex'!Q43</f>
        <v>0</v>
      </c>
      <c r="Q29" s="3343"/>
      <c r="R29" s="1445"/>
    </row>
    <row r="30" spans="1:18" x14ac:dyDescent="0.2">
      <c r="A30" s="1898">
        <f>'12.Printing Annex'!A7</f>
        <v>12</v>
      </c>
      <c r="B30" s="1898"/>
      <c r="C30" s="1898" t="str">
        <f>'12.Printing Annex'!C7</f>
        <v>Printing</v>
      </c>
      <c r="D30" s="1900"/>
      <c r="E30" s="1900"/>
      <c r="F30" s="1900"/>
      <c r="G30" s="1900"/>
      <c r="H30" s="969"/>
      <c r="I30" s="1900"/>
      <c r="J30" s="969"/>
      <c r="K30" s="1898"/>
      <c r="L30" s="1898"/>
      <c r="M30" s="969"/>
      <c r="N30" s="2011"/>
      <c r="O30" s="2012">
        <f>SUM(O31:O31)</f>
        <v>0</v>
      </c>
      <c r="P30" s="3340"/>
      <c r="Q30" s="3341"/>
      <c r="R30" s="2017">
        <f>SUM(R31:R31)</f>
        <v>0</v>
      </c>
    </row>
    <row r="31" spans="1:18" x14ac:dyDescent="0.2">
      <c r="A31" s="2013" t="str">
        <f>'12.Printing Annex'!A21</f>
        <v>12.2.5</v>
      </c>
      <c r="B31" s="2013">
        <f>'12-A. Print Sub-Annex'!C72</f>
        <v>0</v>
      </c>
      <c r="C31" s="2013" t="str">
        <f>'12-A. Print Sub-Annex'!D72</f>
        <v>Printing activities for Ayushman Bharat H&amp;WC</v>
      </c>
      <c r="D31" s="2013" t="str">
        <f>'12-A. Print Sub-Annex'!E72</f>
        <v>HSS</v>
      </c>
      <c r="E31" s="2013" t="str">
        <f>'12-A. Print Sub-Annex'!F72</f>
        <v>CPHC</v>
      </c>
      <c r="F31" s="2016">
        <f>'12-A. Print Sub-Annex'!G72</f>
        <v>0</v>
      </c>
      <c r="G31" s="2016">
        <f>'12-A. Print Sub-Annex'!H72</f>
        <v>0</v>
      </c>
      <c r="H31" s="2016">
        <f>'12-A. Print Sub-Annex'!I72</f>
        <v>0</v>
      </c>
      <c r="I31" s="2016">
        <f>'12-A. Print Sub-Annex'!J72</f>
        <v>0</v>
      </c>
      <c r="J31" s="2016">
        <f>'12-A. Print Sub-Annex'!K72</f>
        <v>0</v>
      </c>
      <c r="K31" s="2016">
        <f>'12-A. Print Sub-Annex'!L72</f>
        <v>0</v>
      </c>
      <c r="L31" s="2016">
        <f>'12-A. Print Sub-Annex'!M72</f>
        <v>0</v>
      </c>
      <c r="M31" s="780">
        <f>'12-A. Print Sub-Annex'!N72</f>
        <v>0</v>
      </c>
      <c r="N31" s="2016">
        <f>'12-A. Print Sub-Annex'!O72</f>
        <v>0</v>
      </c>
      <c r="O31" s="780">
        <f>'12-A. Print Sub-Annex'!P72</f>
        <v>0</v>
      </c>
      <c r="P31" s="3355">
        <f>'12-A. Print Sub-Annex'!Q72</f>
        <v>0</v>
      </c>
      <c r="Q31" s="3343"/>
      <c r="R31" s="1827"/>
    </row>
    <row r="32" spans="1:18" x14ac:dyDescent="0.2">
      <c r="A32" s="1997">
        <f>'15.PPP Annex'!A7</f>
        <v>15</v>
      </c>
      <c r="B32" s="1997"/>
      <c r="C32" s="1997" t="str">
        <f>'15.PPP Annex'!C7</f>
        <v>PPP</v>
      </c>
      <c r="D32" s="1996"/>
      <c r="E32" s="1996"/>
      <c r="F32" s="1996"/>
      <c r="G32" s="1996"/>
      <c r="H32" s="969"/>
      <c r="I32" s="1996"/>
      <c r="J32" s="969"/>
      <c r="K32" s="1997"/>
      <c r="L32" s="1997"/>
      <c r="M32" s="969"/>
      <c r="N32" s="2011"/>
      <c r="O32" s="2012">
        <f>O33</f>
        <v>0</v>
      </c>
      <c r="P32" s="3340"/>
      <c r="Q32" s="3341"/>
      <c r="R32" s="2017">
        <f>R33</f>
        <v>0</v>
      </c>
    </row>
    <row r="33" spans="1:18" x14ac:dyDescent="0.2">
      <c r="A33" s="779" t="str">
        <f>'15.PPP Annex'!A17</f>
        <v>15.2.5</v>
      </c>
      <c r="B33" s="779" t="str">
        <f>'15.PPP Annex'!B17</f>
        <v>15.9.6/ B18.3</v>
      </c>
      <c r="C33" s="779" t="str">
        <f>'15.PPP Annex'!C17</f>
        <v>Strengthening of diagnostic services of Ayushman Bharat H&amp;WC through PPP</v>
      </c>
      <c r="D33" s="779" t="str">
        <f>'15.PPP Annex'!D17</f>
        <v>HSS</v>
      </c>
      <c r="E33" s="779" t="str">
        <f>'15.PPP Annex'!E17</f>
        <v>CPHC</v>
      </c>
      <c r="F33" s="779">
        <f>'15.PPP Annex'!F17</f>
        <v>0</v>
      </c>
      <c r="G33" s="779">
        <f>'15.PPP Annex'!G17</f>
        <v>0</v>
      </c>
      <c r="H33" s="779">
        <f>'15.PPP Annex'!H17</f>
        <v>0</v>
      </c>
      <c r="I33" s="779">
        <f>'15.PPP Annex'!I17</f>
        <v>0</v>
      </c>
      <c r="J33" s="779">
        <f>'15.PPP Annex'!J17</f>
        <v>0</v>
      </c>
      <c r="K33" s="779">
        <f>'15.PPP Annex'!K17</f>
        <v>0</v>
      </c>
      <c r="L33" s="779">
        <f>'15.PPP Annex'!L17</f>
        <v>0</v>
      </c>
      <c r="M33" s="780">
        <f>'15.PPP Annex'!M17</f>
        <v>0</v>
      </c>
      <c r="N33" s="779">
        <f>'15.PPP Annex'!N17</f>
        <v>0</v>
      </c>
      <c r="O33" s="780">
        <f>'15.PPP Annex'!O17</f>
        <v>0</v>
      </c>
      <c r="P33" s="3344">
        <f>'15.PPP Annex'!P17</f>
        <v>0</v>
      </c>
      <c r="Q33" s="3343"/>
      <c r="R33" s="1827"/>
    </row>
    <row r="34" spans="1:18" x14ac:dyDescent="0.2">
      <c r="A34" s="1997">
        <f>'17.IT Initiatives_SD'!A7</f>
        <v>17</v>
      </c>
      <c r="B34" s="1997"/>
      <c r="C34" s="1997" t="str">
        <f>'17.IT Initiatives_SD'!C7</f>
        <v>IT Initiatives for strengthening Service Delivery</v>
      </c>
      <c r="D34" s="1996"/>
      <c r="E34" s="1996"/>
      <c r="F34" s="1996"/>
      <c r="G34" s="1996"/>
      <c r="H34" s="969"/>
      <c r="I34" s="1996"/>
      <c r="J34" s="969"/>
      <c r="K34" s="1997"/>
      <c r="L34" s="1997"/>
      <c r="M34" s="969"/>
      <c r="N34" s="2011"/>
      <c r="O34" s="2012">
        <f>SUM(O35:O36)</f>
        <v>0</v>
      </c>
      <c r="P34" s="3340"/>
      <c r="Q34" s="3341"/>
      <c r="R34" s="2017">
        <f>SUM(R35:R36)</f>
        <v>0</v>
      </c>
    </row>
    <row r="35" spans="1:18" ht="30" x14ac:dyDescent="0.2">
      <c r="A35" s="779" t="str">
        <f>'17.IT Initiatives_SD'!A10</f>
        <v>17.2.1</v>
      </c>
      <c r="B35" s="779"/>
      <c r="C35" s="103" t="str">
        <f>'17.IT Initiatives_SD'!C10</f>
        <v>Telemedicine/ teleconsultation facility under Ayushman Bharat H&amp;WC</v>
      </c>
      <c r="D35" s="174" t="str">
        <f>'17.IT Initiatives_SD'!D10</f>
        <v>HSS</v>
      </c>
      <c r="E35" s="103" t="str">
        <f>'17.IT Initiatives_SD'!E10</f>
        <v>CPHC</v>
      </c>
      <c r="F35" s="103">
        <f>'17.IT Initiatives_SD'!F10</f>
        <v>0</v>
      </c>
      <c r="G35" s="103">
        <f>'17.IT Initiatives_SD'!G10</f>
        <v>0</v>
      </c>
      <c r="H35" s="103">
        <f>'17.IT Initiatives_SD'!H10</f>
        <v>0</v>
      </c>
      <c r="I35" s="103">
        <f>'17.IT Initiatives_SD'!I10</f>
        <v>0</v>
      </c>
      <c r="J35" s="103">
        <f>'17.IT Initiatives_SD'!J10</f>
        <v>0</v>
      </c>
      <c r="K35" s="103">
        <f>'17.IT Initiatives_SD'!K10</f>
        <v>0</v>
      </c>
      <c r="L35" s="103">
        <f>'17.IT Initiatives_SD'!L10</f>
        <v>0</v>
      </c>
      <c r="M35" s="675">
        <f>'17.IT Initiatives_SD'!M10</f>
        <v>0</v>
      </c>
      <c r="N35" s="103">
        <f>'17.IT Initiatives_SD'!N10</f>
        <v>0</v>
      </c>
      <c r="O35" s="675">
        <f>'17.IT Initiatives_SD'!O10</f>
        <v>0</v>
      </c>
      <c r="P35" s="3344">
        <f>'17.IT Initiatives_SD'!P10</f>
        <v>0</v>
      </c>
      <c r="Q35" s="3343"/>
      <c r="R35" s="1445"/>
    </row>
    <row r="36" spans="1:18" x14ac:dyDescent="0.2">
      <c r="A36" s="779" t="str">
        <f>'17.IT Initiatives_SD'!A11</f>
        <v>17.2.2</v>
      </c>
      <c r="B36" s="779"/>
      <c r="C36" s="103" t="str">
        <f>'17.IT Initiatives_SD'!C11</f>
        <v>Other IT Initiatives (please specify)</v>
      </c>
      <c r="D36" s="174" t="str">
        <f>'17.IT Initiatives_SD'!D11</f>
        <v>HSS</v>
      </c>
      <c r="E36" s="103" t="str">
        <f>'17.IT Initiatives_SD'!E11</f>
        <v>CPHC</v>
      </c>
      <c r="F36" s="103">
        <f>'17.IT Initiatives_SD'!F11</f>
        <v>0</v>
      </c>
      <c r="G36" s="103">
        <f>'17.IT Initiatives_SD'!G11</f>
        <v>0</v>
      </c>
      <c r="H36" s="103">
        <f>'17.IT Initiatives_SD'!H11</f>
        <v>0</v>
      </c>
      <c r="I36" s="103">
        <f>'17.IT Initiatives_SD'!I11</f>
        <v>0</v>
      </c>
      <c r="J36" s="103">
        <f>'17.IT Initiatives_SD'!J11</f>
        <v>0</v>
      </c>
      <c r="K36" s="103">
        <f>'17.IT Initiatives_SD'!K11</f>
        <v>0</v>
      </c>
      <c r="L36" s="103">
        <f>'17.IT Initiatives_SD'!L11</f>
        <v>0</v>
      </c>
      <c r="M36" s="675">
        <f>'17.IT Initiatives_SD'!M11</f>
        <v>0</v>
      </c>
      <c r="N36" s="103">
        <f>'17.IT Initiatives_SD'!N11</f>
        <v>0</v>
      </c>
      <c r="O36" s="675">
        <f>'17.IT Initiatives_SD'!O11</f>
        <v>0</v>
      </c>
      <c r="P36" s="3344">
        <f>'17.IT Initiatives_SD'!P11</f>
        <v>0</v>
      </c>
      <c r="Q36" s="3343"/>
      <c r="R36" s="1445"/>
    </row>
  </sheetData>
  <sheetProtection formatCells="0" formatColumns="0" formatRows="0" autoFilter="0"/>
  <autoFilter ref="A5:R36"/>
  <mergeCells count="11">
    <mergeCell ref="A15:A16"/>
    <mergeCell ref="A23:A27"/>
    <mergeCell ref="Q4:R4"/>
    <mergeCell ref="E4:E5"/>
    <mergeCell ref="A1:C1"/>
    <mergeCell ref="A4:A5"/>
    <mergeCell ref="B4:B5"/>
    <mergeCell ref="C4:C5"/>
    <mergeCell ref="D4:D5"/>
    <mergeCell ref="F4:J4"/>
    <mergeCell ref="K4:P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R14"/>
  <sheetViews>
    <sheetView zoomScale="70" zoomScaleNormal="70" workbookViewId="0">
      <pane xSplit="3" ySplit="5" topLeftCell="D6" activePane="bottomRight" state="frozen"/>
      <selection activeCell="A4" sqref="A4:R11"/>
      <selection pane="topRight" activeCell="A4" sqref="A4:R11"/>
      <selection pane="bottomLeft" activeCell="A4" sqref="A4:R11"/>
      <selection pane="bottomRight" activeCell="F7" sqref="F7:J8"/>
    </sheetView>
  </sheetViews>
  <sheetFormatPr defaultColWidth="10.5703125" defaultRowHeight="15" x14ac:dyDescent="0.2"/>
  <cols>
    <col min="1" max="1" width="10.5703125" style="1825"/>
    <col min="2" max="2" width="16.5703125" style="1825" hidden="1" customWidth="1"/>
    <col min="3" max="3" width="37.5703125" style="1825" bestFit="1" customWidth="1"/>
    <col min="4" max="4" width="5.5703125" style="1196" customWidth="1"/>
    <col min="5" max="5" width="14.140625" style="1196" customWidth="1"/>
    <col min="6" max="6" width="20.5703125" style="1196" customWidth="1"/>
    <col min="7" max="7" width="16.85546875" style="1196" customWidth="1"/>
    <col min="8" max="8" width="16.85546875" style="1962" customWidth="1"/>
    <col min="9" max="9" width="16.140625" style="1196" customWidth="1"/>
    <col min="10" max="10" width="14.85546875" style="1962" customWidth="1"/>
    <col min="11" max="11" width="9.28515625" style="1825" customWidth="1"/>
    <col min="12" max="12" width="19.5703125" style="1825" customWidth="1"/>
    <col min="13" max="13" width="14.85546875" style="1962" customWidth="1"/>
    <col min="14" max="14" width="10.5703125" style="1963"/>
    <col min="15" max="15" width="10.5703125" style="1986"/>
    <col min="16" max="16" width="32.7109375" style="1963" hidden="1" customWidth="1"/>
    <col min="17" max="17" width="29.140625" style="1963" customWidth="1"/>
    <col min="18" max="16384" width="10.5703125" style="1963"/>
  </cols>
  <sheetData>
    <row r="1" spans="1:18" x14ac:dyDescent="0.2">
      <c r="A1" s="4073" t="s">
        <v>2131</v>
      </c>
      <c r="B1" s="4073"/>
      <c r="C1" s="4073"/>
      <c r="D1" s="1922"/>
      <c r="E1" s="1922"/>
      <c r="F1" s="98" t="s">
        <v>3961</v>
      </c>
      <c r="G1" s="1926"/>
      <c r="H1" s="1926"/>
      <c r="I1" s="1922"/>
      <c r="J1" s="1926"/>
      <c r="K1" s="2007"/>
      <c r="L1" s="2007"/>
      <c r="M1" s="1926"/>
    </row>
    <row r="2" spans="1:18" x14ac:dyDescent="0.25">
      <c r="A2" s="1859" t="str">
        <f>HYPERLINK("#Index!F3", "Index Pg")</f>
        <v>Index Pg</v>
      </c>
      <c r="B2" s="1864"/>
      <c r="C2" s="831" t="str">
        <f>HYPERLINK("#'Budget Summary I'!A1:AL1", "Budget Summary I")</f>
        <v>Budget Summary I</v>
      </c>
      <c r="D2" s="1930"/>
      <c r="E2" s="1730" t="s">
        <v>4608</v>
      </c>
      <c r="F2" s="177">
        <f>R6+R11</f>
        <v>0</v>
      </c>
      <c r="G2" s="1926"/>
      <c r="H2" s="1926"/>
      <c r="I2" s="1970"/>
      <c r="J2" s="1926"/>
      <c r="K2" s="2018"/>
      <c r="L2" s="2018"/>
      <c r="M2" s="1926"/>
    </row>
    <row r="3" spans="1:18" s="996" customFormat="1" x14ac:dyDescent="0.25">
      <c r="A3" s="1863"/>
      <c r="B3" s="1864"/>
      <c r="C3" s="1937" t="str">
        <f>HYPERLINK("#'Budget Summary II'!A3:B5", "Budget Summary II")</f>
        <v>Budget Summary II</v>
      </c>
      <c r="D3" s="1930"/>
      <c r="E3" s="2009" t="s">
        <v>4609</v>
      </c>
      <c r="F3" s="725">
        <f>O6+O11</f>
        <v>0</v>
      </c>
      <c r="G3" s="1926"/>
      <c r="H3" s="1926"/>
      <c r="I3" s="1970"/>
      <c r="J3" s="1926"/>
      <c r="K3" s="2018"/>
      <c r="L3" s="2018"/>
      <c r="M3" s="1926"/>
      <c r="O3" s="1967"/>
    </row>
    <row r="4" spans="1:18" s="1196" customForma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s="1196" customFormat="1" ht="60"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897" t="s">
        <v>63</v>
      </c>
      <c r="Q5" s="899" t="s">
        <v>2540</v>
      </c>
      <c r="R5" s="900" t="s">
        <v>4671</v>
      </c>
    </row>
    <row r="6" spans="1:18" x14ac:dyDescent="0.2">
      <c r="A6" s="723">
        <f>'6.Procurement Annex'!A7</f>
        <v>6</v>
      </c>
      <c r="B6" s="723"/>
      <c r="C6" s="723" t="str">
        <f>'6.Procurement Annex'!C7</f>
        <v>Procurement</v>
      </c>
      <c r="D6" s="724"/>
      <c r="E6" s="724"/>
      <c r="F6" s="2019"/>
      <c r="G6" s="2019"/>
      <c r="H6" s="2020"/>
      <c r="I6" s="2019"/>
      <c r="J6" s="528"/>
      <c r="K6" s="2021"/>
      <c r="L6" s="2021"/>
      <c r="M6" s="528"/>
      <c r="N6" s="2022"/>
      <c r="O6" s="1981">
        <f>SUM(O7:O10)</f>
        <v>0</v>
      </c>
      <c r="P6" s="2023"/>
      <c r="Q6" s="2023"/>
      <c r="R6" s="1981">
        <f>SUM(R7:R10)</f>
        <v>0</v>
      </c>
    </row>
    <row r="7" spans="1:18" ht="30" x14ac:dyDescent="0.2">
      <c r="A7" s="3761" t="str">
        <f>'6.Procurement Annex'!A19</f>
        <v>6.1.2.2</v>
      </c>
      <c r="B7" s="779"/>
      <c r="C7" s="103" t="str">
        <f>'6-A. Proc. Sub-Annex'!D48</f>
        <v>Procurement of bio-medical and other equipment: AYUSH</v>
      </c>
      <c r="D7" s="174" t="str">
        <f>'6-A. Proc. Sub-Annex'!E48</f>
        <v>HSS</v>
      </c>
      <c r="E7" s="174" t="str">
        <f>'6-A. Proc. Sub-Annex'!F48</f>
        <v>HSS/ AYUSH</v>
      </c>
      <c r="F7" s="174">
        <f>'6-A. Proc. Sub-Annex'!G48</f>
        <v>0</v>
      </c>
      <c r="G7" s="174">
        <f>'6-A. Proc. Sub-Annex'!H48</f>
        <v>0</v>
      </c>
      <c r="H7" s="174">
        <f>'6-A. Proc. Sub-Annex'!I48</f>
        <v>0</v>
      </c>
      <c r="I7" s="174">
        <f>'6-A. Proc. Sub-Annex'!J48</f>
        <v>0</v>
      </c>
      <c r="J7" s="174">
        <f>'6-A. Proc. Sub-Annex'!K48</f>
        <v>0</v>
      </c>
      <c r="K7" s="174">
        <f>'6-A. Proc. Sub-Annex'!L48</f>
        <v>0</v>
      </c>
      <c r="L7" s="174">
        <f>'6-A. Proc. Sub-Annex'!M48</f>
        <v>0</v>
      </c>
      <c r="M7" s="178">
        <f>'6-A. Proc. Sub-Annex'!N48</f>
        <v>0</v>
      </c>
      <c r="N7" s="174">
        <f>'6-A. Proc. Sub-Annex'!O48</f>
        <v>0</v>
      </c>
      <c r="O7" s="178">
        <f>'6-A. Proc. Sub-Annex'!P48</f>
        <v>0</v>
      </c>
      <c r="P7" s="103">
        <f>'6-A. Proc. Sub-Annex'!Q48</f>
        <v>0</v>
      </c>
      <c r="Q7" s="68"/>
      <c r="R7" s="1991"/>
    </row>
    <row r="8" spans="1:18" x14ac:dyDescent="0.2">
      <c r="A8" s="3761"/>
      <c r="B8" s="779"/>
      <c r="C8" s="103" t="str">
        <f>'6-A. Proc. Sub-Annex'!D49</f>
        <v>Any other</v>
      </c>
      <c r="D8" s="174" t="str">
        <f>'6-A. Proc. Sub-Annex'!E49</f>
        <v>HSS</v>
      </c>
      <c r="E8" s="174" t="str">
        <f>'6-A. Proc. Sub-Annex'!F49</f>
        <v>HSS/ AYUSH</v>
      </c>
      <c r="F8" s="174">
        <f>'6-A. Proc. Sub-Annex'!G49</f>
        <v>0</v>
      </c>
      <c r="G8" s="174">
        <f>'6-A. Proc. Sub-Annex'!H49</f>
        <v>0</v>
      </c>
      <c r="H8" s="174">
        <f>'6-A. Proc. Sub-Annex'!I49</f>
        <v>0</v>
      </c>
      <c r="I8" s="174">
        <f>'6-A. Proc. Sub-Annex'!J49</f>
        <v>0</v>
      </c>
      <c r="J8" s="174">
        <f>'6-A. Proc. Sub-Annex'!K49</f>
        <v>0</v>
      </c>
      <c r="K8" s="174">
        <f>'6-A. Proc. Sub-Annex'!L49</f>
        <v>0</v>
      </c>
      <c r="L8" s="174">
        <f>'6-A. Proc. Sub-Annex'!M49</f>
        <v>0</v>
      </c>
      <c r="M8" s="178">
        <f>'6-A. Proc. Sub-Annex'!N49</f>
        <v>0</v>
      </c>
      <c r="N8" s="174">
        <f>'6-A. Proc. Sub-Annex'!O49</f>
        <v>0</v>
      </c>
      <c r="O8" s="178">
        <f>'6-A. Proc. Sub-Annex'!P49</f>
        <v>0</v>
      </c>
      <c r="P8" s="103">
        <f>'6-A. Proc. Sub-Annex'!Q49</f>
        <v>0</v>
      </c>
      <c r="Q8" s="68"/>
      <c r="R8" s="1991"/>
    </row>
    <row r="9" spans="1:18" x14ac:dyDescent="0.2">
      <c r="A9" s="3761" t="str">
        <f>'6.Procurement Annex'!A67</f>
        <v>6.2.2.4</v>
      </c>
      <c r="B9" s="779"/>
      <c r="C9" s="103" t="str">
        <f>'6-A. Proc. Sub-Annex'!D203</f>
        <v>Drugs &amp; supplies for AYUSH</v>
      </c>
      <c r="D9" s="174" t="str">
        <f>'6-A. Proc. Sub-Annex'!E203</f>
        <v>HSS</v>
      </c>
      <c r="E9" s="174" t="str">
        <f>'6-A. Proc. Sub-Annex'!F203</f>
        <v>HSS/ AYUSH</v>
      </c>
      <c r="F9" s="174">
        <f>'6-A. Proc. Sub-Annex'!G203</f>
        <v>0</v>
      </c>
      <c r="G9" s="174">
        <f>'6-A. Proc. Sub-Annex'!H203</f>
        <v>0</v>
      </c>
      <c r="H9" s="174">
        <f>'6-A. Proc. Sub-Annex'!I203</f>
        <v>0</v>
      </c>
      <c r="I9" s="174">
        <f>'6-A. Proc. Sub-Annex'!J203</f>
        <v>0</v>
      </c>
      <c r="J9" s="174">
        <f>'6-A. Proc. Sub-Annex'!K203</f>
        <v>0</v>
      </c>
      <c r="K9" s="174">
        <f>'6-A. Proc. Sub-Annex'!L203</f>
        <v>0</v>
      </c>
      <c r="L9" s="174">
        <f>'6-A. Proc. Sub-Annex'!M203</f>
        <v>0</v>
      </c>
      <c r="M9" s="178">
        <f>'6-A. Proc. Sub-Annex'!N203</f>
        <v>0</v>
      </c>
      <c r="N9" s="174">
        <f>'6-A. Proc. Sub-Annex'!O203</f>
        <v>0</v>
      </c>
      <c r="O9" s="178">
        <f>'6-A. Proc. Sub-Annex'!P203</f>
        <v>0</v>
      </c>
      <c r="P9" s="103">
        <f>'6-A. Proc. Sub-Annex'!Q203</f>
        <v>0</v>
      </c>
      <c r="Q9" s="68"/>
      <c r="R9" s="1991"/>
    </row>
    <row r="10" spans="1:18" x14ac:dyDescent="0.2">
      <c r="A10" s="3761"/>
      <c r="B10" s="779"/>
      <c r="C10" s="103" t="str">
        <f>'6-A. Proc. Sub-Annex'!D204</f>
        <v>Any other</v>
      </c>
      <c r="D10" s="174" t="str">
        <f>'6-A. Proc. Sub-Annex'!E204</f>
        <v>HSS</v>
      </c>
      <c r="E10" s="174" t="str">
        <f>'6-A. Proc. Sub-Annex'!F204</f>
        <v>HSS/ AYUSH</v>
      </c>
      <c r="F10" s="174">
        <f>'6-A. Proc. Sub-Annex'!G204</f>
        <v>0</v>
      </c>
      <c r="G10" s="174">
        <f>'6-A. Proc. Sub-Annex'!H204</f>
        <v>0</v>
      </c>
      <c r="H10" s="174">
        <f>'6-A. Proc. Sub-Annex'!I204</f>
        <v>0</v>
      </c>
      <c r="I10" s="174">
        <f>'6-A. Proc. Sub-Annex'!J204</f>
        <v>0</v>
      </c>
      <c r="J10" s="174">
        <f>'6-A. Proc. Sub-Annex'!K204</f>
        <v>0</v>
      </c>
      <c r="K10" s="174">
        <f>'6-A. Proc. Sub-Annex'!L204</f>
        <v>0</v>
      </c>
      <c r="L10" s="174">
        <f>'6-A. Proc. Sub-Annex'!M204</f>
        <v>0</v>
      </c>
      <c r="M10" s="178">
        <f>'6-A. Proc. Sub-Annex'!N204</f>
        <v>0</v>
      </c>
      <c r="N10" s="174">
        <f>'6-A. Proc. Sub-Annex'!O204</f>
        <v>0</v>
      </c>
      <c r="O10" s="178">
        <f>'6-A. Proc. Sub-Annex'!P204</f>
        <v>0</v>
      </c>
      <c r="P10" s="103">
        <f>'6-A. Proc. Sub-Annex'!Q204</f>
        <v>0</v>
      </c>
      <c r="Q10" s="68"/>
      <c r="R10" s="1991"/>
    </row>
    <row r="11" spans="1:18" x14ac:dyDescent="0.2">
      <c r="A11" s="723">
        <f>'9.Training Annex'!A7</f>
        <v>9</v>
      </c>
      <c r="B11" s="723"/>
      <c r="C11" s="723" t="str">
        <f>'9.Training Annex'!C7</f>
        <v>Training and Capacity Building</v>
      </c>
      <c r="D11" s="724"/>
      <c r="E11" s="724"/>
      <c r="F11" s="2019"/>
      <c r="G11" s="2019"/>
      <c r="H11" s="2020"/>
      <c r="I11" s="2019"/>
      <c r="J11" s="528"/>
      <c r="K11" s="2021"/>
      <c r="L11" s="2021"/>
      <c r="M11" s="528"/>
      <c r="N11" s="2022"/>
      <c r="O11" s="1981">
        <f>SUM(O12:O13)</f>
        <v>0</v>
      </c>
      <c r="P11" s="2023"/>
      <c r="Q11" s="2024"/>
      <c r="R11" s="1990">
        <f>SUM(R12:R13)</f>
        <v>0</v>
      </c>
    </row>
    <row r="12" spans="1:18" x14ac:dyDescent="0.2">
      <c r="A12" s="3761" t="str">
        <f>'9.Training Annex'!A34</f>
        <v>9.2.2.5</v>
      </c>
      <c r="B12" s="779" t="str">
        <f>'9-A.Training Sub-Annex'!C175</f>
        <v>B9.2</v>
      </c>
      <c r="C12" s="103" t="str">
        <f>'9-A.Training Sub-Annex'!D175</f>
        <v>Training under AYUSH</v>
      </c>
      <c r="D12" s="174" t="str">
        <f>'9-A.Training Sub-Annex'!E175</f>
        <v>HSS</v>
      </c>
      <c r="E12" s="174" t="str">
        <f>'9-A.Training Sub-Annex'!F175</f>
        <v>HSS/AYUSH</v>
      </c>
      <c r="F12" s="174">
        <f>'9-A.Training Sub-Annex'!G175</f>
        <v>0</v>
      </c>
      <c r="G12" s="174">
        <f>'9-A.Training Sub-Annex'!H175</f>
        <v>0</v>
      </c>
      <c r="H12" s="174">
        <f>'9-A.Training Sub-Annex'!I175</f>
        <v>0</v>
      </c>
      <c r="I12" s="174">
        <f>'9-A.Training Sub-Annex'!J175</f>
        <v>0</v>
      </c>
      <c r="J12" s="174">
        <f>'9-A.Training Sub-Annex'!K175</f>
        <v>0</v>
      </c>
      <c r="K12" s="174">
        <f>'9-A.Training Sub-Annex'!L175</f>
        <v>0</v>
      </c>
      <c r="L12" s="174">
        <f>'9-A.Training Sub-Annex'!M175</f>
        <v>0</v>
      </c>
      <c r="M12" s="178">
        <f>'9-A.Training Sub-Annex'!N175</f>
        <v>0</v>
      </c>
      <c r="N12" s="174">
        <f>'9-A.Training Sub-Annex'!O175</f>
        <v>0</v>
      </c>
      <c r="O12" s="178">
        <f>'9-A.Training Sub-Annex'!P175</f>
        <v>0</v>
      </c>
      <c r="P12" s="103">
        <f>'9-A.Training Sub-Annex'!Q175</f>
        <v>0</v>
      </c>
      <c r="Q12" s="68"/>
      <c r="R12" s="1991"/>
    </row>
    <row r="13" spans="1:18" x14ac:dyDescent="0.2">
      <c r="A13" s="3761"/>
      <c r="B13" s="779"/>
      <c r="C13" s="103" t="str">
        <f>'9-A.Training Sub-Annex'!D176</f>
        <v>Any other (please specify)</v>
      </c>
      <c r="D13" s="174" t="str">
        <f>'9-A.Training Sub-Annex'!E176</f>
        <v>HSS</v>
      </c>
      <c r="E13" s="174" t="str">
        <f>'9-A.Training Sub-Annex'!F176</f>
        <v>HSS/AYUSH</v>
      </c>
      <c r="F13" s="174">
        <f>'9-A.Training Sub-Annex'!G176</f>
        <v>0</v>
      </c>
      <c r="G13" s="174">
        <f>'9-A.Training Sub-Annex'!H176</f>
        <v>0</v>
      </c>
      <c r="H13" s="174">
        <f>'9-A.Training Sub-Annex'!I176</f>
        <v>0</v>
      </c>
      <c r="I13" s="174">
        <f>'9-A.Training Sub-Annex'!J176</f>
        <v>0</v>
      </c>
      <c r="J13" s="174">
        <f>'9-A.Training Sub-Annex'!K176</f>
        <v>0</v>
      </c>
      <c r="K13" s="174">
        <f>'9-A.Training Sub-Annex'!L176</f>
        <v>0</v>
      </c>
      <c r="L13" s="174">
        <f>'9-A.Training Sub-Annex'!M176</f>
        <v>0</v>
      </c>
      <c r="M13" s="178">
        <f>'9-A.Training Sub-Annex'!N176</f>
        <v>0</v>
      </c>
      <c r="N13" s="174">
        <f>'9-A.Training Sub-Annex'!O176</f>
        <v>0</v>
      </c>
      <c r="O13" s="178">
        <f>'9-A.Training Sub-Annex'!P176</f>
        <v>0</v>
      </c>
      <c r="P13" s="103">
        <f>'9-A.Training Sub-Annex'!Q176</f>
        <v>0</v>
      </c>
      <c r="Q13" s="68"/>
      <c r="R13" s="1991"/>
    </row>
    <row r="14" spans="1:18" x14ac:dyDescent="0.2">
      <c r="P14" s="1825"/>
      <c r="Q14" s="1825"/>
      <c r="R14" s="1986"/>
    </row>
  </sheetData>
  <sheetProtection sheet="1" formatCells="0" formatColumns="0" formatRows="0" autoFilter="0"/>
  <autoFilter ref="A5:M13"/>
  <mergeCells count="12">
    <mergeCell ref="A9:A10"/>
    <mergeCell ref="A7:A8"/>
    <mergeCell ref="A12:A13"/>
    <mergeCell ref="Q4:R4"/>
    <mergeCell ref="E4:E5"/>
    <mergeCell ref="F4:J4"/>
    <mergeCell ref="K4:P4"/>
    <mergeCell ref="A1:C1"/>
    <mergeCell ref="A4:A5"/>
    <mergeCell ref="B4:B5"/>
    <mergeCell ref="C4:C5"/>
    <mergeCell ref="D4:D5"/>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5" tint="0.79998168889431442"/>
  </sheetPr>
  <dimension ref="A1:R40"/>
  <sheetViews>
    <sheetView zoomScale="60" zoomScaleNormal="60" workbookViewId="0">
      <pane xSplit="3" ySplit="5" topLeftCell="L27" activePane="bottomRight" state="frozen"/>
      <selection activeCell="A4" sqref="A4:R11"/>
      <selection pane="topRight" activeCell="A4" sqref="A4:R11"/>
      <selection pane="bottomLeft" activeCell="A4" sqref="A4:R11"/>
      <selection pane="bottomRight" activeCell="Q40" sqref="Q40"/>
    </sheetView>
  </sheetViews>
  <sheetFormatPr defaultColWidth="9.140625" defaultRowHeight="15" x14ac:dyDescent="0.2"/>
  <cols>
    <col min="1" max="1" width="11" style="1825" bestFit="1" customWidth="1"/>
    <col min="2" max="2" width="16.28515625" style="1825" hidden="1" customWidth="1"/>
    <col min="3" max="3" width="56.42578125" style="881" bestFit="1" customWidth="1"/>
    <col min="4" max="4" width="5.5703125" style="835" hidden="1" customWidth="1"/>
    <col min="5" max="5" width="14.28515625" style="835" hidden="1" customWidth="1"/>
    <col min="6" max="6" width="17.85546875" style="1196" hidden="1" customWidth="1"/>
    <col min="7" max="7" width="16.140625" style="1196" hidden="1" customWidth="1"/>
    <col min="8" max="8" width="9.140625" style="1962" hidden="1" customWidth="1"/>
    <col min="9" max="9" width="8.7109375" style="1196" hidden="1" customWidth="1"/>
    <col min="10" max="10" width="11" style="1962" hidden="1" customWidth="1"/>
    <col min="11" max="11" width="11.140625" style="1825" hidden="1" customWidth="1"/>
    <col min="12" max="12" width="11.28515625" style="1825" customWidth="1"/>
    <col min="13" max="13" width="11.42578125" style="1962" hidden="1" customWidth="1"/>
    <col min="14" max="14" width="9.140625" style="1963"/>
    <col min="15" max="15" width="16.7109375" style="1986" customWidth="1"/>
    <col min="16" max="16" width="29.85546875" style="1825" hidden="1" customWidth="1"/>
    <col min="17" max="17" width="32.5703125" style="1825" customWidth="1"/>
    <col min="18" max="18" width="9.140625" style="1986"/>
    <col min="19" max="16384" width="9.140625" style="1963"/>
  </cols>
  <sheetData>
    <row r="1" spans="1:18" x14ac:dyDescent="0.2">
      <c r="A1" s="4073" t="s">
        <v>2133</v>
      </c>
      <c r="B1" s="4073"/>
      <c r="C1" s="4073"/>
      <c r="D1" s="1922"/>
      <c r="E1" s="1966"/>
      <c r="F1" s="2025" t="s">
        <v>3968</v>
      </c>
      <c r="G1" s="1926"/>
      <c r="H1" s="1926"/>
      <c r="I1" s="1922"/>
      <c r="J1" s="1926"/>
      <c r="K1" s="2007"/>
      <c r="L1" s="2007"/>
      <c r="M1" s="1926"/>
      <c r="N1" s="2026"/>
      <c r="O1" s="2027"/>
      <c r="P1" s="1928"/>
      <c r="Q1" s="1928"/>
    </row>
    <row r="2" spans="1:18" x14ac:dyDescent="0.25">
      <c r="A2" s="1859" t="str">
        <f>HYPERLINK("#Index!F3", "Index Pg")</f>
        <v>Index Pg</v>
      </c>
      <c r="B2" s="1864"/>
      <c r="C2" s="831" t="str">
        <f>HYPERLINK("#'Budget Summary I'!A1:AL1", "Budget Summary I")</f>
        <v>Budget Summary I</v>
      </c>
      <c r="D2" s="1930"/>
      <c r="E2" s="1730" t="s">
        <v>4608</v>
      </c>
      <c r="F2" s="177">
        <f>R6+R8+R12+R22+R29+R27</f>
        <v>0</v>
      </c>
      <c r="G2" s="1926"/>
      <c r="H2" s="1926"/>
      <c r="I2" s="1970"/>
      <c r="J2" s="1926"/>
      <c r="K2" s="2018"/>
      <c r="L2" s="2018"/>
      <c r="M2" s="1926"/>
      <c r="N2" s="2026"/>
      <c r="O2" s="2027"/>
      <c r="P2" s="1928"/>
      <c r="Q2" s="1928"/>
    </row>
    <row r="3" spans="1:18" s="996" customFormat="1" x14ac:dyDescent="0.25">
      <c r="A3" s="1863"/>
      <c r="B3" s="1864"/>
      <c r="C3" s="1937" t="str">
        <f>HYPERLINK("#'Budget Summary II'!A3:B5", "Budget Summary II")</f>
        <v>Budget Summary II</v>
      </c>
      <c r="D3" s="1930"/>
      <c r="E3" s="2009" t="s">
        <v>4609</v>
      </c>
      <c r="F3" s="725">
        <f>O6+O8+O12+O22+O29+O27</f>
        <v>0</v>
      </c>
      <c r="G3" s="1926"/>
      <c r="H3" s="1926"/>
      <c r="I3" s="1970"/>
      <c r="J3" s="1926"/>
      <c r="L3" s="2018"/>
      <c r="M3" s="1926"/>
      <c r="N3" s="2026"/>
      <c r="O3" s="2027"/>
      <c r="P3" s="1928"/>
      <c r="Q3" s="1928"/>
      <c r="R3" s="1967"/>
    </row>
    <row r="4" spans="1:18" s="1196" customForma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s="1196" customFormat="1" ht="60"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1945" t="s">
        <v>63</v>
      </c>
      <c r="Q5" s="1946" t="s">
        <v>2540</v>
      </c>
      <c r="R5" s="900" t="s">
        <v>4671</v>
      </c>
    </row>
    <row r="6" spans="1:18" x14ac:dyDescent="0.2">
      <c r="A6" s="723">
        <f>'3.Community Intervention Annexn'!A7</f>
        <v>3</v>
      </c>
      <c r="B6" s="723"/>
      <c r="C6" s="723" t="str">
        <f>'3.Community Intervention Annexn'!C7</f>
        <v>Community Interventions</v>
      </c>
      <c r="D6" s="724"/>
      <c r="E6" s="724"/>
      <c r="F6" s="724"/>
      <c r="G6" s="724"/>
      <c r="H6" s="528"/>
      <c r="I6" s="724"/>
      <c r="J6" s="528"/>
      <c r="K6" s="723"/>
      <c r="L6" s="723"/>
      <c r="M6" s="528"/>
      <c r="N6" s="2022"/>
      <c r="O6" s="1981">
        <f>O7</f>
        <v>0</v>
      </c>
      <c r="P6" s="1976"/>
      <c r="Q6" s="1976"/>
      <c r="R6" s="1981">
        <f>R7</f>
        <v>0</v>
      </c>
    </row>
    <row r="7" spans="1:18" x14ac:dyDescent="0.2">
      <c r="A7" s="779" t="str">
        <f>'3.Community Intervention Annexn'!A53</f>
        <v>3.3.3.1</v>
      </c>
      <c r="B7" s="779" t="str">
        <f>'3.Community Intervention Annexn'!B53</f>
        <v>E.2.9</v>
      </c>
      <c r="C7" s="779" t="str">
        <f>'3.Community Intervention Annexn'!C53</f>
        <v>One day sensitization for PRIs</v>
      </c>
      <c r="D7" s="779" t="str">
        <f>'3.Community Intervention Annexn'!D53</f>
        <v>NDCP</v>
      </c>
      <c r="E7" s="779" t="str">
        <f>'3.Community Intervention Annexn'!E53</f>
        <v>IDSP</v>
      </c>
      <c r="F7" s="779">
        <f>'3.Community Intervention Annexn'!F53</f>
        <v>32</v>
      </c>
      <c r="G7" s="779">
        <f>'3.Community Intervention Annexn'!G53</f>
        <v>0</v>
      </c>
      <c r="H7" s="779">
        <f>'3.Community Intervention Annexn'!H53</f>
        <v>1</v>
      </c>
      <c r="I7" s="779">
        <f>'3.Community Intervention Annexn'!I53</f>
        <v>0</v>
      </c>
      <c r="J7" s="779">
        <f>'3.Community Intervention Annexn'!J53</f>
        <v>0</v>
      </c>
      <c r="K7" s="779">
        <f>'3.Community Intervention Annexn'!K53</f>
        <v>0</v>
      </c>
      <c r="L7" s="779">
        <f>'3.Community Intervention Annexn'!L53</f>
        <v>0</v>
      </c>
      <c r="M7" s="780">
        <f>'3.Community Intervention Annexn'!M53</f>
        <v>0</v>
      </c>
      <c r="N7" s="779">
        <f>'3.Community Intervention Annexn'!N53</f>
        <v>0</v>
      </c>
      <c r="O7" s="780">
        <f>'3.Community Intervention Annexn'!O53</f>
        <v>0</v>
      </c>
      <c r="P7" s="779">
        <f>'3.Community Intervention Annexn'!P53</f>
        <v>0</v>
      </c>
      <c r="Q7" s="68"/>
      <c r="R7" s="1991"/>
    </row>
    <row r="8" spans="1:18" x14ac:dyDescent="0.2">
      <c r="A8" s="723">
        <f>'6.Procurement Annex'!A7</f>
        <v>6</v>
      </c>
      <c r="B8" s="723"/>
      <c r="C8" s="723" t="str">
        <f>'6.Procurement Annex'!C7</f>
        <v>Procurement</v>
      </c>
      <c r="D8" s="724"/>
      <c r="E8" s="724"/>
      <c r="F8" s="724"/>
      <c r="G8" s="724"/>
      <c r="H8" s="528"/>
      <c r="I8" s="724"/>
      <c r="J8" s="528"/>
      <c r="K8" s="723"/>
      <c r="L8" s="723"/>
      <c r="M8" s="528"/>
      <c r="N8" s="2022"/>
      <c r="O8" s="1981">
        <f>SUM(O9:O11)</f>
        <v>0</v>
      </c>
      <c r="P8" s="1976"/>
      <c r="Q8" s="1989"/>
      <c r="R8" s="1990">
        <f>SUM(R9:R11)</f>
        <v>0</v>
      </c>
    </row>
    <row r="9" spans="1:18" ht="30" x14ac:dyDescent="0.2">
      <c r="A9" s="4065" t="str">
        <f>'6.Procurement Annex'!A30</f>
        <v>6.1.4.1</v>
      </c>
      <c r="B9" s="779" t="str">
        <f>'6-A. Proc. Sub-Annex'!C74</f>
        <v>E.3.1</v>
      </c>
      <c r="C9" s="103" t="str">
        <f>'6-A. Proc. Sub-Annex'!D74</f>
        <v xml:space="preserve">Non-recurring costs on account of equipment for District Public Health Labs requiring strengthening. </v>
      </c>
      <c r="D9" s="174" t="str">
        <f>'6-A. Proc. Sub-Annex'!E74</f>
        <v>NDCP</v>
      </c>
      <c r="E9" s="174" t="str">
        <f>'6-A. Proc. Sub-Annex'!F74</f>
        <v>IDSP</v>
      </c>
      <c r="F9" s="174">
        <f>'6-A. Proc. Sub-Annex'!G74</f>
        <v>0</v>
      </c>
      <c r="G9" s="174">
        <f>'6-A. Proc. Sub-Annex'!H74</f>
        <v>0</v>
      </c>
      <c r="H9" s="174">
        <f>'6-A. Proc. Sub-Annex'!I74</f>
        <v>0</v>
      </c>
      <c r="I9" s="174">
        <f>'6-A. Proc. Sub-Annex'!J74</f>
        <v>0</v>
      </c>
      <c r="J9" s="174">
        <f>'6-A. Proc. Sub-Annex'!K74</f>
        <v>0</v>
      </c>
      <c r="K9" s="174" t="str">
        <f>'6-A. Proc. Sub-Annex'!L74</f>
        <v>Cost per DPHL</v>
      </c>
      <c r="L9" s="174">
        <f>'6-A. Proc. Sub-Annex'!M74</f>
        <v>370000</v>
      </c>
      <c r="M9" s="178">
        <f>'6-A. Proc. Sub-Annex'!N74</f>
        <v>0</v>
      </c>
      <c r="N9" s="174">
        <f>'6-A. Proc. Sub-Annex'!O74</f>
        <v>0</v>
      </c>
      <c r="O9" s="178">
        <f>'6-A. Proc. Sub-Annex'!P74</f>
        <v>0</v>
      </c>
      <c r="P9" s="103">
        <f>'6-A. Proc. Sub-Annex'!Q74</f>
        <v>0</v>
      </c>
      <c r="Q9" s="68"/>
      <c r="R9" s="1991"/>
    </row>
    <row r="10" spans="1:18" ht="30" x14ac:dyDescent="0.2">
      <c r="A10" s="4065"/>
      <c r="B10" s="779"/>
      <c r="C10" s="103" t="str">
        <f>'6-A. Proc. Sub-Annex'!D75</f>
        <v>Any other equipment (please specify)</v>
      </c>
      <c r="D10" s="174" t="str">
        <f>'6-A. Proc. Sub-Annex'!E75</f>
        <v>NDCP</v>
      </c>
      <c r="E10" s="174" t="str">
        <f>'6-A. Proc. Sub-Annex'!F75</f>
        <v>IDSP</v>
      </c>
      <c r="F10" s="174">
        <f>'6-A. Proc. Sub-Annex'!G75</f>
        <v>0</v>
      </c>
      <c r="G10" s="174">
        <f>'6-A. Proc. Sub-Annex'!H75</f>
        <v>0</v>
      </c>
      <c r="H10" s="174">
        <f>'6-A. Proc. Sub-Annex'!I75</f>
        <v>0</v>
      </c>
      <c r="I10" s="174">
        <f>'6-A. Proc. Sub-Annex'!J75</f>
        <v>0</v>
      </c>
      <c r="J10" s="174">
        <f>'6-A. Proc. Sub-Annex'!K75</f>
        <v>0</v>
      </c>
      <c r="K10" s="174">
        <f>'6-A. Proc. Sub-Annex'!L75</f>
        <v>0</v>
      </c>
      <c r="L10" s="174">
        <f>'6-A. Proc. Sub-Annex'!M75</f>
        <v>0</v>
      </c>
      <c r="M10" s="178">
        <f>'6-A. Proc. Sub-Annex'!N75</f>
        <v>0</v>
      </c>
      <c r="N10" s="174">
        <f>'6-A. Proc. Sub-Annex'!O75</f>
        <v>0</v>
      </c>
      <c r="O10" s="178">
        <f>'6-A. Proc. Sub-Annex'!P75</f>
        <v>0</v>
      </c>
      <c r="P10" s="103">
        <f>'6-A. Proc. Sub-Annex'!Q75</f>
        <v>0</v>
      </c>
      <c r="Q10" s="68"/>
      <c r="R10" s="1991"/>
    </row>
    <row r="11" spans="1:18" ht="30" x14ac:dyDescent="0.2">
      <c r="A11" s="779" t="str">
        <f>'6.Procurement Annex'!A48</f>
        <v>6.1.6.2</v>
      </c>
      <c r="B11" s="779" t="str">
        <f>'6-A. Proc. Sub-Annex'!C138</f>
        <v>E.3.3</v>
      </c>
      <c r="C11" s="103" t="str">
        <f>'6-A. Proc. Sub-Annex'!D138</f>
        <v>Equipment AMC cost (DPHL)</v>
      </c>
      <c r="D11" s="174" t="str">
        <f>'6-A. Proc. Sub-Annex'!E138</f>
        <v>NDCP</v>
      </c>
      <c r="E11" s="174" t="str">
        <f>'6-A. Proc. Sub-Annex'!F138</f>
        <v>IDSP</v>
      </c>
      <c r="F11" s="174">
        <f>'6-A. Proc. Sub-Annex'!G138</f>
        <v>0</v>
      </c>
      <c r="G11" s="174">
        <f>'6-A. Proc. Sub-Annex'!H138</f>
        <v>0</v>
      </c>
      <c r="H11" s="174">
        <f>'6-A. Proc. Sub-Annex'!I138</f>
        <v>0</v>
      </c>
      <c r="I11" s="174">
        <f>'6-A. Proc. Sub-Annex'!J138</f>
        <v>0</v>
      </c>
      <c r="J11" s="174">
        <f>'6-A. Proc. Sub-Annex'!K138</f>
        <v>0</v>
      </c>
      <c r="K11" s="174">
        <f>'6-A. Proc. Sub-Annex'!L138</f>
        <v>0</v>
      </c>
      <c r="L11" s="174">
        <f>'6-A. Proc. Sub-Annex'!M138</f>
        <v>0</v>
      </c>
      <c r="M11" s="178">
        <f>'6-A. Proc. Sub-Annex'!N138</f>
        <v>0</v>
      </c>
      <c r="N11" s="174">
        <f>'6-A. Proc. Sub-Annex'!O138</f>
        <v>0</v>
      </c>
      <c r="O11" s="178">
        <f>'6-A. Proc. Sub-Annex'!P138</f>
        <v>0</v>
      </c>
      <c r="P11" s="103">
        <f>'6-A. Proc. Sub-Annex'!Q138</f>
        <v>0</v>
      </c>
      <c r="Q11" s="68"/>
      <c r="R11" s="1991"/>
    </row>
    <row r="12" spans="1:18" x14ac:dyDescent="0.2">
      <c r="A12" s="723">
        <f>'9.Training Annex'!A7</f>
        <v>9</v>
      </c>
      <c r="B12" s="723"/>
      <c r="C12" s="723" t="str">
        <f>'9.Training Annex'!C7</f>
        <v>Training and Capacity Building</v>
      </c>
      <c r="D12" s="724"/>
      <c r="E12" s="724"/>
      <c r="F12" s="724"/>
      <c r="G12" s="724"/>
      <c r="H12" s="528"/>
      <c r="I12" s="724"/>
      <c r="J12" s="528"/>
      <c r="K12" s="723"/>
      <c r="L12" s="723"/>
      <c r="M12" s="528"/>
      <c r="N12" s="2022"/>
      <c r="O12" s="1981">
        <f>SUM(O13:O21)</f>
        <v>0</v>
      </c>
      <c r="P12" s="1976"/>
      <c r="Q12" s="1989"/>
      <c r="R12" s="1990">
        <f>SUM(R13:R21)</f>
        <v>0</v>
      </c>
    </row>
    <row r="13" spans="1:18" ht="30" x14ac:dyDescent="0.2">
      <c r="A13" s="3761" t="str">
        <f>'9.Training Annex'!A47</f>
        <v>9.2.3.1</v>
      </c>
      <c r="B13" s="779" t="str">
        <f>'9-A.Training Sub-Annex'!C210</f>
        <v>E.2.1</v>
      </c>
      <c r="C13" s="103" t="str">
        <f>'9-A.Training Sub-Annex'!D210</f>
        <v>Medical Officers (1 day)</v>
      </c>
      <c r="D13" s="174" t="str">
        <f>'9-A.Training Sub-Annex'!E210</f>
        <v>NDCP</v>
      </c>
      <c r="E13" s="174" t="str">
        <f>'9-A.Training Sub-Annex'!F210</f>
        <v>IDSP</v>
      </c>
      <c r="F13" s="174">
        <f>'9-A.Training Sub-Annex'!G210</f>
        <v>0</v>
      </c>
      <c r="G13" s="174">
        <f>'9-A.Training Sub-Annex'!H210</f>
        <v>0</v>
      </c>
      <c r="H13" s="174">
        <f>'9-A.Training Sub-Annex'!I210</f>
        <v>0</v>
      </c>
      <c r="I13" s="174">
        <f>'9-A.Training Sub-Annex'!J210</f>
        <v>0</v>
      </c>
      <c r="J13" s="174">
        <f>'9-A.Training Sub-Annex'!K210</f>
        <v>0</v>
      </c>
      <c r="K13" s="174">
        <f>'9-A.Training Sub-Annex'!L210</f>
        <v>0</v>
      </c>
      <c r="L13" s="174">
        <f>'9-A.Training Sub-Annex'!M210</f>
        <v>0</v>
      </c>
      <c r="M13" s="178">
        <f>'9-A.Training Sub-Annex'!N210</f>
        <v>0</v>
      </c>
      <c r="N13" s="174">
        <f>'9-A.Training Sub-Annex'!O210</f>
        <v>0</v>
      </c>
      <c r="O13" s="178">
        <f>'9-A.Training Sub-Annex'!P210</f>
        <v>0</v>
      </c>
      <c r="P13" s="103">
        <f>'9-A.Training Sub-Annex'!Q210</f>
        <v>0</v>
      </c>
      <c r="Q13" s="68"/>
      <c r="R13" s="1991"/>
    </row>
    <row r="14" spans="1:18" ht="30" x14ac:dyDescent="0.2">
      <c r="A14" s="3761"/>
      <c r="B14" s="779" t="str">
        <f>'9-A.Training Sub-Annex'!C211</f>
        <v>E.2.2</v>
      </c>
      <c r="C14" s="103" t="str">
        <f>'9-A.Training Sub-Annex'!D211</f>
        <v>Medical College Doctors (1 day)</v>
      </c>
      <c r="D14" s="174" t="str">
        <f>'9-A.Training Sub-Annex'!E211</f>
        <v>NDCP</v>
      </c>
      <c r="E14" s="174" t="str">
        <f>'9-A.Training Sub-Annex'!F211</f>
        <v>IDSP</v>
      </c>
      <c r="F14" s="174">
        <f>'9-A.Training Sub-Annex'!G211</f>
        <v>0</v>
      </c>
      <c r="G14" s="174">
        <f>'9-A.Training Sub-Annex'!H211</f>
        <v>0</v>
      </c>
      <c r="H14" s="174">
        <f>'9-A.Training Sub-Annex'!I211</f>
        <v>0</v>
      </c>
      <c r="I14" s="174">
        <f>'9-A.Training Sub-Annex'!J211</f>
        <v>0</v>
      </c>
      <c r="J14" s="174">
        <f>'9-A.Training Sub-Annex'!K211</f>
        <v>0</v>
      </c>
      <c r="K14" s="174">
        <f>'9-A.Training Sub-Annex'!L211</f>
        <v>0</v>
      </c>
      <c r="L14" s="174">
        <f>'9-A.Training Sub-Annex'!M211</f>
        <v>0</v>
      </c>
      <c r="M14" s="178">
        <f>'9-A.Training Sub-Annex'!N211</f>
        <v>0</v>
      </c>
      <c r="N14" s="174">
        <f>'9-A.Training Sub-Annex'!O211</f>
        <v>0</v>
      </c>
      <c r="O14" s="178">
        <f>'9-A.Training Sub-Annex'!P211</f>
        <v>0</v>
      </c>
      <c r="P14" s="103">
        <f>'9-A.Training Sub-Annex'!Q211</f>
        <v>0</v>
      </c>
      <c r="Q14" s="68"/>
      <c r="R14" s="1991"/>
    </row>
    <row r="15" spans="1:18" ht="30" x14ac:dyDescent="0.2">
      <c r="A15" s="3761"/>
      <c r="B15" s="779" t="str">
        <f>'9-A.Training Sub-Annex'!C212</f>
        <v>E.2.3</v>
      </c>
      <c r="C15" s="103" t="str">
        <f>'9-A.Training Sub-Annex'!D212</f>
        <v>Hospital Pharmacists/Nurses Training (1 day)</v>
      </c>
      <c r="D15" s="174" t="str">
        <f>'9-A.Training Sub-Annex'!E212</f>
        <v>NDCP</v>
      </c>
      <c r="E15" s="174" t="str">
        <f>'9-A.Training Sub-Annex'!F212</f>
        <v>IDSP</v>
      </c>
      <c r="F15" s="174">
        <f>'9-A.Training Sub-Annex'!G212</f>
        <v>0</v>
      </c>
      <c r="G15" s="174">
        <f>'9-A.Training Sub-Annex'!H212</f>
        <v>0</v>
      </c>
      <c r="H15" s="174">
        <f>'9-A.Training Sub-Annex'!I212</f>
        <v>0</v>
      </c>
      <c r="I15" s="174">
        <f>'9-A.Training Sub-Annex'!J212</f>
        <v>0</v>
      </c>
      <c r="J15" s="174">
        <f>'9-A.Training Sub-Annex'!K212</f>
        <v>0</v>
      </c>
      <c r="K15" s="174">
        <f>'9-A.Training Sub-Annex'!L212</f>
        <v>0</v>
      </c>
      <c r="L15" s="174">
        <f>'9-A.Training Sub-Annex'!M212</f>
        <v>0</v>
      </c>
      <c r="M15" s="178">
        <f>'9-A.Training Sub-Annex'!N212</f>
        <v>0</v>
      </c>
      <c r="N15" s="174">
        <f>'9-A.Training Sub-Annex'!O212</f>
        <v>0</v>
      </c>
      <c r="O15" s="178">
        <f>'9-A.Training Sub-Annex'!P212</f>
        <v>0</v>
      </c>
      <c r="P15" s="103">
        <f>'9-A.Training Sub-Annex'!Q212</f>
        <v>0</v>
      </c>
      <c r="Q15" s="68"/>
      <c r="R15" s="1991"/>
    </row>
    <row r="16" spans="1:18" ht="30" x14ac:dyDescent="0.2">
      <c r="A16" s="3761"/>
      <c r="B16" s="779" t="str">
        <f>'9-A.Training Sub-Annex'!C213</f>
        <v>E.2.4</v>
      </c>
      <c r="C16" s="103" t="str">
        <f>'9-A.Training Sub-Annex'!D213</f>
        <v>Lab. Technician (3 days)</v>
      </c>
      <c r="D16" s="174" t="str">
        <f>'9-A.Training Sub-Annex'!E213</f>
        <v>NDCP</v>
      </c>
      <c r="E16" s="174" t="str">
        <f>'9-A.Training Sub-Annex'!F213</f>
        <v>IDSP</v>
      </c>
      <c r="F16" s="174">
        <f>'9-A.Training Sub-Annex'!G213</f>
        <v>0</v>
      </c>
      <c r="G16" s="174">
        <f>'9-A.Training Sub-Annex'!H213</f>
        <v>0</v>
      </c>
      <c r="H16" s="174">
        <f>'9-A.Training Sub-Annex'!I213</f>
        <v>0</v>
      </c>
      <c r="I16" s="174">
        <f>'9-A.Training Sub-Annex'!J213</f>
        <v>0</v>
      </c>
      <c r="J16" s="174">
        <f>'9-A.Training Sub-Annex'!K213</f>
        <v>0</v>
      </c>
      <c r="K16" s="174">
        <f>'9-A.Training Sub-Annex'!L213</f>
        <v>0</v>
      </c>
      <c r="L16" s="174">
        <f>'9-A.Training Sub-Annex'!M213</f>
        <v>0</v>
      </c>
      <c r="M16" s="178">
        <f>'9-A.Training Sub-Annex'!N213</f>
        <v>0</v>
      </c>
      <c r="N16" s="174">
        <f>'9-A.Training Sub-Annex'!O213</f>
        <v>0</v>
      </c>
      <c r="O16" s="178">
        <f>'9-A.Training Sub-Annex'!P213</f>
        <v>0</v>
      </c>
      <c r="P16" s="103">
        <f>'9-A.Training Sub-Annex'!Q213</f>
        <v>0</v>
      </c>
      <c r="Q16" s="68"/>
      <c r="R16" s="1991"/>
    </row>
    <row r="17" spans="1:18" ht="30" x14ac:dyDescent="0.2">
      <c r="A17" s="3761"/>
      <c r="B17" s="779" t="str">
        <f>'9-A.Training Sub-Annex'!C214</f>
        <v>E.2.5</v>
      </c>
      <c r="C17" s="103" t="str">
        <f>'9-A.Training Sub-Annex'!D214</f>
        <v>Data Managers (2days)</v>
      </c>
      <c r="D17" s="174" t="str">
        <f>'9-A.Training Sub-Annex'!E214</f>
        <v>NDCP</v>
      </c>
      <c r="E17" s="174" t="str">
        <f>'9-A.Training Sub-Annex'!F214</f>
        <v>IDSP</v>
      </c>
      <c r="F17" s="174">
        <f>'9-A.Training Sub-Annex'!G214</f>
        <v>0</v>
      </c>
      <c r="G17" s="174">
        <f>'9-A.Training Sub-Annex'!H214</f>
        <v>0</v>
      </c>
      <c r="H17" s="174">
        <f>'9-A.Training Sub-Annex'!I214</f>
        <v>0</v>
      </c>
      <c r="I17" s="174">
        <f>'9-A.Training Sub-Annex'!J214</f>
        <v>0</v>
      </c>
      <c r="J17" s="174">
        <f>'9-A.Training Sub-Annex'!K214</f>
        <v>0</v>
      </c>
      <c r="K17" s="174">
        <f>'9-A.Training Sub-Annex'!L214</f>
        <v>0</v>
      </c>
      <c r="L17" s="174">
        <f>'9-A.Training Sub-Annex'!M214</f>
        <v>0</v>
      </c>
      <c r="M17" s="178">
        <f>'9-A.Training Sub-Annex'!N214</f>
        <v>0</v>
      </c>
      <c r="N17" s="174">
        <f>'9-A.Training Sub-Annex'!O214</f>
        <v>0</v>
      </c>
      <c r="O17" s="178">
        <f>'9-A.Training Sub-Annex'!P214</f>
        <v>0</v>
      </c>
      <c r="P17" s="103">
        <f>'9-A.Training Sub-Annex'!Q214</f>
        <v>0</v>
      </c>
      <c r="Q17" s="68"/>
      <c r="R17" s="1991"/>
    </row>
    <row r="18" spans="1:18" ht="30" x14ac:dyDescent="0.2">
      <c r="A18" s="3761"/>
      <c r="B18" s="779" t="str">
        <f>'9-A.Training Sub-Annex'!C215</f>
        <v>E.2.6</v>
      </c>
      <c r="C18" s="103" t="str">
        <f>'9-A.Training Sub-Annex'!D215</f>
        <v>Date Entry Operators cum Accountant (2 days)</v>
      </c>
      <c r="D18" s="174" t="str">
        <f>'9-A.Training Sub-Annex'!E215</f>
        <v>NDCP</v>
      </c>
      <c r="E18" s="174" t="str">
        <f>'9-A.Training Sub-Annex'!F215</f>
        <v>IDSP</v>
      </c>
      <c r="F18" s="174">
        <f>'9-A.Training Sub-Annex'!G215</f>
        <v>0</v>
      </c>
      <c r="G18" s="174">
        <f>'9-A.Training Sub-Annex'!H215</f>
        <v>0</v>
      </c>
      <c r="H18" s="174">
        <f>'9-A.Training Sub-Annex'!I215</f>
        <v>0</v>
      </c>
      <c r="I18" s="174">
        <f>'9-A.Training Sub-Annex'!J215</f>
        <v>0</v>
      </c>
      <c r="J18" s="174">
        <f>'9-A.Training Sub-Annex'!K215</f>
        <v>0</v>
      </c>
      <c r="K18" s="174">
        <f>'9-A.Training Sub-Annex'!L215</f>
        <v>0</v>
      </c>
      <c r="L18" s="174">
        <f>'9-A.Training Sub-Annex'!M215</f>
        <v>0</v>
      </c>
      <c r="M18" s="178">
        <f>'9-A.Training Sub-Annex'!N215</f>
        <v>0</v>
      </c>
      <c r="N18" s="174">
        <f>'9-A.Training Sub-Annex'!O215</f>
        <v>0</v>
      </c>
      <c r="O18" s="178">
        <f>'9-A.Training Sub-Annex'!P215</f>
        <v>0</v>
      </c>
      <c r="P18" s="103">
        <f>'9-A.Training Sub-Annex'!Q215</f>
        <v>0</v>
      </c>
      <c r="Q18" s="68"/>
      <c r="R18" s="1991"/>
    </row>
    <row r="19" spans="1:18" ht="30" x14ac:dyDescent="0.2">
      <c r="A19" s="3761"/>
      <c r="B19" s="779" t="str">
        <f>'9-A.Training Sub-Annex'!C216</f>
        <v>E.2.7</v>
      </c>
      <c r="C19" s="103" t="str">
        <f>'9-A.Training Sub-Annex'!D216</f>
        <v>ASHA &amp; MPWs, AWW &amp; Community volunteers (1 day)</v>
      </c>
      <c r="D19" s="174" t="str">
        <f>'9-A.Training Sub-Annex'!E216</f>
        <v>NDCP</v>
      </c>
      <c r="E19" s="174" t="str">
        <f>'9-A.Training Sub-Annex'!F216</f>
        <v>IDSP</v>
      </c>
      <c r="F19" s="174">
        <f>'9-A.Training Sub-Annex'!G216</f>
        <v>0</v>
      </c>
      <c r="G19" s="174">
        <f>'9-A.Training Sub-Annex'!H216</f>
        <v>0</v>
      </c>
      <c r="H19" s="174">
        <f>'9-A.Training Sub-Annex'!I216</f>
        <v>0</v>
      </c>
      <c r="I19" s="174">
        <f>'9-A.Training Sub-Annex'!J216</f>
        <v>0</v>
      </c>
      <c r="J19" s="174">
        <f>'9-A.Training Sub-Annex'!K216</f>
        <v>0</v>
      </c>
      <c r="K19" s="174">
        <f>'9-A.Training Sub-Annex'!L216</f>
        <v>0</v>
      </c>
      <c r="L19" s="174">
        <f>'9-A.Training Sub-Annex'!M216</f>
        <v>0</v>
      </c>
      <c r="M19" s="178">
        <f>'9-A.Training Sub-Annex'!N216</f>
        <v>0</v>
      </c>
      <c r="N19" s="174">
        <f>'9-A.Training Sub-Annex'!O216</f>
        <v>0</v>
      </c>
      <c r="O19" s="178">
        <f>'9-A.Training Sub-Annex'!P216</f>
        <v>0</v>
      </c>
      <c r="P19" s="103">
        <f>'9-A.Training Sub-Annex'!Q216</f>
        <v>0</v>
      </c>
      <c r="Q19" s="68"/>
      <c r="R19" s="1991"/>
    </row>
    <row r="20" spans="1:18" ht="30" x14ac:dyDescent="0.2">
      <c r="A20" s="3761"/>
      <c r="B20" s="779" t="str">
        <f>'9-A.Training Sub-Annex'!C217</f>
        <v>E.2.8</v>
      </c>
      <c r="C20" s="103" t="str">
        <f>'9-A.Training Sub-Annex'!D217</f>
        <v>One day training for Data entry and analysis for Block Health Team (including Block Programme Manager)</v>
      </c>
      <c r="D20" s="174" t="str">
        <f>'9-A.Training Sub-Annex'!E217</f>
        <v>NDCP</v>
      </c>
      <c r="E20" s="174" t="str">
        <f>'9-A.Training Sub-Annex'!F217</f>
        <v>IDSP</v>
      </c>
      <c r="F20" s="174">
        <f>'9-A.Training Sub-Annex'!G217</f>
        <v>0</v>
      </c>
      <c r="G20" s="174">
        <f>'9-A.Training Sub-Annex'!H217</f>
        <v>0</v>
      </c>
      <c r="H20" s="174">
        <f>'9-A.Training Sub-Annex'!I217</f>
        <v>0</v>
      </c>
      <c r="I20" s="174">
        <f>'9-A.Training Sub-Annex'!J217</f>
        <v>0</v>
      </c>
      <c r="J20" s="174">
        <f>'9-A.Training Sub-Annex'!K217</f>
        <v>0</v>
      </c>
      <c r="K20" s="174">
        <f>'9-A.Training Sub-Annex'!L217</f>
        <v>0</v>
      </c>
      <c r="L20" s="174">
        <f>'9-A.Training Sub-Annex'!M217</f>
        <v>0</v>
      </c>
      <c r="M20" s="178">
        <f>'9-A.Training Sub-Annex'!N217</f>
        <v>0</v>
      </c>
      <c r="N20" s="174">
        <f>'9-A.Training Sub-Annex'!O217</f>
        <v>0</v>
      </c>
      <c r="O20" s="178">
        <f>'9-A.Training Sub-Annex'!P217</f>
        <v>0</v>
      </c>
      <c r="P20" s="103">
        <f>'9-A.Training Sub-Annex'!Q217</f>
        <v>0</v>
      </c>
      <c r="Q20" s="68"/>
      <c r="R20" s="1991"/>
    </row>
    <row r="21" spans="1:18" ht="30" x14ac:dyDescent="0.2">
      <c r="A21" s="3761"/>
      <c r="B21" s="779" t="str">
        <f>'9-A.Training Sub-Annex'!C218</f>
        <v>E.2.10</v>
      </c>
      <c r="C21" s="103" t="str">
        <f>'9-A.Training Sub-Annex'!D218</f>
        <v>Any other (please specify)</v>
      </c>
      <c r="D21" s="174" t="str">
        <f>'9-A.Training Sub-Annex'!E218</f>
        <v>NDCP</v>
      </c>
      <c r="E21" s="174" t="str">
        <f>'9-A.Training Sub-Annex'!F218</f>
        <v>IDSP</v>
      </c>
      <c r="F21" s="174">
        <f>'9-A.Training Sub-Annex'!G218</f>
        <v>0</v>
      </c>
      <c r="G21" s="174">
        <f>'9-A.Training Sub-Annex'!H218</f>
        <v>0</v>
      </c>
      <c r="H21" s="174">
        <f>'9-A.Training Sub-Annex'!I218</f>
        <v>0</v>
      </c>
      <c r="I21" s="174">
        <f>'9-A.Training Sub-Annex'!J218</f>
        <v>0</v>
      </c>
      <c r="J21" s="174">
        <f>'9-A.Training Sub-Annex'!K218</f>
        <v>0</v>
      </c>
      <c r="K21" s="174">
        <f>'9-A.Training Sub-Annex'!L218</f>
        <v>0</v>
      </c>
      <c r="L21" s="174">
        <f>'9-A.Training Sub-Annex'!M218</f>
        <v>0</v>
      </c>
      <c r="M21" s="178">
        <f>'9-A.Training Sub-Annex'!N218</f>
        <v>0</v>
      </c>
      <c r="N21" s="174">
        <f>'9-A.Training Sub-Annex'!O218</f>
        <v>0</v>
      </c>
      <c r="O21" s="178">
        <f>'9-A.Training Sub-Annex'!P218</f>
        <v>0</v>
      </c>
      <c r="P21" s="103">
        <f>'9-A.Training Sub-Annex'!Q218</f>
        <v>0</v>
      </c>
      <c r="Q21" s="68"/>
      <c r="R21" s="1991"/>
    </row>
    <row r="22" spans="1:18" x14ac:dyDescent="0.2">
      <c r="A22" s="723">
        <f>'10.Review Research &amp; Surveillen'!A7</f>
        <v>10</v>
      </c>
      <c r="B22" s="723"/>
      <c r="C22" s="723" t="str">
        <f>'10.Review Research &amp; Surveillen'!C7</f>
        <v>Reviews, Research, Surveys and Surveillance</v>
      </c>
      <c r="D22" s="724"/>
      <c r="E22" s="724"/>
      <c r="F22" s="724"/>
      <c r="G22" s="724"/>
      <c r="H22" s="528"/>
      <c r="I22" s="724"/>
      <c r="J22" s="528"/>
      <c r="K22" s="723"/>
      <c r="L22" s="723"/>
      <c r="M22" s="528"/>
      <c r="N22" s="2022"/>
      <c r="O22" s="1981">
        <f>SUM(O23:O26)</f>
        <v>0</v>
      </c>
      <c r="P22" s="1976"/>
      <c r="Q22" s="1989"/>
      <c r="R22" s="1990">
        <f>SUM(R23:R26)</f>
        <v>0</v>
      </c>
    </row>
    <row r="23" spans="1:18" ht="60" x14ac:dyDescent="0.2">
      <c r="A23" s="779" t="str">
        <f>'10.Review Research &amp; Surveillen'!A49</f>
        <v>10.4.2</v>
      </c>
      <c r="B23" s="779" t="str">
        <f>'10.Review Research &amp; Surveillen'!B49</f>
        <v>E.3.2</v>
      </c>
      <c r="C23" s="103" t="str">
        <f>'10.Review Research &amp; Surveillen'!C49</f>
        <v>Recurring costs on account of Consumables, kits, communication, misc. expenses etc. at each  district public health lab (applicable only for functional labs having requisite manpower)</v>
      </c>
      <c r="D23" s="174" t="str">
        <f>'10.Review Research &amp; Surveillen'!D49</f>
        <v>NDCP</v>
      </c>
      <c r="E23" s="174" t="str">
        <f>'10.Review Research &amp; Surveillen'!E49</f>
        <v>IDSP</v>
      </c>
      <c r="F23" s="174">
        <f>'10.Review Research &amp; Surveillen'!F49</f>
        <v>0</v>
      </c>
      <c r="G23" s="174">
        <f>'10.Review Research &amp; Surveillen'!G49</f>
        <v>0</v>
      </c>
      <c r="H23" s="174">
        <f>'10.Review Research &amp; Surveillen'!H49</f>
        <v>0</v>
      </c>
      <c r="I23" s="174">
        <f>'10.Review Research &amp; Surveillen'!I49</f>
        <v>0</v>
      </c>
      <c r="J23" s="174">
        <f>'10.Review Research &amp; Surveillen'!J49</f>
        <v>0</v>
      </c>
      <c r="K23" s="174">
        <f>'10.Review Research &amp; Surveillen'!K49</f>
        <v>0</v>
      </c>
      <c r="L23" s="174">
        <f>'10.Review Research &amp; Surveillen'!L49</f>
        <v>0</v>
      </c>
      <c r="M23" s="178">
        <f>'10.Review Research &amp; Surveillen'!M49</f>
        <v>0</v>
      </c>
      <c r="N23" s="174">
        <f>'10.Review Research &amp; Surveillen'!N49</f>
        <v>0</v>
      </c>
      <c r="O23" s="178">
        <f>'10.Review Research &amp; Surveillen'!O49</f>
        <v>0</v>
      </c>
      <c r="P23" s="103">
        <f>'10.Review Research &amp; Surveillen'!P49</f>
        <v>0</v>
      </c>
      <c r="Q23" s="68"/>
      <c r="R23" s="1991"/>
    </row>
    <row r="24" spans="1:18" ht="60" x14ac:dyDescent="0.2">
      <c r="A24" s="779" t="str">
        <f>'10.Review Research &amp; Surveillen'!A50</f>
        <v>10.4.3</v>
      </c>
      <c r="B24" s="779" t="str">
        <f>'10.Review Research &amp; Surveillen'!B50</f>
        <v>E.3.4</v>
      </c>
      <c r="C24" s="103" t="str">
        <f>'10.Review Research &amp; Surveillen'!C50</f>
        <v>Referral Network of laboratories (Govt. Medical College labs) Reimbursement based payment for laboratory tests (to be calculated for already approved labs in previous PIPs of States for corresponding next years)</v>
      </c>
      <c r="D24" s="174" t="str">
        <f>'10.Review Research &amp; Surveillen'!D50</f>
        <v>NDCP</v>
      </c>
      <c r="E24" s="174" t="str">
        <f>'10.Review Research &amp; Surveillen'!E50</f>
        <v>IDSP</v>
      </c>
      <c r="F24" s="174">
        <f>'10.Review Research &amp; Surveillen'!F50</f>
        <v>0</v>
      </c>
      <c r="G24" s="174">
        <f>'10.Review Research &amp; Surveillen'!G50</f>
        <v>0</v>
      </c>
      <c r="H24" s="174">
        <f>'10.Review Research &amp; Surveillen'!H50</f>
        <v>0</v>
      </c>
      <c r="I24" s="174">
        <f>'10.Review Research &amp; Surveillen'!I50</f>
        <v>0</v>
      </c>
      <c r="J24" s="174">
        <f>'10.Review Research &amp; Surveillen'!J50</f>
        <v>0</v>
      </c>
      <c r="K24" s="174">
        <f>'10.Review Research &amp; Surveillen'!K50</f>
        <v>0</v>
      </c>
      <c r="L24" s="174">
        <f>'10.Review Research &amp; Surveillen'!L50</f>
        <v>0</v>
      </c>
      <c r="M24" s="178">
        <f>'10.Review Research &amp; Surveillen'!M50</f>
        <v>0</v>
      </c>
      <c r="N24" s="174">
        <f>'10.Review Research &amp; Surveillen'!N50</f>
        <v>0</v>
      </c>
      <c r="O24" s="178">
        <f>'10.Review Research &amp; Surveillen'!O50</f>
        <v>0</v>
      </c>
      <c r="P24" s="103">
        <f>'10.Review Research &amp; Surveillen'!P50</f>
        <v>0</v>
      </c>
      <c r="Q24" s="68"/>
      <c r="R24" s="1991"/>
    </row>
    <row r="25" spans="1:18" ht="30" x14ac:dyDescent="0.2">
      <c r="A25" s="779" t="str">
        <f>'10.Review Research &amp; Surveillen'!A51</f>
        <v>10.4.4</v>
      </c>
      <c r="B25" s="779" t="str">
        <f>'10.Review Research &amp; Surveillen'!B51</f>
        <v>E.3.5</v>
      </c>
      <c r="C25" s="103" t="str">
        <f>'10.Review Research &amp; Surveillen'!C51</f>
        <v xml:space="preserve">Expenses on account of consumables, operating expenses, office expenses, transport of samples, miscellaneous etc.    </v>
      </c>
      <c r="D25" s="174" t="str">
        <f>'10.Review Research &amp; Surveillen'!D51</f>
        <v>NDCP</v>
      </c>
      <c r="E25" s="174" t="str">
        <f>'10.Review Research &amp; Surveillen'!E51</f>
        <v>IDSP</v>
      </c>
      <c r="F25" s="174">
        <f>'10.Review Research &amp; Surveillen'!F51</f>
        <v>0</v>
      </c>
      <c r="G25" s="174">
        <f>'10.Review Research &amp; Surveillen'!G51</f>
        <v>0</v>
      </c>
      <c r="H25" s="174">
        <f>'10.Review Research &amp; Surveillen'!H51</f>
        <v>0</v>
      </c>
      <c r="I25" s="174">
        <f>'10.Review Research &amp; Surveillen'!I51</f>
        <v>0</v>
      </c>
      <c r="J25" s="174">
        <f>'10.Review Research &amp; Surveillen'!J51</f>
        <v>0</v>
      </c>
      <c r="K25" s="174">
        <f>'10.Review Research &amp; Surveillen'!K51</f>
        <v>0</v>
      </c>
      <c r="L25" s="174">
        <f>'10.Review Research &amp; Surveillen'!L51</f>
        <v>0</v>
      </c>
      <c r="M25" s="178">
        <f>'10.Review Research &amp; Surveillen'!M51</f>
        <v>0</v>
      </c>
      <c r="N25" s="174">
        <f>'10.Review Research &amp; Surveillen'!N51</f>
        <v>0</v>
      </c>
      <c r="O25" s="178">
        <f>'10.Review Research &amp; Surveillen'!O51</f>
        <v>0</v>
      </c>
      <c r="P25" s="103">
        <f>'10.Review Research &amp; Surveillen'!P51</f>
        <v>0</v>
      </c>
      <c r="Q25" s="68"/>
      <c r="R25" s="1991"/>
    </row>
    <row r="26" spans="1:18" ht="30" x14ac:dyDescent="0.2">
      <c r="A26" s="779" t="str">
        <f>'10.Review Research &amp; Surveillen'!A52</f>
        <v>10.4.5</v>
      </c>
      <c r="B26" s="779" t="str">
        <f>'10.Review Research &amp; Surveillen'!B52</f>
        <v>E.5.1</v>
      </c>
      <c r="C26" s="103" t="str">
        <f>'10.Review Research &amp; Surveillen'!C52</f>
        <v>Costs on Account of newly formed districts</v>
      </c>
      <c r="D26" s="174" t="str">
        <f>'10.Review Research &amp; Surveillen'!D52</f>
        <v>NDCP</v>
      </c>
      <c r="E26" s="174" t="str">
        <f>'10.Review Research &amp; Surveillen'!E52</f>
        <v>IDSP</v>
      </c>
      <c r="F26" s="174">
        <f>'10.Review Research &amp; Surveillen'!F52</f>
        <v>0</v>
      </c>
      <c r="G26" s="174">
        <f>'10.Review Research &amp; Surveillen'!G52</f>
        <v>0</v>
      </c>
      <c r="H26" s="174">
        <f>'10.Review Research &amp; Surveillen'!H52</f>
        <v>0</v>
      </c>
      <c r="I26" s="174">
        <f>'10.Review Research &amp; Surveillen'!I52</f>
        <v>0</v>
      </c>
      <c r="J26" s="174">
        <f>'10.Review Research &amp; Surveillen'!J52</f>
        <v>0</v>
      </c>
      <c r="K26" s="174">
        <f>'10.Review Research &amp; Surveillen'!K52</f>
        <v>0</v>
      </c>
      <c r="L26" s="174">
        <f>'10.Review Research &amp; Surveillen'!L52</f>
        <v>0</v>
      </c>
      <c r="M26" s="178">
        <f>'10.Review Research &amp; Surveillen'!M52</f>
        <v>0</v>
      </c>
      <c r="N26" s="174">
        <f>'10.Review Research &amp; Surveillen'!N52</f>
        <v>0</v>
      </c>
      <c r="O26" s="178">
        <f>'10.Review Research &amp; Surveillen'!O52</f>
        <v>0</v>
      </c>
      <c r="P26" s="103">
        <f>'10.Review Research &amp; Surveillen'!P52</f>
        <v>0</v>
      </c>
      <c r="Q26" s="68"/>
      <c r="R26" s="1991"/>
    </row>
    <row r="27" spans="1:18" x14ac:dyDescent="0.2">
      <c r="A27" s="723">
        <f>'12.Printing Annex'!A7</f>
        <v>12</v>
      </c>
      <c r="B27" s="723"/>
      <c r="C27" s="723" t="str">
        <f>'12.Printing Annex'!C7</f>
        <v>Printing</v>
      </c>
      <c r="D27" s="724"/>
      <c r="E27" s="724"/>
      <c r="F27" s="724"/>
      <c r="G27" s="724"/>
      <c r="H27" s="528"/>
      <c r="I27" s="724"/>
      <c r="J27" s="528"/>
      <c r="K27" s="723"/>
      <c r="L27" s="723"/>
      <c r="M27" s="528"/>
      <c r="N27" s="2022"/>
      <c r="O27" s="1981">
        <f>O28</f>
        <v>0</v>
      </c>
      <c r="P27" s="1976"/>
      <c r="Q27" s="1989"/>
      <c r="R27" s="1990">
        <f>R28</f>
        <v>0</v>
      </c>
    </row>
    <row r="28" spans="1:18" ht="60.75" customHeight="1" x14ac:dyDescent="0.2">
      <c r="A28" s="779" t="str">
        <f>'12.Printing Annex'!A30</f>
        <v>12.3.5</v>
      </c>
      <c r="B28" s="779">
        <f>'12-A. Print Sub-Annex'!C88</f>
        <v>0</v>
      </c>
      <c r="C28" s="779" t="str">
        <f>'12-A. Print Sub-Annex'!D88</f>
        <v>Printing activities under IDSP</v>
      </c>
      <c r="D28" s="929" t="str">
        <f>'12-A. Print Sub-Annex'!E88</f>
        <v>NDCP</v>
      </c>
      <c r="E28" s="929" t="str">
        <f>'12-A. Print Sub-Annex'!F88</f>
        <v>IDSP</v>
      </c>
      <c r="F28" s="929">
        <f>'12-A. Print Sub-Annex'!G88</f>
        <v>0</v>
      </c>
      <c r="G28" s="929">
        <f>'12-A. Print Sub-Annex'!H88</f>
        <v>0</v>
      </c>
      <c r="H28" s="929">
        <f>'12-A. Print Sub-Annex'!I88</f>
        <v>0</v>
      </c>
      <c r="I28" s="929">
        <f>'12-A. Print Sub-Annex'!J88</f>
        <v>0</v>
      </c>
      <c r="J28" s="929">
        <f>'12-A. Print Sub-Annex'!K88</f>
        <v>0</v>
      </c>
      <c r="K28" s="929">
        <f>'12-A. Print Sub-Annex'!L88</f>
        <v>0</v>
      </c>
      <c r="L28" s="929">
        <f>'12-A. Print Sub-Annex'!M88</f>
        <v>0</v>
      </c>
      <c r="M28" s="1958">
        <f>'12-A. Print Sub-Annex'!N88</f>
        <v>0</v>
      </c>
      <c r="N28" s="929">
        <f>'12-A. Print Sub-Annex'!O88</f>
        <v>0</v>
      </c>
      <c r="O28" s="1958">
        <f>'12-A. Print Sub-Annex'!P88</f>
        <v>0</v>
      </c>
      <c r="P28" s="3298">
        <f>'12-A. Print Sub-Annex'!Q88</f>
        <v>0</v>
      </c>
      <c r="Q28" s="68"/>
      <c r="R28" s="1991"/>
    </row>
    <row r="29" spans="1:18" s="2031" customFormat="1" x14ac:dyDescent="0.2">
      <c r="A29" s="2000">
        <f>'16.PM Annex'!A7</f>
        <v>16</v>
      </c>
      <c r="B29" s="2000"/>
      <c r="C29" s="2000" t="str">
        <f>'16.PM Annex'!C7</f>
        <v>Programme Management</v>
      </c>
      <c r="D29" s="845"/>
      <c r="E29" s="845"/>
      <c r="F29" s="2028"/>
      <c r="G29" s="2028"/>
      <c r="H29" s="1999"/>
      <c r="I29" s="2028"/>
      <c r="J29" s="1999"/>
      <c r="K29" s="2000"/>
      <c r="L29" s="2000"/>
      <c r="M29" s="1999"/>
      <c r="N29" s="2029"/>
      <c r="O29" s="2030">
        <f>SUM(O30:O35)</f>
        <v>0</v>
      </c>
      <c r="P29" s="2000"/>
      <c r="Q29" s="2005"/>
      <c r="R29" s="2033">
        <f>SUM(R30:R35)</f>
        <v>0</v>
      </c>
    </row>
    <row r="30" spans="1:18" ht="30" x14ac:dyDescent="0.2">
      <c r="A30" s="779" t="str">
        <f>'16-A. PM sub Annex'!B37</f>
        <v>16.1.2.1.16</v>
      </c>
      <c r="B30" s="103" t="str">
        <f>'16-A. PM sub Annex'!D37</f>
        <v>E.4.2</v>
      </c>
      <c r="C30" s="103" t="str">
        <f>'16-A. PM sub Annex'!E37</f>
        <v xml:space="preserve">IDSP Meetings </v>
      </c>
      <c r="D30" s="174" t="str">
        <f>'16-A. PM sub Annex'!F37</f>
        <v>NDCP</v>
      </c>
      <c r="E30" s="174" t="str">
        <f>'16-A. PM sub Annex'!G37</f>
        <v>HRH&amp;HPIP/IDSP</v>
      </c>
      <c r="F30" s="174">
        <f>'16-A. PM sub Annex'!H37</f>
        <v>0</v>
      </c>
      <c r="G30" s="174">
        <f>'16-A. PM sub Annex'!I37</f>
        <v>0</v>
      </c>
      <c r="H30" s="174">
        <f>'16-A. PM sub Annex'!J37</f>
        <v>0</v>
      </c>
      <c r="I30" s="174">
        <f>'16-A. PM sub Annex'!K37</f>
        <v>0</v>
      </c>
      <c r="J30" s="174">
        <f>'16-A. PM sub Annex'!L37</f>
        <v>0</v>
      </c>
      <c r="K30" s="174">
        <f>'16-A. PM sub Annex'!M37</f>
        <v>0</v>
      </c>
      <c r="L30" s="174">
        <f>'16-A. PM sub Annex'!N37</f>
        <v>0</v>
      </c>
      <c r="M30" s="178">
        <f>'16-A. PM sub Annex'!O37</f>
        <v>0</v>
      </c>
      <c r="N30" s="174">
        <f>'16-A. PM sub Annex'!P37</f>
        <v>0</v>
      </c>
      <c r="O30" s="178">
        <f>'16-A. PM sub Annex'!Q37</f>
        <v>0</v>
      </c>
      <c r="P30" s="103">
        <f>'16-A. PM sub Annex'!R37</f>
        <v>0</v>
      </c>
      <c r="Q30" s="68"/>
      <c r="R30" s="1991"/>
    </row>
    <row r="31" spans="1:18" ht="45" x14ac:dyDescent="0.2">
      <c r="A31" s="779" t="str">
        <f>'16-A. PM sub Annex'!B76</f>
        <v>16.1.3.1.7</v>
      </c>
      <c r="B31" s="103" t="str">
        <f>'16-A. PM sub Annex'!D76</f>
        <v>E.4.1</v>
      </c>
      <c r="C31" s="103" t="str">
        <f>'16-A. PM sub Annex'!E76</f>
        <v xml:space="preserve">MOBILITY: Travel Cost, POL, etc. during outbreak investigations and field visits for monitoring programme activities at SSU on need basis </v>
      </c>
      <c r="D31" s="174" t="str">
        <f>'16-A. PM sub Annex'!F76</f>
        <v>NDCP</v>
      </c>
      <c r="E31" s="174" t="str">
        <f>'16-A. PM sub Annex'!G76</f>
        <v>HRH&amp;HPIP/IDSP</v>
      </c>
      <c r="F31" s="174">
        <f>'16-A. PM sub Annex'!H76</f>
        <v>0</v>
      </c>
      <c r="G31" s="174">
        <f>'16-A. PM sub Annex'!I76</f>
        <v>0</v>
      </c>
      <c r="H31" s="174">
        <f>'16-A. PM sub Annex'!J76</f>
        <v>0</v>
      </c>
      <c r="I31" s="174">
        <f>'16-A. PM sub Annex'!K76</f>
        <v>0</v>
      </c>
      <c r="J31" s="174">
        <f>'16-A. PM sub Annex'!L76</f>
        <v>0</v>
      </c>
      <c r="K31" s="174">
        <f>'16-A. PM sub Annex'!M76</f>
        <v>0</v>
      </c>
      <c r="L31" s="174">
        <f>'16-A. PM sub Annex'!N76</f>
        <v>0</v>
      </c>
      <c r="M31" s="178">
        <f>'16-A. PM sub Annex'!O76</f>
        <v>0</v>
      </c>
      <c r="N31" s="174">
        <f>'16-A. PM sub Annex'!P76</f>
        <v>0</v>
      </c>
      <c r="O31" s="178">
        <f>'16-A. PM sub Annex'!Q76</f>
        <v>0</v>
      </c>
      <c r="P31" s="103">
        <f>'16-A. PM sub Annex'!R76</f>
        <v>0</v>
      </c>
      <c r="Q31" s="68"/>
      <c r="R31" s="1991"/>
    </row>
    <row r="32" spans="1:18" ht="45" x14ac:dyDescent="0.2">
      <c r="A32" s="779" t="str">
        <f>'16-A. PM sub Annex'!B102</f>
        <v>16.1.3.3.8</v>
      </c>
      <c r="B32" s="103" t="str">
        <f>'16-A. PM sub Annex'!D102</f>
        <v>E.4.1</v>
      </c>
      <c r="C32" s="103" t="str">
        <f>'16-A. PM sub Annex'!E102</f>
        <v xml:space="preserve">MOBILITY: Travel Cost, POL, etc. during outbreak investigations and field visits for monitoring programme activities at DSU on need basis </v>
      </c>
      <c r="D32" s="174" t="str">
        <f>'16-A. PM sub Annex'!F102</f>
        <v>NDCP</v>
      </c>
      <c r="E32" s="174" t="str">
        <f>'16-A. PM sub Annex'!G102</f>
        <v>HRH&amp;HPIP/IDSP</v>
      </c>
      <c r="F32" s="174">
        <f>'16-A. PM sub Annex'!H102</f>
        <v>0</v>
      </c>
      <c r="G32" s="174">
        <f>'16-A. PM sub Annex'!I102</f>
        <v>0</v>
      </c>
      <c r="H32" s="174">
        <f>'16-A. PM sub Annex'!J102</f>
        <v>0</v>
      </c>
      <c r="I32" s="174">
        <f>'16-A. PM sub Annex'!K102</f>
        <v>0</v>
      </c>
      <c r="J32" s="174">
        <f>'16-A. PM sub Annex'!L102</f>
        <v>0</v>
      </c>
      <c r="K32" s="174">
        <f>'16-A. PM sub Annex'!M102</f>
        <v>0</v>
      </c>
      <c r="L32" s="174">
        <f>'16-A. PM sub Annex'!N102</f>
        <v>0</v>
      </c>
      <c r="M32" s="178">
        <f>'16-A. PM sub Annex'!O102</f>
        <v>0</v>
      </c>
      <c r="N32" s="174">
        <f>'16-A. PM sub Annex'!P102</f>
        <v>0</v>
      </c>
      <c r="O32" s="178">
        <f>'16-A. PM sub Annex'!Q102</f>
        <v>0</v>
      </c>
      <c r="P32" s="103">
        <f>'16-A. PM sub Annex'!R102</f>
        <v>0</v>
      </c>
      <c r="Q32" s="68"/>
      <c r="R32" s="1991"/>
    </row>
    <row r="33" spans="1:18" ht="30" x14ac:dyDescent="0.2">
      <c r="A33" s="779" t="str">
        <f>'16-A. PM sub Annex'!B122</f>
        <v>16.1.4.1.2</v>
      </c>
      <c r="B33" s="103" t="str">
        <f>'16-A. PM sub Annex'!D122</f>
        <v>B.10.6.8</v>
      </c>
      <c r="C33" s="103" t="str">
        <f>'16-A. PM sub Annex'!E122</f>
        <v>Information, Communication and Technology under IDSP</v>
      </c>
      <c r="D33" s="174" t="str">
        <f>'16-A. PM sub Annex'!F122</f>
        <v>NDCP</v>
      </c>
      <c r="E33" s="174" t="str">
        <f>'16-A. PM sub Annex'!G122</f>
        <v>HRH&amp;HPIP/IDSP</v>
      </c>
      <c r="F33" s="174">
        <f>'16-A. PM sub Annex'!H122</f>
        <v>0</v>
      </c>
      <c r="G33" s="174">
        <f>'16-A. PM sub Annex'!I122</f>
        <v>0</v>
      </c>
      <c r="H33" s="174">
        <f>'16-A. PM sub Annex'!J122</f>
        <v>0</v>
      </c>
      <c r="I33" s="174">
        <f>'16-A. PM sub Annex'!K122</f>
        <v>0</v>
      </c>
      <c r="J33" s="174">
        <f>'16-A. PM sub Annex'!L122</f>
        <v>0</v>
      </c>
      <c r="K33" s="174">
        <f>'16-A. PM sub Annex'!M122</f>
        <v>0</v>
      </c>
      <c r="L33" s="174">
        <f>'16-A. PM sub Annex'!N122</f>
        <v>0</v>
      </c>
      <c r="M33" s="178">
        <f>'16-A. PM sub Annex'!O122</f>
        <v>0</v>
      </c>
      <c r="N33" s="174">
        <f>'16-A. PM sub Annex'!P122</f>
        <v>0</v>
      </c>
      <c r="O33" s="178">
        <f>'16-A. PM sub Annex'!Q122</f>
        <v>0</v>
      </c>
      <c r="P33" s="103">
        <f>'16-A. PM sub Annex'!R122</f>
        <v>0</v>
      </c>
      <c r="Q33" s="68"/>
      <c r="R33" s="1991"/>
    </row>
    <row r="34" spans="1:18" ht="30" x14ac:dyDescent="0.2">
      <c r="A34" s="779" t="str">
        <f>'16-A. PM sub Annex'!B125</f>
        <v>16.1.4.1.5</v>
      </c>
      <c r="B34" s="103" t="str">
        <f>'16-A. PM sub Annex'!D125</f>
        <v>E.4.2</v>
      </c>
      <c r="C34" s="103" t="str">
        <f>'16-A. PM sub Annex'!E125</f>
        <v>Office expenses on telephone, fax, Broadband Expenses &amp; Other Miscellaneous Expenditures</v>
      </c>
      <c r="D34" s="174" t="str">
        <f>'16-A. PM sub Annex'!F125</f>
        <v>NDCP</v>
      </c>
      <c r="E34" s="174" t="str">
        <f>'16-A. PM sub Annex'!G125</f>
        <v>HRH&amp;HPIP/IDSP</v>
      </c>
      <c r="F34" s="174">
        <f>'16-A. PM sub Annex'!H125</f>
        <v>0</v>
      </c>
      <c r="G34" s="174">
        <f>'16-A. PM sub Annex'!I125</f>
        <v>0</v>
      </c>
      <c r="H34" s="174">
        <f>'16-A. PM sub Annex'!J125</f>
        <v>0</v>
      </c>
      <c r="I34" s="174">
        <f>'16-A. PM sub Annex'!K125</f>
        <v>0</v>
      </c>
      <c r="J34" s="174">
        <f>'16-A. PM sub Annex'!L125</f>
        <v>0</v>
      </c>
      <c r="K34" s="174">
        <f>'16-A. PM sub Annex'!M125</f>
        <v>0</v>
      </c>
      <c r="L34" s="174">
        <f>'16-A. PM sub Annex'!N125</f>
        <v>0</v>
      </c>
      <c r="M34" s="178">
        <f>'16-A. PM sub Annex'!O125</f>
        <v>0</v>
      </c>
      <c r="N34" s="174">
        <f>'16-A. PM sub Annex'!P125</f>
        <v>0</v>
      </c>
      <c r="O34" s="178">
        <f>'16-A. PM sub Annex'!Q125</f>
        <v>0</v>
      </c>
      <c r="P34" s="103">
        <f>'16-A. PM sub Annex'!R125</f>
        <v>0</v>
      </c>
      <c r="Q34" s="68"/>
      <c r="R34" s="1991"/>
    </row>
    <row r="35" spans="1:18" ht="30" x14ac:dyDescent="0.2">
      <c r="A35" s="779" t="str">
        <f>'16-A. PM sub Annex'!B154</f>
        <v>16.1.5.2.1</v>
      </c>
      <c r="B35" s="103" t="str">
        <f>'16-A. PM sub Annex'!D154</f>
        <v>E.4.2</v>
      </c>
      <c r="C35" s="103" t="str">
        <f>'16-A. PM sub Annex'!E154</f>
        <v>Minor repairs and AMC of IT/office equipment supplied under IDSP</v>
      </c>
      <c r="D35" s="174" t="str">
        <f>'16-A. PM sub Annex'!F154</f>
        <v>NDCP</v>
      </c>
      <c r="E35" s="174" t="str">
        <f>'16-A. PM sub Annex'!G154</f>
        <v>HRH&amp;HPIP/IDSP</v>
      </c>
      <c r="F35" s="174">
        <f>'16-A. PM sub Annex'!H154</f>
        <v>0</v>
      </c>
      <c r="G35" s="174">
        <f>'16-A. PM sub Annex'!I154</f>
        <v>0</v>
      </c>
      <c r="H35" s="174">
        <f>'16-A. PM sub Annex'!J154</f>
        <v>0</v>
      </c>
      <c r="I35" s="174">
        <f>'16-A. PM sub Annex'!K154</f>
        <v>0</v>
      </c>
      <c r="J35" s="174">
        <f>'16-A. PM sub Annex'!L154</f>
        <v>0</v>
      </c>
      <c r="K35" s="174">
        <f>'16-A. PM sub Annex'!M154</f>
        <v>0</v>
      </c>
      <c r="L35" s="174">
        <f>'16-A. PM sub Annex'!N154</f>
        <v>0</v>
      </c>
      <c r="M35" s="178">
        <f>'16-A. PM sub Annex'!O154</f>
        <v>0</v>
      </c>
      <c r="N35" s="174">
        <f>'16-A. PM sub Annex'!P154</f>
        <v>0</v>
      </c>
      <c r="O35" s="178">
        <f>'16-A. PM sub Annex'!Q154</f>
        <v>0</v>
      </c>
      <c r="P35" s="103">
        <f>'16-A. PM sub Annex'!R154</f>
        <v>0</v>
      </c>
      <c r="Q35" s="68"/>
      <c r="R35" s="1991"/>
    </row>
    <row r="36" spans="1:18" x14ac:dyDescent="0.2">
      <c r="Q36" s="2034"/>
      <c r="R36" s="2035"/>
    </row>
    <row r="37" spans="1:18" x14ac:dyDescent="0.2">
      <c r="A37" s="4074" t="s">
        <v>5688</v>
      </c>
      <c r="B37" s="4074"/>
      <c r="C37" s="4074"/>
      <c r="D37" s="724"/>
      <c r="E37" s="724"/>
      <c r="F37" s="724"/>
      <c r="G37" s="724"/>
      <c r="H37" s="528"/>
      <c r="I37" s="724"/>
      <c r="J37" s="528"/>
      <c r="K37" s="723"/>
      <c r="L37" s="723"/>
      <c r="M37" s="528"/>
      <c r="N37" s="2022"/>
      <c r="O37" s="1981"/>
      <c r="P37" s="1976"/>
      <c r="Q37" s="1989"/>
      <c r="R37" s="1990"/>
    </row>
    <row r="38" spans="1:18" x14ac:dyDescent="0.2">
      <c r="A38" s="779" t="str">
        <f>'NUHM-Non Metro Abst'!A11</f>
        <v>U.1.1.1.1</v>
      </c>
      <c r="B38" s="779">
        <f>'NUHM-Non Metro Abst'!B11</f>
        <v>0</v>
      </c>
      <c r="C38" s="779" t="str">
        <f>'NUHM-Non Metro Abst'!C11</f>
        <v>Support for implementation of IDSP</v>
      </c>
      <c r="D38" s="174"/>
      <c r="E38" s="779" t="str">
        <f>'NUHM-Non Metro Abst'!D11</f>
        <v>IDSP</v>
      </c>
      <c r="F38" s="779">
        <f>'NUHM-Non Metro Abst'!E11</f>
        <v>0</v>
      </c>
      <c r="G38" s="779">
        <f>'NUHM-Non Metro Abst'!F11</f>
        <v>0</v>
      </c>
      <c r="H38" s="779">
        <f>'NUHM-Non Metro Abst'!G11</f>
        <v>0</v>
      </c>
      <c r="I38" s="779">
        <f>'NUHM-Non Metro Abst'!H11</f>
        <v>0</v>
      </c>
      <c r="J38" s="779">
        <f>'NUHM-Non Metro Abst'!I11</f>
        <v>0</v>
      </c>
      <c r="K38" s="779">
        <f>'NUHM-Non Metro Abst'!J11</f>
        <v>0</v>
      </c>
      <c r="L38" s="779">
        <f>'NUHM-Non Metro Abst'!K11</f>
        <v>0</v>
      </c>
      <c r="M38" s="779">
        <f>'NUHM-Non Metro Abst'!L11</f>
        <v>0</v>
      </c>
      <c r="N38" s="779">
        <f>'NUHM-Non Metro Abst'!M11</f>
        <v>0</v>
      </c>
      <c r="O38" s="779">
        <f>'NUHM-Non Metro Abst'!N11</f>
        <v>0</v>
      </c>
      <c r="P38" s="779">
        <f>'NUHM-Non Metro Abst'!O11</f>
        <v>0</v>
      </c>
      <c r="Q38" s="68"/>
      <c r="R38" s="1991"/>
    </row>
    <row r="39" spans="1:18" x14ac:dyDescent="0.2">
      <c r="A39" s="4074" t="s">
        <v>5687</v>
      </c>
      <c r="B39" s="4074"/>
      <c r="C39" s="4074"/>
      <c r="D39" s="724"/>
      <c r="E39" s="724"/>
      <c r="F39" s="724"/>
      <c r="G39" s="724"/>
      <c r="H39" s="528"/>
      <c r="I39" s="724"/>
      <c r="J39" s="528"/>
      <c r="K39" s="723"/>
      <c r="L39" s="723"/>
      <c r="M39" s="528"/>
      <c r="N39" s="2022"/>
      <c r="O39" s="1981"/>
      <c r="P39" s="1976"/>
      <c r="Q39" s="1989"/>
      <c r="R39" s="1990"/>
    </row>
    <row r="40" spans="1:18" x14ac:dyDescent="0.2">
      <c r="A40" s="779" t="str">
        <f>'NUHM Metro Abst'!A11</f>
        <v>U.1.1.1.1</v>
      </c>
      <c r="B40" s="779">
        <f>'NUHM Metro Abst'!B11</f>
        <v>0</v>
      </c>
      <c r="C40" s="779" t="str">
        <f>'NUHM Metro Abst'!C11</f>
        <v>Support for implementation of IDSP</v>
      </c>
      <c r="D40" s="174"/>
      <c r="E40" s="779" t="str">
        <f>'NUHM Metro Abst'!D11</f>
        <v>IDSP</v>
      </c>
      <c r="F40" s="779">
        <f>'NUHM Metro Abst'!E11</f>
        <v>540000</v>
      </c>
      <c r="G40" s="779">
        <f>'NUHM Metro Abst'!F11</f>
        <v>0</v>
      </c>
      <c r="H40" s="779">
        <f>'NUHM Metro Abst'!G11</f>
        <v>135</v>
      </c>
      <c r="I40" s="779">
        <f>'NUHM Metro Abst'!H11</f>
        <v>0</v>
      </c>
      <c r="J40" s="779">
        <f>'NUHM Metro Abst'!I11</f>
        <v>0</v>
      </c>
      <c r="K40" s="779">
        <f>'NUHM Metro Abst'!J11</f>
        <v>0</v>
      </c>
      <c r="L40" s="779">
        <f>'NUHM Metro Abst'!K11</f>
        <v>0</v>
      </c>
      <c r="M40" s="779">
        <f>'NUHM Metro Abst'!L11</f>
        <v>0</v>
      </c>
      <c r="N40" s="779">
        <f>'NUHM Metro Abst'!M11</f>
        <v>0</v>
      </c>
      <c r="O40" s="779">
        <f>'NUHM Metro Abst'!N11</f>
        <v>0</v>
      </c>
      <c r="P40" s="3298">
        <f>'NUHM Metro Abst'!O11</f>
        <v>0</v>
      </c>
      <c r="Q40" s="3665"/>
      <c r="R40" s="68">
        <v>0</v>
      </c>
    </row>
  </sheetData>
  <sheetProtection sheet="1" formatCells="0" formatColumns="0" formatRows="0" autoFilter="0"/>
  <autoFilter ref="A5:M35"/>
  <mergeCells count="13">
    <mergeCell ref="A1:C1"/>
    <mergeCell ref="A4:A5"/>
    <mergeCell ref="B4:B5"/>
    <mergeCell ref="C4:C5"/>
    <mergeCell ref="D4:D5"/>
    <mergeCell ref="A37:C37"/>
    <mergeCell ref="A39:C39"/>
    <mergeCell ref="A9:A10"/>
    <mergeCell ref="A13:A21"/>
    <mergeCell ref="Q4:R4"/>
    <mergeCell ref="E4:E5"/>
    <mergeCell ref="F4:J4"/>
    <mergeCell ref="K4:P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5" tint="0.79998168889431442"/>
  </sheetPr>
  <dimension ref="A1:R139"/>
  <sheetViews>
    <sheetView zoomScale="55" zoomScaleNormal="55" workbookViewId="0">
      <pane xSplit="3" ySplit="5" topLeftCell="L120" activePane="bottomRight" state="frozen"/>
      <selection activeCell="R108" sqref="R108"/>
      <selection pane="topRight" activeCell="R108" sqref="R108"/>
      <selection pane="bottomLeft" activeCell="R108" sqref="R108"/>
      <selection pane="bottomRight" activeCell="Q131" sqref="Q131:R131"/>
    </sheetView>
  </sheetViews>
  <sheetFormatPr defaultColWidth="10.85546875" defaultRowHeight="15" x14ac:dyDescent="0.2"/>
  <cols>
    <col min="1" max="1" width="10.5703125" style="881" bestFit="1" customWidth="1"/>
    <col min="2" max="2" width="17.5703125" style="881" hidden="1" customWidth="1"/>
    <col min="3" max="3" width="60.5703125" style="881" bestFit="1" customWidth="1"/>
    <col min="4" max="4" width="5.42578125" style="835" hidden="1" customWidth="1"/>
    <col min="5" max="5" width="29.42578125" style="835" hidden="1" customWidth="1"/>
    <col min="6" max="6" width="21.85546875" style="835" hidden="1" customWidth="1"/>
    <col min="7" max="7" width="19.42578125" style="835" hidden="1" customWidth="1"/>
    <col min="8" max="8" width="16.85546875" style="956" hidden="1" customWidth="1"/>
    <col min="9" max="9" width="0" style="835" hidden="1" customWidth="1"/>
    <col min="10" max="10" width="0" style="956" hidden="1" customWidth="1"/>
    <col min="11" max="11" width="11.5703125" style="835" hidden="1" customWidth="1"/>
    <col min="12" max="12" width="11.42578125" style="835" customWidth="1"/>
    <col min="13" max="13" width="13.85546875" style="956" hidden="1" customWidth="1"/>
    <col min="14" max="14" width="10.85546875" style="835"/>
    <col min="15" max="15" width="16.5703125" style="956" customWidth="1"/>
    <col min="16" max="16" width="30.140625" style="881" hidden="1" customWidth="1"/>
    <col min="17" max="17" width="36.5703125" style="881" customWidth="1"/>
    <col min="18" max="18" width="15.5703125" style="1180" customWidth="1"/>
    <col min="19" max="16384" width="10.85546875" style="826"/>
  </cols>
  <sheetData>
    <row r="1" spans="1:18" x14ac:dyDescent="0.2">
      <c r="A1" s="4075" t="s">
        <v>2105</v>
      </c>
      <c r="B1" s="4075"/>
      <c r="C1" s="4075"/>
      <c r="D1" s="1922"/>
      <c r="E1" s="2036"/>
      <c r="F1" s="98" t="s">
        <v>3969</v>
      </c>
      <c r="G1" s="1922"/>
      <c r="H1" s="1922"/>
      <c r="I1" s="1922"/>
      <c r="J1" s="1922"/>
      <c r="K1" s="1922"/>
      <c r="L1" s="1922"/>
      <c r="M1" s="1926"/>
    </row>
    <row r="2" spans="1:18" x14ac:dyDescent="0.25">
      <c r="A2" s="1859" t="str">
        <f>HYPERLINK("#Index!F3", "Index Pg")</f>
        <v>Index Pg</v>
      </c>
      <c r="B2" s="1864"/>
      <c r="C2" s="831" t="str">
        <f>HYPERLINK("#'Budget Summary I'!A1:AL1", "Budget Summary I")</f>
        <v>Budget Summary I</v>
      </c>
      <c r="D2" s="1930"/>
      <c r="E2" s="1730" t="s">
        <v>4608</v>
      </c>
      <c r="F2" s="177">
        <f>R6+R11+R14+R32+R36+R61+R70+R89+R98+R103+R105+R108</f>
        <v>0</v>
      </c>
      <c r="G2" s="1926"/>
      <c r="H2" s="1926"/>
      <c r="I2" s="1926"/>
      <c r="J2" s="1926"/>
      <c r="K2" s="1970"/>
      <c r="L2" s="1970"/>
      <c r="M2" s="1926"/>
    </row>
    <row r="3" spans="1:18" s="828" customFormat="1" x14ac:dyDescent="0.25">
      <c r="A3" s="1863"/>
      <c r="B3" s="1864"/>
      <c r="C3" s="1937" t="str">
        <f>HYPERLINK("#'Budget Summary II'!A3:B5", "Budget Summary II")</f>
        <v>Budget Summary II</v>
      </c>
      <c r="D3" s="1930"/>
      <c r="E3" s="2009" t="s">
        <v>4609</v>
      </c>
      <c r="F3" s="725">
        <f>O6+O11+O14+O32+O36+O61+O70+O89+O98+O103+O105+O108</f>
        <v>20</v>
      </c>
      <c r="G3" s="836"/>
      <c r="H3" s="836"/>
      <c r="I3" s="836"/>
      <c r="J3" s="836"/>
      <c r="K3" s="836"/>
      <c r="L3" s="1970"/>
      <c r="M3" s="1926"/>
      <c r="N3" s="836"/>
      <c r="O3" s="2037"/>
      <c r="P3" s="2038"/>
      <c r="Q3" s="2038"/>
      <c r="R3" s="1181"/>
    </row>
    <row r="4" spans="1:18" s="835" customForma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s="1196" customFormat="1" ht="60"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897" t="s">
        <v>63</v>
      </c>
      <c r="Q5" s="899" t="s">
        <v>2540</v>
      </c>
      <c r="R5" s="900" t="s">
        <v>4671</v>
      </c>
    </row>
    <row r="6" spans="1:18" x14ac:dyDescent="0.2">
      <c r="A6" s="1997">
        <f>'1.SD Facility Based Annex'!A7</f>
        <v>1</v>
      </c>
      <c r="B6" s="1997"/>
      <c r="C6" s="1997" t="str">
        <f>'1.SD Facility Based Annex'!C7</f>
        <v>Service Delivery - Facility Based</v>
      </c>
      <c r="D6" s="1996"/>
      <c r="E6" s="1996"/>
      <c r="F6" s="2039"/>
      <c r="G6" s="2039"/>
      <c r="H6" s="1887"/>
      <c r="I6" s="2039"/>
      <c r="J6" s="969"/>
      <c r="K6" s="2039"/>
      <c r="L6" s="2039"/>
      <c r="M6" s="969"/>
      <c r="N6" s="1886"/>
      <c r="O6" s="1887">
        <f>SUM(O7:O10)</f>
        <v>0</v>
      </c>
      <c r="P6" s="1888"/>
      <c r="Q6" s="1888"/>
      <c r="R6" s="1887">
        <f>SUM(R7:R10)</f>
        <v>0</v>
      </c>
    </row>
    <row r="7" spans="1:18" ht="30" x14ac:dyDescent="0.2">
      <c r="A7" s="103" t="str">
        <f>'1.SD Facility Based Annex'!A33</f>
        <v>1.1.5.1</v>
      </c>
      <c r="B7" s="103" t="str">
        <f>'1.SD Facility Based Annex'!B33</f>
        <v>F.1.2.e</v>
      </c>
      <c r="C7" s="103" t="str">
        <f>'1.SD Facility Based Annex'!C33</f>
        <v>Dengue &amp; Chikungunya: Case management</v>
      </c>
      <c r="D7" s="103" t="str">
        <f>'1.SD Facility Based Annex'!D33</f>
        <v>NDCP</v>
      </c>
      <c r="E7" s="2002" t="str">
        <f>'1.SD Facility Based Annex'!E33</f>
        <v>NVBDCP-Dengue &amp; Chikungunya</v>
      </c>
      <c r="F7" s="2002">
        <f>'1.SD Facility Based Annex'!F33</f>
        <v>0</v>
      </c>
      <c r="G7" s="2002">
        <f>'1.SD Facility Based Annex'!G33</f>
        <v>0</v>
      </c>
      <c r="H7" s="2002">
        <f>'1.SD Facility Based Annex'!H33</f>
        <v>0</v>
      </c>
      <c r="I7" s="2002">
        <f>'1.SD Facility Based Annex'!I33</f>
        <v>0</v>
      </c>
      <c r="J7" s="2002">
        <f>'1.SD Facility Based Annex'!J33</f>
        <v>0</v>
      </c>
      <c r="K7" s="2002">
        <f>'1.SD Facility Based Annex'!K33</f>
        <v>0</v>
      </c>
      <c r="L7" s="2002">
        <f>'1.SD Facility Based Annex'!L33</f>
        <v>0</v>
      </c>
      <c r="M7" s="178">
        <f>'1.SD Facility Based Annex'!M33</f>
        <v>0</v>
      </c>
      <c r="N7" s="2002">
        <f>'1.SD Facility Based Annex'!N33</f>
        <v>0</v>
      </c>
      <c r="O7" s="178">
        <f>'1.SD Facility Based Annex'!O33</f>
        <v>0</v>
      </c>
      <c r="P7" s="103">
        <f>'1.SD Facility Based Annex'!P33</f>
        <v>0</v>
      </c>
      <c r="Q7" s="67"/>
      <c r="R7" s="679"/>
    </row>
    <row r="8" spans="1:18" ht="30" x14ac:dyDescent="0.2">
      <c r="A8" s="103" t="str">
        <f>'1.SD Facility Based Annex'!A34</f>
        <v>1.1.5.2</v>
      </c>
      <c r="B8" s="103" t="str">
        <f>'1.SD Facility Based Annex'!B34</f>
        <v>F.1.3.i</v>
      </c>
      <c r="C8" s="103" t="str">
        <f>'1.SD Facility Based Annex'!C34</f>
        <v>Acute Encephalitis Syndrome (AES)/ Japanese Encephalitis (JE): Rehabilitation Setup for selected endemic districts</v>
      </c>
      <c r="D8" s="103" t="str">
        <f>'1.SD Facility Based Annex'!D34</f>
        <v>NDCP</v>
      </c>
      <c r="E8" s="2002" t="str">
        <f>'1.SD Facility Based Annex'!E34</f>
        <v>NVBDCP-AES/JE</v>
      </c>
      <c r="F8" s="2002">
        <f>'1.SD Facility Based Annex'!F34</f>
        <v>0</v>
      </c>
      <c r="G8" s="2002">
        <f>'1.SD Facility Based Annex'!G34</f>
        <v>0</v>
      </c>
      <c r="H8" s="2002">
        <f>'1.SD Facility Based Annex'!H34</f>
        <v>0</v>
      </c>
      <c r="I8" s="2002">
        <f>'1.SD Facility Based Annex'!I34</f>
        <v>0</v>
      </c>
      <c r="J8" s="2002">
        <f>'1.SD Facility Based Annex'!J34</f>
        <v>0</v>
      </c>
      <c r="K8" s="2002">
        <f>'1.SD Facility Based Annex'!K34</f>
        <v>0</v>
      </c>
      <c r="L8" s="2002">
        <f>'1.SD Facility Based Annex'!L34</f>
        <v>0</v>
      </c>
      <c r="M8" s="178">
        <f>'1.SD Facility Based Annex'!M34</f>
        <v>0</v>
      </c>
      <c r="N8" s="2002">
        <f>'1.SD Facility Based Annex'!N34</f>
        <v>0</v>
      </c>
      <c r="O8" s="178">
        <f>'1.SD Facility Based Annex'!O34</f>
        <v>0</v>
      </c>
      <c r="P8" s="103">
        <f>'1.SD Facility Based Annex'!P34</f>
        <v>0</v>
      </c>
      <c r="Q8" s="67"/>
      <c r="R8" s="679"/>
    </row>
    <row r="9" spans="1:18" ht="30" x14ac:dyDescent="0.2">
      <c r="A9" s="103" t="str">
        <f>'1.SD Facility Based Annex'!A35</f>
        <v>1.1.5.3</v>
      </c>
      <c r="B9" s="103" t="str">
        <f>'1.SD Facility Based Annex'!B35</f>
        <v>F.1.4.a</v>
      </c>
      <c r="C9" s="103" t="str">
        <f>'1.SD Facility Based Annex'!C35</f>
        <v>Lymphatic Filariasis: Morbidity Management</v>
      </c>
      <c r="D9" s="103" t="str">
        <f>'1.SD Facility Based Annex'!D35</f>
        <v>NDCP</v>
      </c>
      <c r="E9" s="2002" t="str">
        <f>'1.SD Facility Based Annex'!E35</f>
        <v>NVBDCP-Lymphatic Filariasis</v>
      </c>
      <c r="F9" s="2002">
        <f>'1.SD Facility Based Annex'!F35</f>
        <v>0</v>
      </c>
      <c r="G9" s="2002">
        <f>'1.SD Facility Based Annex'!G35</f>
        <v>0</v>
      </c>
      <c r="H9" s="2002">
        <f>'1.SD Facility Based Annex'!H35</f>
        <v>0</v>
      </c>
      <c r="I9" s="2002">
        <f>'1.SD Facility Based Annex'!I35</f>
        <v>0</v>
      </c>
      <c r="J9" s="2002">
        <f>'1.SD Facility Based Annex'!J35</f>
        <v>0</v>
      </c>
      <c r="K9" s="2002">
        <f>'1.SD Facility Based Annex'!K35</f>
        <v>0</v>
      </c>
      <c r="L9" s="2002">
        <f>'1.SD Facility Based Annex'!L35</f>
        <v>0</v>
      </c>
      <c r="M9" s="178">
        <f>'1.SD Facility Based Annex'!M35</f>
        <v>0</v>
      </c>
      <c r="N9" s="2002">
        <f>'1.SD Facility Based Annex'!N35</f>
        <v>0</v>
      </c>
      <c r="O9" s="178">
        <f>'1.SD Facility Based Annex'!O35</f>
        <v>0</v>
      </c>
      <c r="P9" s="103">
        <f>'1.SD Facility Based Annex'!P35</f>
        <v>0</v>
      </c>
      <c r="Q9" s="67"/>
      <c r="R9" s="679"/>
    </row>
    <row r="10" spans="1:18" ht="30" x14ac:dyDescent="0.2">
      <c r="A10" s="103" t="str">
        <f>'1.SD Facility Based Annex'!A81</f>
        <v>1.2.3.3</v>
      </c>
      <c r="B10" s="103">
        <f>'1.SD Facility Based Annex'!B81</f>
        <v>0</v>
      </c>
      <c r="C10" s="103" t="str">
        <f>'1.SD Facility Based Annex'!C81</f>
        <v>Patient wage loss for VL and PKDL</v>
      </c>
      <c r="D10" s="103" t="str">
        <f>'1.SD Facility Based Annex'!D81</f>
        <v>NDCP</v>
      </c>
      <c r="E10" s="2002" t="str">
        <f>'1.SD Facility Based Annex'!E81</f>
        <v>NVBDCP- Kala-azar</v>
      </c>
      <c r="F10" s="2002">
        <f>'1.SD Facility Based Annex'!F81</f>
        <v>0</v>
      </c>
      <c r="G10" s="2002">
        <f>'1.SD Facility Based Annex'!G81</f>
        <v>0</v>
      </c>
      <c r="H10" s="2002">
        <f>'1.SD Facility Based Annex'!H81</f>
        <v>0</v>
      </c>
      <c r="I10" s="2002">
        <f>'1.SD Facility Based Annex'!I81</f>
        <v>0</v>
      </c>
      <c r="J10" s="2002">
        <f>'1.SD Facility Based Annex'!J81</f>
        <v>0</v>
      </c>
      <c r="K10" s="2002">
        <f>'1.SD Facility Based Annex'!K81</f>
        <v>0</v>
      </c>
      <c r="L10" s="2002">
        <f>'1.SD Facility Based Annex'!L81</f>
        <v>0</v>
      </c>
      <c r="M10" s="178">
        <f>'1.SD Facility Based Annex'!M81</f>
        <v>0</v>
      </c>
      <c r="N10" s="2002">
        <f>'1.SD Facility Based Annex'!N81</f>
        <v>0</v>
      </c>
      <c r="O10" s="178">
        <f>'1.SD Facility Based Annex'!O81</f>
        <v>0</v>
      </c>
      <c r="P10" s="103">
        <f>'1.SD Facility Based Annex'!P81</f>
        <v>0</v>
      </c>
      <c r="Q10" s="67"/>
      <c r="R10" s="679"/>
    </row>
    <row r="11" spans="1:18" x14ac:dyDescent="0.2">
      <c r="A11" s="1997">
        <f>'2.SD Community Based Annex'!A7</f>
        <v>2</v>
      </c>
      <c r="B11" s="1997"/>
      <c r="C11" s="1997" t="str">
        <f>'2.SD Community Based Annex'!C7</f>
        <v>Service Delivery - Community Based</v>
      </c>
      <c r="D11" s="1996"/>
      <c r="E11" s="1996"/>
      <c r="F11" s="2039"/>
      <c r="G11" s="2039"/>
      <c r="H11" s="1887"/>
      <c r="I11" s="2039"/>
      <c r="J11" s="969"/>
      <c r="K11" s="2039"/>
      <c r="L11" s="2039"/>
      <c r="M11" s="969"/>
      <c r="N11" s="1886"/>
      <c r="O11" s="1887">
        <f>SUM(O12:O13)</f>
        <v>0</v>
      </c>
      <c r="P11" s="1888"/>
      <c r="Q11" s="1908"/>
      <c r="R11" s="1909">
        <f>SUM(R12:R13)</f>
        <v>0</v>
      </c>
    </row>
    <row r="12" spans="1:18" ht="30" x14ac:dyDescent="0.2">
      <c r="A12" s="103" t="str">
        <f>'2.SD Community Based Annex'!A29</f>
        <v>2.2.10</v>
      </c>
      <c r="B12" s="103" t="str">
        <f>'2.SD Community Based Annex'!B29</f>
        <v>F.1.5.c</v>
      </c>
      <c r="C12" s="103" t="str">
        <f>'2.SD Community Based Annex'!C29</f>
        <v>Kala-azar Case search/ Camp Approach: Mobility/POL/supervision</v>
      </c>
      <c r="D12" s="2002" t="str">
        <f>'2.SD Community Based Annex'!D29</f>
        <v>NDCP</v>
      </c>
      <c r="E12" s="2002" t="str">
        <f>'2.SD Community Based Annex'!E29</f>
        <v>NVBDCP- Kala-azar</v>
      </c>
      <c r="F12" s="2002">
        <f>'2.SD Community Based Annex'!F29</f>
        <v>0</v>
      </c>
      <c r="G12" s="2002">
        <f>'2.SD Community Based Annex'!G29</f>
        <v>0</v>
      </c>
      <c r="H12" s="2002">
        <f>'2.SD Community Based Annex'!H29</f>
        <v>0</v>
      </c>
      <c r="I12" s="2002">
        <f>'2.SD Community Based Annex'!I29</f>
        <v>0</v>
      </c>
      <c r="J12" s="2002">
        <f>'2.SD Community Based Annex'!J29</f>
        <v>0</v>
      </c>
      <c r="K12" s="2002">
        <f>'2.SD Community Based Annex'!K29</f>
        <v>0</v>
      </c>
      <c r="L12" s="2002">
        <f>'2.SD Community Based Annex'!L29</f>
        <v>0</v>
      </c>
      <c r="M12" s="178">
        <f>'2.SD Community Based Annex'!M29</f>
        <v>0</v>
      </c>
      <c r="N12" s="2002">
        <f>'2.SD Community Based Annex'!N29</f>
        <v>0</v>
      </c>
      <c r="O12" s="178">
        <f>'2.SD Community Based Annex'!O29</f>
        <v>0</v>
      </c>
      <c r="P12" s="103">
        <f>'2.SD Community Based Annex'!P29</f>
        <v>0</v>
      </c>
      <c r="Q12" s="2044"/>
      <c r="R12" s="679"/>
    </row>
    <row r="13" spans="1:18" ht="45" x14ac:dyDescent="0.2">
      <c r="A13" s="103" t="str">
        <f>'2.SD Community Based Annex'!A53</f>
        <v>2.3.2.7</v>
      </c>
      <c r="B13" s="103">
        <f>'2.SD Community Based Annex'!B53</f>
        <v>0</v>
      </c>
      <c r="C13" s="103" t="str">
        <f>'2.SD Community Based Annex'!C53</f>
        <v>Special anti-malarial interventions for high risk groups, for tribal population, for hard to reach areas to control and prevent resurgence of Malaria cases</v>
      </c>
      <c r="D13" s="2002" t="str">
        <f>'2.SD Community Based Annex'!D53</f>
        <v>NDCP</v>
      </c>
      <c r="E13" s="2002" t="str">
        <f>'2.SD Community Based Annex'!E53</f>
        <v>NVBDCP-Malaria</v>
      </c>
      <c r="F13" s="2002">
        <f>'2.SD Community Based Annex'!F53</f>
        <v>0</v>
      </c>
      <c r="G13" s="2002">
        <f>'2.SD Community Based Annex'!G53</f>
        <v>0</v>
      </c>
      <c r="H13" s="2002">
        <f>'2.SD Community Based Annex'!H53</f>
        <v>0</v>
      </c>
      <c r="I13" s="2002">
        <f>'2.SD Community Based Annex'!I53</f>
        <v>0</v>
      </c>
      <c r="J13" s="2002">
        <f>'2.SD Community Based Annex'!J53</f>
        <v>0</v>
      </c>
      <c r="K13" s="2002">
        <f>'2.SD Community Based Annex'!K53</f>
        <v>0</v>
      </c>
      <c r="L13" s="2002">
        <f>'2.SD Community Based Annex'!L53</f>
        <v>0</v>
      </c>
      <c r="M13" s="178">
        <f>'2.SD Community Based Annex'!M53</f>
        <v>0</v>
      </c>
      <c r="N13" s="2002">
        <f>'2.SD Community Based Annex'!N53</f>
        <v>0</v>
      </c>
      <c r="O13" s="178">
        <f>'2.SD Community Based Annex'!O53</f>
        <v>0</v>
      </c>
      <c r="P13" s="103">
        <f>'2.SD Community Based Annex'!P53</f>
        <v>0</v>
      </c>
      <c r="Q13" s="2044"/>
      <c r="R13" s="679"/>
    </row>
    <row r="14" spans="1:18" x14ac:dyDescent="0.2">
      <c r="A14" s="1997">
        <f>'3.Community Intervention Annexn'!A7</f>
        <v>3</v>
      </c>
      <c r="B14" s="1997"/>
      <c r="C14" s="1997" t="str">
        <f>'3.Community Intervention Annexn'!C7</f>
        <v>Community Interventions</v>
      </c>
      <c r="D14" s="1996"/>
      <c r="E14" s="1996"/>
      <c r="F14" s="2039"/>
      <c r="G14" s="2039"/>
      <c r="H14" s="1887"/>
      <c r="I14" s="2039"/>
      <c r="J14" s="969"/>
      <c r="K14" s="2039"/>
      <c r="L14" s="2039"/>
      <c r="M14" s="969"/>
      <c r="N14" s="1886"/>
      <c r="O14" s="1887">
        <f>SUM(O15:O31)</f>
        <v>0</v>
      </c>
      <c r="P14" s="1888"/>
      <c r="Q14" s="1908"/>
      <c r="R14" s="1909">
        <f>SUM(R15:R31)</f>
        <v>0</v>
      </c>
    </row>
    <row r="15" spans="1:18" ht="30" x14ac:dyDescent="0.2">
      <c r="A15" s="4077" t="str">
        <f>'3.Community Intervention Annexn'!A19</f>
        <v>3.1.1.3.1</v>
      </c>
      <c r="B15" s="248" t="str">
        <f>'3-A. CI Sub-Annex'!C40</f>
        <v>F.1.1.b</v>
      </c>
      <c r="C15" s="248" t="str">
        <f>'3-A. CI Sub-Annex'!D40</f>
        <v>ASHA Incentive/ Honorarium for Malaria and LLIN distribution</v>
      </c>
      <c r="D15" s="986" t="str">
        <f>'3-A. CI Sub-Annex'!E40</f>
        <v>NDCP</v>
      </c>
      <c r="E15" s="986" t="str">
        <f>'3-A. CI Sub-Annex'!F40</f>
        <v>NVBDCP-Malaria</v>
      </c>
      <c r="F15" s="986">
        <f>'3-A. CI Sub-Annex'!G40</f>
        <v>0</v>
      </c>
      <c r="G15" s="986">
        <f>'3-A. CI Sub-Annex'!H40</f>
        <v>0</v>
      </c>
      <c r="H15" s="986">
        <f>'3-A. CI Sub-Annex'!I40</f>
        <v>0</v>
      </c>
      <c r="I15" s="986">
        <f>'3-A. CI Sub-Annex'!J40</f>
        <v>0</v>
      </c>
      <c r="J15" s="986">
        <f>'3-A. CI Sub-Annex'!K40</f>
        <v>0</v>
      </c>
      <c r="K15" s="986">
        <f>'3-A. CI Sub-Annex'!L40</f>
        <v>0</v>
      </c>
      <c r="L15" s="986">
        <f>'3-A. CI Sub-Annex'!M40</f>
        <v>0</v>
      </c>
      <c r="M15" s="939">
        <f>'3-A. CI Sub-Annex'!N40</f>
        <v>0</v>
      </c>
      <c r="N15" s="986">
        <f>'3-A. CI Sub-Annex'!O40</f>
        <v>0</v>
      </c>
      <c r="O15" s="939">
        <f>'3-A. CI Sub-Annex'!P40</f>
        <v>0</v>
      </c>
      <c r="P15" s="248">
        <f>'3-A. CI Sub-Annex'!Q40</f>
        <v>0</v>
      </c>
      <c r="Q15" s="67"/>
      <c r="R15" s="679"/>
    </row>
    <row r="16" spans="1:18" ht="30" x14ac:dyDescent="0.2">
      <c r="A16" s="4077"/>
      <c r="B16" s="248" t="str">
        <f>'3-A. CI Sub-Annex'!C41</f>
        <v>F.1.2.i</v>
      </c>
      <c r="C16" s="248" t="str">
        <f>'3-A. CI Sub-Annex'!D41</f>
        <v>ASHA Incentive for Dengue and Chikungunya</v>
      </c>
      <c r="D16" s="986" t="str">
        <f>'3-A. CI Sub-Annex'!E41</f>
        <v>NDCP</v>
      </c>
      <c r="E16" s="986" t="str">
        <f>'3-A. CI Sub-Annex'!F41</f>
        <v>NVBDCP-Dengue &amp; Chikungunya</v>
      </c>
      <c r="F16" s="986">
        <f>'3-A. CI Sub-Annex'!G41</f>
        <v>0</v>
      </c>
      <c r="G16" s="986">
        <f>'3-A. CI Sub-Annex'!H41</f>
        <v>0</v>
      </c>
      <c r="H16" s="986">
        <f>'3-A. CI Sub-Annex'!I41</f>
        <v>0</v>
      </c>
      <c r="I16" s="986">
        <f>'3-A. CI Sub-Annex'!J41</f>
        <v>0</v>
      </c>
      <c r="J16" s="986">
        <f>'3-A. CI Sub-Annex'!K41</f>
        <v>0</v>
      </c>
      <c r="K16" s="986">
        <f>'3-A. CI Sub-Annex'!L41</f>
        <v>0</v>
      </c>
      <c r="L16" s="986">
        <f>'3-A. CI Sub-Annex'!M41</f>
        <v>0</v>
      </c>
      <c r="M16" s="939">
        <f>'3-A. CI Sub-Annex'!N41</f>
        <v>0</v>
      </c>
      <c r="N16" s="986">
        <f>'3-A. CI Sub-Annex'!O41</f>
        <v>0</v>
      </c>
      <c r="O16" s="939">
        <f>'3-A. CI Sub-Annex'!P41</f>
        <v>0</v>
      </c>
      <c r="P16" s="248">
        <f>'3-A. CI Sub-Annex'!Q41</f>
        <v>0</v>
      </c>
      <c r="Q16" s="67"/>
      <c r="R16" s="679"/>
    </row>
    <row r="17" spans="1:18" ht="30" x14ac:dyDescent="0.2">
      <c r="A17" s="4077"/>
      <c r="B17" s="248" t="str">
        <f>'3-A. CI Sub-Annex'!C42</f>
        <v>F.1.3.k</v>
      </c>
      <c r="C17" s="248" t="str">
        <f>'3-A. CI Sub-Annex'!D42</f>
        <v xml:space="preserve">ASHA Incentivization for sensitizing community for AES/JE </v>
      </c>
      <c r="D17" s="986" t="str">
        <f>'3-A. CI Sub-Annex'!E42</f>
        <v>NDCP</v>
      </c>
      <c r="E17" s="986" t="str">
        <f>'3-A. CI Sub-Annex'!F42</f>
        <v>NVBDCP-AES/JE</v>
      </c>
      <c r="F17" s="986">
        <f>'3-A. CI Sub-Annex'!G42</f>
        <v>0</v>
      </c>
      <c r="G17" s="986">
        <f>'3-A. CI Sub-Annex'!H42</f>
        <v>0</v>
      </c>
      <c r="H17" s="986">
        <f>'3-A. CI Sub-Annex'!I42</f>
        <v>0</v>
      </c>
      <c r="I17" s="986">
        <f>'3-A. CI Sub-Annex'!J42</f>
        <v>0</v>
      </c>
      <c r="J17" s="986">
        <f>'3-A. CI Sub-Annex'!K42</f>
        <v>0</v>
      </c>
      <c r="K17" s="986">
        <f>'3-A. CI Sub-Annex'!L42</f>
        <v>0</v>
      </c>
      <c r="L17" s="986">
        <f>'3-A. CI Sub-Annex'!M42</f>
        <v>0</v>
      </c>
      <c r="M17" s="939">
        <f>'3-A. CI Sub-Annex'!N42</f>
        <v>0</v>
      </c>
      <c r="N17" s="986">
        <f>'3-A. CI Sub-Annex'!O42</f>
        <v>0</v>
      </c>
      <c r="O17" s="939">
        <f>'3-A. CI Sub-Annex'!P42</f>
        <v>0</v>
      </c>
      <c r="P17" s="248">
        <f>'3-A. CI Sub-Annex'!Q42</f>
        <v>0</v>
      </c>
      <c r="Q17" s="67"/>
      <c r="R17" s="679"/>
    </row>
    <row r="18" spans="1:18" ht="30" x14ac:dyDescent="0.2">
      <c r="A18" s="4077"/>
      <c r="B18" s="248" t="str">
        <f>'3-A. CI Sub-Annex'!C43</f>
        <v>F.1.3.m</v>
      </c>
      <c r="C18" s="248" t="str">
        <f>'3-A. CI Sub-Annex'!D43</f>
        <v>ASHA incentive for referral of AES/JE cases to the nearest CHC/DH/Medical College</v>
      </c>
      <c r="D18" s="986" t="str">
        <f>'3-A. CI Sub-Annex'!E43</f>
        <v>NDCP</v>
      </c>
      <c r="E18" s="986" t="str">
        <f>'3-A. CI Sub-Annex'!F43</f>
        <v>NVBDCP-AES/JE</v>
      </c>
      <c r="F18" s="986">
        <f>'3-A. CI Sub-Annex'!G43</f>
        <v>0</v>
      </c>
      <c r="G18" s="986">
        <f>'3-A. CI Sub-Annex'!H43</f>
        <v>0</v>
      </c>
      <c r="H18" s="986">
        <f>'3-A. CI Sub-Annex'!I43</f>
        <v>0</v>
      </c>
      <c r="I18" s="986">
        <f>'3-A. CI Sub-Annex'!J43</f>
        <v>0</v>
      </c>
      <c r="J18" s="986">
        <f>'3-A. CI Sub-Annex'!K43</f>
        <v>0</v>
      </c>
      <c r="K18" s="986">
        <f>'3-A. CI Sub-Annex'!L43</f>
        <v>0</v>
      </c>
      <c r="L18" s="986">
        <f>'3-A. CI Sub-Annex'!M43</f>
        <v>0</v>
      </c>
      <c r="M18" s="939">
        <f>'3-A. CI Sub-Annex'!N43</f>
        <v>0</v>
      </c>
      <c r="N18" s="986">
        <f>'3-A. CI Sub-Annex'!O43</f>
        <v>0</v>
      </c>
      <c r="O18" s="939">
        <f>'3-A. CI Sub-Annex'!P43</f>
        <v>0</v>
      </c>
      <c r="P18" s="248">
        <f>'3-A. CI Sub-Annex'!Q43</f>
        <v>0</v>
      </c>
      <c r="Q18" s="67"/>
      <c r="R18" s="679"/>
    </row>
    <row r="19" spans="1:18" ht="30" x14ac:dyDescent="0.2">
      <c r="A19" s="4077"/>
      <c r="B19" s="248" t="str">
        <f>'3-A. CI Sub-Annex'!C44</f>
        <v>F.1.4.e</v>
      </c>
      <c r="C19" s="248" t="str">
        <f>'3-A. CI Sub-Annex'!D44</f>
        <v>Honorarium  for Drug Distribution including ASHAs and supervisors involved in MDA</v>
      </c>
      <c r="D19" s="986" t="str">
        <f>'3-A. CI Sub-Annex'!E44</f>
        <v>NDCP</v>
      </c>
      <c r="E19" s="986" t="str">
        <f>'3-A. CI Sub-Annex'!F44</f>
        <v>NVBDCP-Lymphatic Filariasis</v>
      </c>
      <c r="F19" s="986">
        <f>'3-A. CI Sub-Annex'!G44</f>
        <v>0</v>
      </c>
      <c r="G19" s="986">
        <f>'3-A. CI Sub-Annex'!H44</f>
        <v>0</v>
      </c>
      <c r="H19" s="986">
        <f>'3-A. CI Sub-Annex'!I44</f>
        <v>0</v>
      </c>
      <c r="I19" s="986">
        <f>'3-A. CI Sub-Annex'!J44</f>
        <v>0</v>
      </c>
      <c r="J19" s="986">
        <f>'3-A. CI Sub-Annex'!K44</f>
        <v>0</v>
      </c>
      <c r="K19" s="986">
        <f>'3-A. CI Sub-Annex'!L44</f>
        <v>0</v>
      </c>
      <c r="L19" s="986">
        <f>'3-A. CI Sub-Annex'!M44</f>
        <v>0</v>
      </c>
      <c r="M19" s="939">
        <f>'3-A. CI Sub-Annex'!N44</f>
        <v>0</v>
      </c>
      <c r="N19" s="986">
        <f>'3-A. CI Sub-Annex'!O44</f>
        <v>0</v>
      </c>
      <c r="O19" s="939">
        <f>'3-A. CI Sub-Annex'!P44</f>
        <v>0</v>
      </c>
      <c r="P19" s="248">
        <f>'3-A. CI Sub-Annex'!Q44</f>
        <v>0</v>
      </c>
      <c r="Q19" s="67"/>
      <c r="R19" s="679"/>
    </row>
    <row r="20" spans="1:18" ht="30" x14ac:dyDescent="0.2">
      <c r="A20" s="4077"/>
      <c r="B20" s="248" t="str">
        <f>'3-A. CI Sub-Annex'!C45</f>
        <v>F.1.4.i</v>
      </c>
      <c r="C20" s="248" t="str">
        <f>'3-A. CI Sub-Annex'!D45</f>
        <v>ASHA incentive for one time line listing of Lymphoedema and Hydrocele cases in non-endemic dist.</v>
      </c>
      <c r="D20" s="986" t="str">
        <f>'3-A. CI Sub-Annex'!E45</f>
        <v>NDCP</v>
      </c>
      <c r="E20" s="986" t="str">
        <f>'3-A. CI Sub-Annex'!F45</f>
        <v>NVBDCP-Lymphatic Filariasis</v>
      </c>
      <c r="F20" s="986">
        <f>'3-A. CI Sub-Annex'!G45</f>
        <v>0</v>
      </c>
      <c r="G20" s="986">
        <f>'3-A. CI Sub-Annex'!H45</f>
        <v>0</v>
      </c>
      <c r="H20" s="986">
        <f>'3-A. CI Sub-Annex'!I45</f>
        <v>0</v>
      </c>
      <c r="I20" s="986">
        <f>'3-A. CI Sub-Annex'!J45</f>
        <v>0</v>
      </c>
      <c r="J20" s="986">
        <f>'3-A. CI Sub-Annex'!K45</f>
        <v>0</v>
      </c>
      <c r="K20" s="986">
        <f>'3-A. CI Sub-Annex'!L45</f>
        <v>0</v>
      </c>
      <c r="L20" s="986">
        <f>'3-A. CI Sub-Annex'!M45</f>
        <v>0</v>
      </c>
      <c r="M20" s="939">
        <f>'3-A. CI Sub-Annex'!N45</f>
        <v>0</v>
      </c>
      <c r="N20" s="986">
        <f>'3-A. CI Sub-Annex'!O45</f>
        <v>0</v>
      </c>
      <c r="O20" s="939">
        <f>'3-A. CI Sub-Annex'!P45</f>
        <v>0</v>
      </c>
      <c r="P20" s="248">
        <f>'3-A. CI Sub-Annex'!Q45</f>
        <v>0</v>
      </c>
      <c r="Q20" s="67"/>
      <c r="R20" s="679"/>
    </row>
    <row r="21" spans="1:18" ht="30" x14ac:dyDescent="0.2">
      <c r="A21" s="4077"/>
      <c r="B21" s="248">
        <f>'3-A. CI Sub-Annex'!C46</f>
        <v>0</v>
      </c>
      <c r="C21" s="248" t="str">
        <f>'3-A. CI Sub-Annex'!D46</f>
        <v>ASHA incentive for supporting IRS / sensitizing community to accept IRS and Referral / Ensuring treatment for Kala-azar cases</v>
      </c>
      <c r="D21" s="986" t="str">
        <f>'3-A. CI Sub-Annex'!E46</f>
        <v>NDCP</v>
      </c>
      <c r="E21" s="986" t="str">
        <f>'3-A. CI Sub-Annex'!F46</f>
        <v>NVBDCP- Kala-azar</v>
      </c>
      <c r="F21" s="986">
        <f>'3-A. CI Sub-Annex'!G46</f>
        <v>0</v>
      </c>
      <c r="G21" s="986">
        <f>'3-A. CI Sub-Annex'!H46</f>
        <v>0</v>
      </c>
      <c r="H21" s="986">
        <f>'3-A. CI Sub-Annex'!I46</f>
        <v>0</v>
      </c>
      <c r="I21" s="986">
        <f>'3-A. CI Sub-Annex'!J46</f>
        <v>0</v>
      </c>
      <c r="J21" s="986">
        <f>'3-A. CI Sub-Annex'!K46</f>
        <v>0</v>
      </c>
      <c r="K21" s="986">
        <f>'3-A. CI Sub-Annex'!L46</f>
        <v>0</v>
      </c>
      <c r="L21" s="986">
        <f>'3-A. CI Sub-Annex'!M46</f>
        <v>0</v>
      </c>
      <c r="M21" s="939">
        <f>'3-A. CI Sub-Annex'!N46</f>
        <v>0</v>
      </c>
      <c r="N21" s="986">
        <f>'3-A. CI Sub-Annex'!O46</f>
        <v>0</v>
      </c>
      <c r="O21" s="939">
        <f>'3-A. CI Sub-Annex'!P46</f>
        <v>0</v>
      </c>
      <c r="P21" s="248">
        <f>'3-A. CI Sub-Annex'!Q46</f>
        <v>0</v>
      </c>
      <c r="Q21" s="67"/>
      <c r="R21" s="679"/>
    </row>
    <row r="22" spans="1:18" ht="30" x14ac:dyDescent="0.2">
      <c r="A22" s="4078" t="str">
        <f>'3.Community Intervention Annexn'!A38</f>
        <v>3.2.2.1</v>
      </c>
      <c r="B22" s="2040" t="str">
        <f>'3-A. CI Sub-Annex'!C95</f>
        <v>F.1.1.c.i</v>
      </c>
      <c r="C22" s="2040" t="str">
        <f>'3-A. CI Sub-Annex'!D95</f>
        <v xml:space="preserve">Operational cost for Spray Wages </v>
      </c>
      <c r="D22" s="979" t="str">
        <f>'3-A. CI Sub-Annex'!E95</f>
        <v>NDCP</v>
      </c>
      <c r="E22" s="979" t="str">
        <f>'3-A. CI Sub-Annex'!F95</f>
        <v>NVBDCP- Malaria</v>
      </c>
      <c r="F22" s="979">
        <f>'3-A. CI Sub-Annex'!G95</f>
        <v>0</v>
      </c>
      <c r="G22" s="979">
        <f>'3-A. CI Sub-Annex'!H95</f>
        <v>0</v>
      </c>
      <c r="H22" s="979">
        <f>'3-A. CI Sub-Annex'!I95</f>
        <v>0</v>
      </c>
      <c r="I22" s="979">
        <f>'3-A. CI Sub-Annex'!J95</f>
        <v>0</v>
      </c>
      <c r="J22" s="979">
        <f>'3-A. CI Sub-Annex'!K95</f>
        <v>0</v>
      </c>
      <c r="K22" s="979">
        <f>'3-A. CI Sub-Annex'!L95</f>
        <v>0</v>
      </c>
      <c r="L22" s="979">
        <f>'3-A. CI Sub-Annex'!M95</f>
        <v>0</v>
      </c>
      <c r="M22" s="178">
        <f>'3-A. CI Sub-Annex'!N95</f>
        <v>0</v>
      </c>
      <c r="N22" s="979">
        <f>'3-A. CI Sub-Annex'!O95</f>
        <v>0</v>
      </c>
      <c r="O22" s="178">
        <f>'3-A. CI Sub-Annex'!P95</f>
        <v>0</v>
      </c>
      <c r="P22" s="2040">
        <f>'3-A. CI Sub-Annex'!Q95</f>
        <v>0</v>
      </c>
      <c r="Q22" s="67"/>
      <c r="R22" s="679"/>
    </row>
    <row r="23" spans="1:18" ht="30" x14ac:dyDescent="0.2">
      <c r="A23" s="4078"/>
      <c r="B23" s="2040" t="str">
        <f>'3-A. CI Sub-Annex'!C96</f>
        <v>F.1.1.c.ii</v>
      </c>
      <c r="C23" s="2040" t="str">
        <f>'3-A. CI Sub-Annex'!D96</f>
        <v>Operational cost for IRS</v>
      </c>
      <c r="D23" s="979" t="str">
        <f>'3-A. CI Sub-Annex'!E96</f>
        <v>NDCP</v>
      </c>
      <c r="E23" s="979" t="str">
        <f>'3-A. CI Sub-Annex'!F96</f>
        <v>NVBDCP- Malaria</v>
      </c>
      <c r="F23" s="979">
        <f>'3-A. CI Sub-Annex'!G96</f>
        <v>0</v>
      </c>
      <c r="G23" s="979">
        <f>'3-A. CI Sub-Annex'!H96</f>
        <v>0</v>
      </c>
      <c r="H23" s="979">
        <f>'3-A. CI Sub-Annex'!I96</f>
        <v>0</v>
      </c>
      <c r="I23" s="979">
        <f>'3-A. CI Sub-Annex'!J96</f>
        <v>0</v>
      </c>
      <c r="J23" s="979">
        <f>'3-A. CI Sub-Annex'!K96</f>
        <v>0</v>
      </c>
      <c r="K23" s="979">
        <f>'3-A. CI Sub-Annex'!L96</f>
        <v>0</v>
      </c>
      <c r="L23" s="979">
        <f>'3-A. CI Sub-Annex'!M96</f>
        <v>0</v>
      </c>
      <c r="M23" s="178">
        <f>'3-A. CI Sub-Annex'!N96</f>
        <v>0</v>
      </c>
      <c r="N23" s="979">
        <f>'3-A. CI Sub-Annex'!O96</f>
        <v>0</v>
      </c>
      <c r="O23" s="178">
        <f>'3-A. CI Sub-Annex'!P96</f>
        <v>0</v>
      </c>
      <c r="P23" s="2040">
        <f>'3-A. CI Sub-Annex'!Q96</f>
        <v>0</v>
      </c>
      <c r="Q23" s="67"/>
      <c r="R23" s="679"/>
    </row>
    <row r="24" spans="1:18" ht="30" x14ac:dyDescent="0.2">
      <c r="A24" s="4078"/>
      <c r="B24" s="2040" t="str">
        <f>'3-A. CI Sub-Annex'!C97</f>
        <v>F.1.1.c.iii</v>
      </c>
      <c r="C24" s="2040" t="str">
        <f>'3-A. CI Sub-Annex'!D97</f>
        <v>Operational cost for Impregnation  of Bed nets-  for NE states</v>
      </c>
      <c r="D24" s="979" t="str">
        <f>'3-A. CI Sub-Annex'!E97</f>
        <v>NDCP</v>
      </c>
      <c r="E24" s="979" t="str">
        <f>'3-A. CI Sub-Annex'!F97</f>
        <v>NVBDCP- Malaria</v>
      </c>
      <c r="F24" s="979">
        <f>'3-A. CI Sub-Annex'!G97</f>
        <v>0</v>
      </c>
      <c r="G24" s="979">
        <f>'3-A. CI Sub-Annex'!H97</f>
        <v>0</v>
      </c>
      <c r="H24" s="979">
        <f>'3-A. CI Sub-Annex'!I97</f>
        <v>0</v>
      </c>
      <c r="I24" s="979">
        <f>'3-A. CI Sub-Annex'!J97</f>
        <v>0</v>
      </c>
      <c r="J24" s="979">
        <f>'3-A. CI Sub-Annex'!K97</f>
        <v>0</v>
      </c>
      <c r="K24" s="979">
        <f>'3-A. CI Sub-Annex'!L97</f>
        <v>0</v>
      </c>
      <c r="L24" s="979">
        <f>'3-A. CI Sub-Annex'!M97</f>
        <v>0</v>
      </c>
      <c r="M24" s="178">
        <f>'3-A. CI Sub-Annex'!N97</f>
        <v>0</v>
      </c>
      <c r="N24" s="979">
        <f>'3-A. CI Sub-Annex'!O97</f>
        <v>0</v>
      </c>
      <c r="O24" s="178">
        <f>'3-A. CI Sub-Annex'!P97</f>
        <v>0</v>
      </c>
      <c r="P24" s="2040">
        <f>'3-A. CI Sub-Annex'!Q97</f>
        <v>0</v>
      </c>
      <c r="Q24" s="67"/>
      <c r="R24" s="679"/>
    </row>
    <row r="25" spans="1:18" ht="30" x14ac:dyDescent="0.2">
      <c r="A25" s="4078"/>
      <c r="B25" s="2040" t="str">
        <f>'3-A. CI Sub-Annex'!C98</f>
        <v>F.1.1.h</v>
      </c>
      <c r="C25" s="2040" t="str">
        <f>'3-A. CI Sub-Annex'!D98</f>
        <v>Biological and Environmental Management through VHSC</v>
      </c>
      <c r="D25" s="979" t="str">
        <f>'3-A. CI Sub-Annex'!E98</f>
        <v>NDCP</v>
      </c>
      <c r="E25" s="979" t="str">
        <f>'3-A. CI Sub-Annex'!F98</f>
        <v>NVBDCP- Malaria</v>
      </c>
      <c r="F25" s="979">
        <f>'3-A. CI Sub-Annex'!G98</f>
        <v>0</v>
      </c>
      <c r="G25" s="979">
        <f>'3-A. CI Sub-Annex'!H98</f>
        <v>0</v>
      </c>
      <c r="H25" s="979">
        <f>'3-A. CI Sub-Annex'!I98</f>
        <v>0</v>
      </c>
      <c r="I25" s="979">
        <f>'3-A. CI Sub-Annex'!J98</f>
        <v>0</v>
      </c>
      <c r="J25" s="979">
        <f>'3-A. CI Sub-Annex'!K98</f>
        <v>0</v>
      </c>
      <c r="K25" s="979">
        <f>'3-A. CI Sub-Annex'!L98</f>
        <v>0</v>
      </c>
      <c r="L25" s="979">
        <f>'3-A. CI Sub-Annex'!M98</f>
        <v>0</v>
      </c>
      <c r="M25" s="178">
        <f>'3-A. CI Sub-Annex'!N98</f>
        <v>0</v>
      </c>
      <c r="N25" s="979">
        <f>'3-A. CI Sub-Annex'!O98</f>
        <v>0</v>
      </c>
      <c r="O25" s="178">
        <f>'3-A. CI Sub-Annex'!P98</f>
        <v>0</v>
      </c>
      <c r="P25" s="2040">
        <f>'3-A. CI Sub-Annex'!Q98</f>
        <v>0</v>
      </c>
      <c r="Q25" s="67"/>
      <c r="R25" s="679"/>
    </row>
    <row r="26" spans="1:18" ht="30" x14ac:dyDescent="0.2">
      <c r="A26" s="4078"/>
      <c r="B26" s="2040" t="str">
        <f>'3-A. CI Sub-Annex'!C99</f>
        <v>F.1.1.i</v>
      </c>
      <c r="C26" s="2040" t="str">
        <f>'3-A. CI Sub-Annex'!D99</f>
        <v>Larvivorous Fish support</v>
      </c>
      <c r="D26" s="979" t="str">
        <f>'3-A. CI Sub-Annex'!E99</f>
        <v>NDCP</v>
      </c>
      <c r="E26" s="979" t="str">
        <f>'3-A. CI Sub-Annex'!F99</f>
        <v>NVBDCP- Malaria</v>
      </c>
      <c r="F26" s="979">
        <f>'3-A. CI Sub-Annex'!G99</f>
        <v>0</v>
      </c>
      <c r="G26" s="979">
        <f>'3-A. CI Sub-Annex'!H99</f>
        <v>0</v>
      </c>
      <c r="H26" s="979">
        <f>'3-A. CI Sub-Annex'!I99</f>
        <v>0</v>
      </c>
      <c r="I26" s="979">
        <f>'3-A. CI Sub-Annex'!J99</f>
        <v>0</v>
      </c>
      <c r="J26" s="979">
        <f>'3-A. CI Sub-Annex'!K99</f>
        <v>0</v>
      </c>
      <c r="K26" s="979">
        <f>'3-A. CI Sub-Annex'!L99</f>
        <v>0</v>
      </c>
      <c r="L26" s="979">
        <f>'3-A. CI Sub-Annex'!M99</f>
        <v>0</v>
      </c>
      <c r="M26" s="178">
        <f>'3-A. CI Sub-Annex'!N99</f>
        <v>0</v>
      </c>
      <c r="N26" s="979">
        <f>'3-A. CI Sub-Annex'!O99</f>
        <v>0</v>
      </c>
      <c r="O26" s="178">
        <f>'3-A. CI Sub-Annex'!P99</f>
        <v>0</v>
      </c>
      <c r="P26" s="2040">
        <f>'3-A. CI Sub-Annex'!Q99</f>
        <v>0</v>
      </c>
      <c r="Q26" s="67"/>
      <c r="R26" s="679"/>
    </row>
    <row r="27" spans="1:18" ht="30" x14ac:dyDescent="0.2">
      <c r="A27" s="4078"/>
      <c r="B27" s="2040">
        <f>'3-A. CI Sub-Annex'!C100</f>
        <v>0</v>
      </c>
      <c r="C27" s="2040" t="str">
        <f>'3-A. CI Sub-Annex'!D100</f>
        <v>Community Health Volunteers (CHVs) for inaccessible villages</v>
      </c>
      <c r="D27" s="979" t="str">
        <f>'3-A. CI Sub-Annex'!E100</f>
        <v>NDCP</v>
      </c>
      <c r="E27" s="979" t="str">
        <f>'3-A. CI Sub-Annex'!F100</f>
        <v>NVBDCP- Malaria</v>
      </c>
      <c r="F27" s="979">
        <f>'3-A. CI Sub-Annex'!G100</f>
        <v>0</v>
      </c>
      <c r="G27" s="979">
        <f>'3-A. CI Sub-Annex'!H100</f>
        <v>0</v>
      </c>
      <c r="H27" s="979">
        <f>'3-A. CI Sub-Annex'!I100</f>
        <v>0</v>
      </c>
      <c r="I27" s="979">
        <f>'3-A. CI Sub-Annex'!J100</f>
        <v>0</v>
      </c>
      <c r="J27" s="979">
        <f>'3-A. CI Sub-Annex'!K100</f>
        <v>0</v>
      </c>
      <c r="K27" s="979">
        <f>'3-A. CI Sub-Annex'!L100</f>
        <v>0</v>
      </c>
      <c r="L27" s="979">
        <f>'3-A. CI Sub-Annex'!M100</f>
        <v>0</v>
      </c>
      <c r="M27" s="178">
        <f>'3-A. CI Sub-Annex'!N100</f>
        <v>0</v>
      </c>
      <c r="N27" s="979">
        <f>'3-A. CI Sub-Annex'!O100</f>
        <v>0</v>
      </c>
      <c r="O27" s="178">
        <f>'3-A. CI Sub-Annex'!P100</f>
        <v>0</v>
      </c>
      <c r="P27" s="2040">
        <f>'3-A. CI Sub-Annex'!Q100</f>
        <v>0</v>
      </c>
      <c r="Q27" s="67"/>
      <c r="R27" s="679"/>
    </row>
    <row r="28" spans="1:18" ht="30" x14ac:dyDescent="0.2">
      <c r="A28" s="4078"/>
      <c r="B28" s="2040" t="str">
        <f>'3-A. CI Sub-Annex'!C102</f>
        <v>F.1.2.f</v>
      </c>
      <c r="C28" s="2040" t="str">
        <f>'3-A. CI Sub-Annex'!D102</f>
        <v>Dengue &amp; Chikungunya: Vector Control,  environmental management &amp; fogging machine</v>
      </c>
      <c r="D28" s="979" t="str">
        <f>'3-A. CI Sub-Annex'!E102</f>
        <v>NDCP</v>
      </c>
      <c r="E28" s="979" t="str">
        <f>'3-A. CI Sub-Annex'!F102</f>
        <v>NVBDCP-Dengue &amp; Chikungunya</v>
      </c>
      <c r="F28" s="979">
        <f>'3-A. CI Sub-Annex'!G102</f>
        <v>0</v>
      </c>
      <c r="G28" s="979">
        <f>'3-A. CI Sub-Annex'!H102</f>
        <v>0</v>
      </c>
      <c r="H28" s="979">
        <f>'3-A. CI Sub-Annex'!I102</f>
        <v>0</v>
      </c>
      <c r="I28" s="979">
        <f>'3-A. CI Sub-Annex'!J102</f>
        <v>0</v>
      </c>
      <c r="J28" s="979">
        <f>'3-A. CI Sub-Annex'!K102</f>
        <v>0</v>
      </c>
      <c r="K28" s="979">
        <f>'3-A. CI Sub-Annex'!L102</f>
        <v>0</v>
      </c>
      <c r="L28" s="979">
        <f>'3-A. CI Sub-Annex'!M102</f>
        <v>0</v>
      </c>
      <c r="M28" s="178">
        <f>'3-A. CI Sub-Annex'!N102</f>
        <v>0</v>
      </c>
      <c r="N28" s="979">
        <f>'3-A. CI Sub-Annex'!O102</f>
        <v>0</v>
      </c>
      <c r="O28" s="178">
        <f>'3-A. CI Sub-Annex'!P102</f>
        <v>0</v>
      </c>
      <c r="P28" s="2040">
        <f>'3-A. CI Sub-Annex'!Q102</f>
        <v>0</v>
      </c>
      <c r="Q28" s="67"/>
      <c r="R28" s="679"/>
    </row>
    <row r="29" spans="1:18" ht="30" x14ac:dyDescent="0.2">
      <c r="A29" s="4078"/>
      <c r="B29" s="2040" t="str">
        <f>'3-A. CI Sub-Annex'!C103</f>
        <v>F.1.3.g</v>
      </c>
      <c r="C29" s="2040" t="str">
        <f>'3-A. CI Sub-Annex'!D103</f>
        <v>Acute Encephalitis Syndrome (AES)/ Japanese Encephalitis (JE): Operational costs for malathion  fogging</v>
      </c>
      <c r="D29" s="979" t="str">
        <f>'3-A. CI Sub-Annex'!E103</f>
        <v>NDCP</v>
      </c>
      <c r="E29" s="979" t="str">
        <f>'3-A. CI Sub-Annex'!F103</f>
        <v>NVBDCP-AES/JE</v>
      </c>
      <c r="F29" s="979">
        <f>'3-A. CI Sub-Annex'!G103</f>
        <v>0</v>
      </c>
      <c r="G29" s="979">
        <f>'3-A. CI Sub-Annex'!H103</f>
        <v>0</v>
      </c>
      <c r="H29" s="979">
        <f>'3-A. CI Sub-Annex'!I103</f>
        <v>0</v>
      </c>
      <c r="I29" s="979">
        <f>'3-A. CI Sub-Annex'!J103</f>
        <v>0</v>
      </c>
      <c r="J29" s="979">
        <f>'3-A. CI Sub-Annex'!K103</f>
        <v>0</v>
      </c>
      <c r="K29" s="979">
        <f>'3-A. CI Sub-Annex'!L103</f>
        <v>0</v>
      </c>
      <c r="L29" s="979">
        <f>'3-A. CI Sub-Annex'!M103</f>
        <v>0</v>
      </c>
      <c r="M29" s="178">
        <f>'3-A. CI Sub-Annex'!N103</f>
        <v>0</v>
      </c>
      <c r="N29" s="979">
        <f>'3-A. CI Sub-Annex'!O103</f>
        <v>0</v>
      </c>
      <c r="O29" s="178">
        <f>'3-A. CI Sub-Annex'!P103</f>
        <v>0</v>
      </c>
      <c r="P29" s="2040">
        <f>'3-A. CI Sub-Annex'!Q103</f>
        <v>0</v>
      </c>
      <c r="Q29" s="67"/>
      <c r="R29" s="679"/>
    </row>
    <row r="30" spans="1:18" ht="30" x14ac:dyDescent="0.2">
      <c r="A30" s="4078"/>
      <c r="B30" s="2040" t="str">
        <f>'3-A. CI Sub-Annex'!C104</f>
        <v>F.1.5.b</v>
      </c>
      <c r="C30" s="2040" t="str">
        <f>'3-A. CI Sub-Annex'!D104</f>
        <v>Kala-azar: Operational cost for spray including spray wages</v>
      </c>
      <c r="D30" s="979" t="str">
        <f>'3-A. CI Sub-Annex'!E104</f>
        <v>NDCP</v>
      </c>
      <c r="E30" s="979" t="str">
        <f>'3-A. CI Sub-Annex'!F104</f>
        <v>NVBDCP- Kala-azar</v>
      </c>
      <c r="F30" s="979">
        <f>'3-A. CI Sub-Annex'!G104</f>
        <v>0</v>
      </c>
      <c r="G30" s="979">
        <f>'3-A. CI Sub-Annex'!H104</f>
        <v>0</v>
      </c>
      <c r="H30" s="979">
        <f>'3-A. CI Sub-Annex'!I104</f>
        <v>0</v>
      </c>
      <c r="I30" s="979">
        <f>'3-A. CI Sub-Annex'!J104</f>
        <v>0</v>
      </c>
      <c r="J30" s="979">
        <f>'3-A. CI Sub-Annex'!K104</f>
        <v>0</v>
      </c>
      <c r="K30" s="979">
        <f>'3-A. CI Sub-Annex'!L104</f>
        <v>0</v>
      </c>
      <c r="L30" s="979">
        <f>'3-A. CI Sub-Annex'!M104</f>
        <v>0</v>
      </c>
      <c r="M30" s="178">
        <f>'3-A. CI Sub-Annex'!N104</f>
        <v>0</v>
      </c>
      <c r="N30" s="979">
        <f>'3-A. CI Sub-Annex'!O104</f>
        <v>0</v>
      </c>
      <c r="O30" s="178">
        <f>'3-A. CI Sub-Annex'!P104</f>
        <v>0</v>
      </c>
      <c r="P30" s="2040">
        <f>'3-A. CI Sub-Annex'!Q104</f>
        <v>0</v>
      </c>
      <c r="Q30" s="67"/>
      <c r="R30" s="679"/>
    </row>
    <row r="31" spans="1:18" ht="30" x14ac:dyDescent="0.2">
      <c r="A31" s="4078"/>
      <c r="B31" s="2040" t="str">
        <f>'3-A. CI Sub-Annex'!C105</f>
        <v>F.1.5.e</v>
      </c>
      <c r="C31" s="2040" t="str">
        <f>'3-A. CI Sub-Annex'!D105</f>
        <v>Kala-azar: Training for spraying</v>
      </c>
      <c r="D31" s="979" t="str">
        <f>'3-A. CI Sub-Annex'!E105</f>
        <v>NDCP</v>
      </c>
      <c r="E31" s="979" t="str">
        <f>'3-A. CI Sub-Annex'!F105</f>
        <v>NVBDCP- Kala-azar</v>
      </c>
      <c r="F31" s="979">
        <f>'3-A. CI Sub-Annex'!G105</f>
        <v>0</v>
      </c>
      <c r="G31" s="979">
        <f>'3-A. CI Sub-Annex'!H105</f>
        <v>0</v>
      </c>
      <c r="H31" s="979">
        <f>'3-A. CI Sub-Annex'!I105</f>
        <v>0</v>
      </c>
      <c r="I31" s="979">
        <f>'3-A. CI Sub-Annex'!J105</f>
        <v>0</v>
      </c>
      <c r="J31" s="979">
        <f>'3-A. CI Sub-Annex'!K105</f>
        <v>0</v>
      </c>
      <c r="K31" s="979">
        <f>'3-A. CI Sub-Annex'!L105</f>
        <v>0</v>
      </c>
      <c r="L31" s="979">
        <f>'3-A. CI Sub-Annex'!M105</f>
        <v>0</v>
      </c>
      <c r="M31" s="178">
        <f>'3-A. CI Sub-Annex'!N105</f>
        <v>0</v>
      </c>
      <c r="N31" s="979">
        <f>'3-A. CI Sub-Annex'!O105</f>
        <v>0</v>
      </c>
      <c r="O31" s="178">
        <f>'3-A. CI Sub-Annex'!P105</f>
        <v>0</v>
      </c>
      <c r="P31" s="2040">
        <f>'3-A. CI Sub-Annex'!Q105</f>
        <v>0</v>
      </c>
      <c r="Q31" s="67"/>
      <c r="R31" s="679"/>
    </row>
    <row r="32" spans="1:18" x14ac:dyDescent="0.2">
      <c r="A32" s="1997">
        <f>'5.Infrastructure Annex'!A7</f>
        <v>5</v>
      </c>
      <c r="B32" s="1997"/>
      <c r="C32" s="1997" t="str">
        <f>'5.Infrastructure Annex'!C7</f>
        <v>Infrastructure</v>
      </c>
      <c r="D32" s="1996"/>
      <c r="E32" s="1996"/>
      <c r="F32" s="1996"/>
      <c r="G32" s="1996"/>
      <c r="H32" s="1996"/>
      <c r="I32" s="1996"/>
      <c r="J32" s="1996"/>
      <c r="K32" s="1996"/>
      <c r="L32" s="1996"/>
      <c r="M32" s="969"/>
      <c r="N32" s="1996"/>
      <c r="O32" s="969">
        <f>SUM(O33:O35)</f>
        <v>20</v>
      </c>
      <c r="P32" s="1997"/>
      <c r="Q32" s="1908"/>
      <c r="R32" s="132">
        <f>SUM(R33:R35)</f>
        <v>0</v>
      </c>
    </row>
    <row r="33" spans="1:18" ht="30" x14ac:dyDescent="0.2">
      <c r="A33" s="103" t="str">
        <f>'5.Infrastructure Annex'!A91</f>
        <v>5.3.11</v>
      </c>
      <c r="B33" s="103" t="str">
        <f>'5.Infrastructure Annex'!B91</f>
        <v>F.1.1.j</v>
      </c>
      <c r="C33" s="103" t="str">
        <f>'5.Infrastructure Annex'!C91</f>
        <v>Construction and maintenance of Hatcheries</v>
      </c>
      <c r="D33" s="2002" t="str">
        <f>'5.Infrastructure Annex'!D91</f>
        <v>NDCP</v>
      </c>
      <c r="E33" s="2002" t="str">
        <f>'5.Infrastructure Annex'!E91</f>
        <v>NVBDCP- Malaria</v>
      </c>
      <c r="F33" s="2002">
        <f>'5.Infrastructure Annex'!F91</f>
        <v>0</v>
      </c>
      <c r="G33" s="2002">
        <f>'5.Infrastructure Annex'!G91</f>
        <v>0</v>
      </c>
      <c r="H33" s="2002">
        <f>'5.Infrastructure Annex'!H91</f>
        <v>0</v>
      </c>
      <c r="I33" s="2002">
        <f>'5.Infrastructure Annex'!I91</f>
        <v>0</v>
      </c>
      <c r="J33" s="2002">
        <f>'5.Infrastructure Annex'!J91</f>
        <v>0</v>
      </c>
      <c r="K33" s="2002">
        <f>'5.Infrastructure Annex'!K91</f>
        <v>0</v>
      </c>
      <c r="L33" s="2002">
        <f>'5.Infrastructure Annex'!L91</f>
        <v>0</v>
      </c>
      <c r="M33" s="178">
        <f>'5.Infrastructure Annex'!M91</f>
        <v>0</v>
      </c>
      <c r="N33" s="2002">
        <f>'5.Infrastructure Annex'!N91</f>
        <v>0</v>
      </c>
      <c r="O33" s="178">
        <f>'5.Infrastructure Annex'!O91</f>
        <v>0</v>
      </c>
      <c r="P33" s="103">
        <f>'5.Infrastructure Annex'!P91</f>
        <v>0</v>
      </c>
      <c r="Q33" s="67"/>
      <c r="R33" s="679"/>
    </row>
    <row r="34" spans="1:18" ht="105" x14ac:dyDescent="0.2">
      <c r="A34" s="103" t="str">
        <f>'5.Infrastructure Annex'!A92</f>
        <v>5.3.12</v>
      </c>
      <c r="B34" s="103" t="str">
        <f>'5.Infrastructure Annex'!B92</f>
        <v>F.2.1.e</v>
      </c>
      <c r="C34" s="103" t="str">
        <f>'5.Infrastructure Annex'!C92</f>
        <v>Infrastructure (INF)</v>
      </c>
      <c r="D34" s="2002" t="str">
        <f>'5.Infrastructure Annex'!D92</f>
        <v>NDCP</v>
      </c>
      <c r="E34" s="2002" t="str">
        <f>'5.Infrastructure Annex'!E92</f>
        <v>NVBDCP - GFATM</v>
      </c>
      <c r="F34" s="2002">
        <f>'5.Infrastructure Annex'!F92</f>
        <v>0</v>
      </c>
      <c r="G34" s="2002">
        <f>'5.Infrastructure Annex'!G92</f>
        <v>0</v>
      </c>
      <c r="H34" s="2002">
        <f>'5.Infrastructure Annex'!H92</f>
        <v>0</v>
      </c>
      <c r="I34" s="2002">
        <f>'5.Infrastructure Annex'!I92</f>
        <v>0</v>
      </c>
      <c r="J34" s="2002">
        <f>'5.Infrastructure Annex'!J92</f>
        <v>0</v>
      </c>
      <c r="K34" s="2002" t="str">
        <f>'5.Infrastructure Annex'!K92</f>
        <v>Cost per centre</v>
      </c>
      <c r="L34" s="2002">
        <f>'5.Infrastructure Annex'!L92</f>
        <v>2000000</v>
      </c>
      <c r="M34" s="178">
        <f>'5.Infrastructure Annex'!M92</f>
        <v>20</v>
      </c>
      <c r="N34" s="2002">
        <f>'5.Infrastructure Annex'!N92</f>
        <v>1</v>
      </c>
      <c r="O34" s="178">
        <f>'5.Infrastructure Annex'!O92</f>
        <v>20</v>
      </c>
      <c r="P34" s="103" t="str">
        <f>'5.Infrastructure Annex'!P92</f>
        <v xml:space="preserve">New activity.
Proposed to establish a State Referral Lab for Leptospirosis in Hosur, Krishnagiri  
1. Civil Works - Rs. 20.00 Lakhs
</v>
      </c>
      <c r="Q34" s="67"/>
      <c r="R34" s="679"/>
    </row>
    <row r="35" spans="1:18" ht="30" x14ac:dyDescent="0.2">
      <c r="A35" s="103" t="str">
        <f>'5.Infrastructure Annex'!A93</f>
        <v>5.3.13</v>
      </c>
      <c r="B35" s="103" t="str">
        <f>'5.Infrastructure Annex'!B93</f>
        <v>F.1.3.j</v>
      </c>
      <c r="C35" s="103" t="str">
        <f>'5.Infrastructure Annex'!C93</f>
        <v>ICU Establishment in Endemic District</v>
      </c>
      <c r="D35" s="2002" t="str">
        <f>'5.Infrastructure Annex'!D93</f>
        <v>NDCP</v>
      </c>
      <c r="E35" s="2002" t="str">
        <f>'5.Infrastructure Annex'!E93</f>
        <v>NVBDCP-AES/JE</v>
      </c>
      <c r="F35" s="2002">
        <f>'5.Infrastructure Annex'!F93</f>
        <v>0</v>
      </c>
      <c r="G35" s="2002">
        <f>'5.Infrastructure Annex'!G93</f>
        <v>0</v>
      </c>
      <c r="H35" s="2002">
        <f>'5.Infrastructure Annex'!H93</f>
        <v>0</v>
      </c>
      <c r="I35" s="2002">
        <f>'5.Infrastructure Annex'!I93</f>
        <v>0</v>
      </c>
      <c r="J35" s="2002">
        <f>'5.Infrastructure Annex'!J93</f>
        <v>0</v>
      </c>
      <c r="K35" s="2002">
        <f>'5.Infrastructure Annex'!K93</f>
        <v>0</v>
      </c>
      <c r="L35" s="2002">
        <f>'5.Infrastructure Annex'!L93</f>
        <v>0</v>
      </c>
      <c r="M35" s="178">
        <f>'5.Infrastructure Annex'!M93</f>
        <v>0</v>
      </c>
      <c r="N35" s="2002">
        <f>'5.Infrastructure Annex'!N93</f>
        <v>0</v>
      </c>
      <c r="O35" s="178">
        <f>'5.Infrastructure Annex'!O93</f>
        <v>0</v>
      </c>
      <c r="P35" s="103">
        <f>'5.Infrastructure Annex'!P93</f>
        <v>0</v>
      </c>
      <c r="Q35" s="67"/>
      <c r="R35" s="679"/>
    </row>
    <row r="36" spans="1:18" x14ac:dyDescent="0.2">
      <c r="A36" s="1997">
        <f>'6.Procurement Annex'!A7</f>
        <v>6</v>
      </c>
      <c r="B36" s="1997"/>
      <c r="C36" s="1997" t="str">
        <f>'6.Procurement Annex'!C7</f>
        <v>Procurement</v>
      </c>
      <c r="D36" s="1996"/>
      <c r="E36" s="1996"/>
      <c r="F36" s="1996"/>
      <c r="G36" s="1996"/>
      <c r="H36" s="1996"/>
      <c r="I36" s="1996"/>
      <c r="J36" s="1996"/>
      <c r="K36" s="1996"/>
      <c r="L36" s="1996"/>
      <c r="M36" s="969"/>
      <c r="N36" s="1996"/>
      <c r="O36" s="969">
        <f>SUM(O37:O60)</f>
        <v>0</v>
      </c>
      <c r="P36" s="1997"/>
      <c r="Q36" s="1908"/>
      <c r="R36" s="132">
        <f>SUM(R37:R60)</f>
        <v>0</v>
      </c>
    </row>
    <row r="37" spans="1:18" ht="30" x14ac:dyDescent="0.2">
      <c r="A37" s="4072" t="str">
        <f>'6.Procurement Annex'!A31</f>
        <v>6.1.4.2</v>
      </c>
      <c r="B37" s="103" t="str">
        <f>'6-A. Proc. Sub-Annex'!C77</f>
        <v>F.2.1.c</v>
      </c>
      <c r="C37" s="103" t="str">
        <f>'6-A. Proc. Sub-Annex'!D77</f>
        <v>Health Products- Equipment (HPE) - GFATM</v>
      </c>
      <c r="D37" s="2002" t="str">
        <f>'6-A. Proc. Sub-Annex'!E77</f>
        <v>NDCP</v>
      </c>
      <c r="E37" s="2002" t="str">
        <f>'6-A. Proc. Sub-Annex'!F77</f>
        <v>NVBDCP - GFATM</v>
      </c>
      <c r="F37" s="2002">
        <f>'6-A. Proc. Sub-Annex'!G77</f>
        <v>0</v>
      </c>
      <c r="G37" s="2002">
        <f>'6-A. Proc. Sub-Annex'!H77</f>
        <v>0</v>
      </c>
      <c r="H37" s="2002">
        <f>'6-A. Proc. Sub-Annex'!I77</f>
        <v>0</v>
      </c>
      <c r="I37" s="2002">
        <f>'6-A. Proc. Sub-Annex'!J77</f>
        <v>0</v>
      </c>
      <c r="J37" s="2002">
        <f>'6-A. Proc. Sub-Annex'!K77</f>
        <v>0</v>
      </c>
      <c r="K37" s="2002">
        <f>'6-A. Proc. Sub-Annex'!L77</f>
        <v>0</v>
      </c>
      <c r="L37" s="2002">
        <f>'6-A. Proc. Sub-Annex'!M77</f>
        <v>0</v>
      </c>
      <c r="M37" s="178">
        <f>'6-A. Proc. Sub-Annex'!N77</f>
        <v>0</v>
      </c>
      <c r="N37" s="2002">
        <f>'6-A. Proc. Sub-Annex'!O77</f>
        <v>0</v>
      </c>
      <c r="O37" s="178">
        <f>'6-A. Proc. Sub-Annex'!P77</f>
        <v>0</v>
      </c>
      <c r="P37" s="103">
        <f>'6-A. Proc. Sub-Annex'!Q77</f>
        <v>0</v>
      </c>
      <c r="Q37" s="67"/>
      <c r="R37" s="679"/>
    </row>
    <row r="38" spans="1:18" ht="30" x14ac:dyDescent="0.2">
      <c r="A38" s="4072"/>
      <c r="B38" s="103" t="str">
        <f>'6-A. Proc. Sub-Annex'!C78</f>
        <v>F.1.3.f</v>
      </c>
      <c r="C38" s="103" t="str">
        <f>'6-A. Proc. Sub-Annex'!D78</f>
        <v>Fogging Machine</v>
      </c>
      <c r="D38" s="2002" t="str">
        <f>'6-A. Proc. Sub-Annex'!E78</f>
        <v>NDCP</v>
      </c>
      <c r="E38" s="2002" t="str">
        <f>'6-A. Proc. Sub-Annex'!F78</f>
        <v>NVBDCP - AES/JE</v>
      </c>
      <c r="F38" s="2002">
        <f>'6-A. Proc. Sub-Annex'!G78</f>
        <v>0</v>
      </c>
      <c r="G38" s="2002">
        <f>'6-A. Proc. Sub-Annex'!H78</f>
        <v>0</v>
      </c>
      <c r="H38" s="2002">
        <f>'6-A. Proc. Sub-Annex'!I78</f>
        <v>0</v>
      </c>
      <c r="I38" s="2002">
        <f>'6-A. Proc. Sub-Annex'!J78</f>
        <v>0</v>
      </c>
      <c r="J38" s="2002">
        <f>'6-A. Proc. Sub-Annex'!K78</f>
        <v>0</v>
      </c>
      <c r="K38" s="2002">
        <f>'6-A. Proc. Sub-Annex'!L78</f>
        <v>0</v>
      </c>
      <c r="L38" s="2002">
        <f>'6-A. Proc. Sub-Annex'!M78</f>
        <v>0</v>
      </c>
      <c r="M38" s="178">
        <f>'6-A. Proc. Sub-Annex'!N78</f>
        <v>0</v>
      </c>
      <c r="N38" s="2002">
        <f>'6-A. Proc. Sub-Annex'!O78</f>
        <v>0</v>
      </c>
      <c r="O38" s="178">
        <f>'6-A. Proc. Sub-Annex'!P78</f>
        <v>0</v>
      </c>
      <c r="P38" s="103">
        <f>'6-A. Proc. Sub-Annex'!Q78</f>
        <v>0</v>
      </c>
      <c r="Q38" s="67"/>
      <c r="R38" s="679"/>
    </row>
    <row r="39" spans="1:18" ht="30" x14ac:dyDescent="0.2">
      <c r="A39" s="4072"/>
      <c r="B39" s="103" t="str">
        <f>'6-A. Proc. Sub-Annex'!C79</f>
        <v>F.1.5.a</v>
      </c>
      <c r="C39" s="103" t="str">
        <f>'6-A. Proc. Sub-Annex'!D79</f>
        <v>Spray Pumps &amp; accessories</v>
      </c>
      <c r="D39" s="2002" t="str">
        <f>'6-A. Proc. Sub-Annex'!E79</f>
        <v>NDCP</v>
      </c>
      <c r="E39" s="2002" t="str">
        <f>'6-A. Proc. Sub-Annex'!F79</f>
        <v>NVBDCP - KalaAzar</v>
      </c>
      <c r="F39" s="2002">
        <f>'6-A. Proc. Sub-Annex'!G79</f>
        <v>0</v>
      </c>
      <c r="G39" s="2002">
        <f>'6-A. Proc. Sub-Annex'!H79</f>
        <v>0</v>
      </c>
      <c r="H39" s="2002">
        <f>'6-A. Proc. Sub-Annex'!I79</f>
        <v>0</v>
      </c>
      <c r="I39" s="2002">
        <f>'6-A. Proc. Sub-Annex'!J79</f>
        <v>0</v>
      </c>
      <c r="J39" s="2002">
        <f>'6-A. Proc. Sub-Annex'!K79</f>
        <v>0</v>
      </c>
      <c r="K39" s="2002">
        <f>'6-A. Proc. Sub-Annex'!L79</f>
        <v>0</v>
      </c>
      <c r="L39" s="2002">
        <f>'6-A. Proc. Sub-Annex'!M79</f>
        <v>0</v>
      </c>
      <c r="M39" s="178">
        <f>'6-A. Proc. Sub-Annex'!N79</f>
        <v>0</v>
      </c>
      <c r="N39" s="2002">
        <f>'6-A. Proc. Sub-Annex'!O79</f>
        <v>0</v>
      </c>
      <c r="O39" s="178">
        <f>'6-A. Proc. Sub-Annex'!P79</f>
        <v>0</v>
      </c>
      <c r="P39" s="103">
        <f>'6-A. Proc. Sub-Annex'!Q79</f>
        <v>0</v>
      </c>
      <c r="Q39" s="67"/>
      <c r="R39" s="679"/>
    </row>
    <row r="40" spans="1:18" ht="30" x14ac:dyDescent="0.2">
      <c r="A40" s="4072"/>
      <c r="B40" s="103" t="str">
        <f>'6-A. Proc. Sub-Annex'!C80</f>
        <v>F.2.1.f</v>
      </c>
      <c r="C40" s="103" t="str">
        <f>'6-A. Proc. Sub-Annex'!D80</f>
        <v>Non-Health Equipment (NHP) - GFATM</v>
      </c>
      <c r="D40" s="2002" t="str">
        <f>'6-A. Proc. Sub-Annex'!E80</f>
        <v>NDCP</v>
      </c>
      <c r="E40" s="2002" t="str">
        <f>'6-A. Proc. Sub-Annex'!F80</f>
        <v>NVBDCP - GFATM</v>
      </c>
      <c r="F40" s="2002">
        <f>'6-A. Proc. Sub-Annex'!G80</f>
        <v>0</v>
      </c>
      <c r="G40" s="2002">
        <f>'6-A. Proc. Sub-Annex'!H80</f>
        <v>0</v>
      </c>
      <c r="H40" s="2002">
        <f>'6-A. Proc. Sub-Annex'!I80</f>
        <v>0</v>
      </c>
      <c r="I40" s="2002">
        <f>'6-A. Proc. Sub-Annex'!J80</f>
        <v>0</v>
      </c>
      <c r="J40" s="2002">
        <f>'6-A. Proc. Sub-Annex'!K80</f>
        <v>0</v>
      </c>
      <c r="K40" s="2002">
        <f>'6-A. Proc. Sub-Annex'!L80</f>
        <v>0</v>
      </c>
      <c r="L40" s="2002">
        <f>'6-A. Proc. Sub-Annex'!M80</f>
        <v>0</v>
      </c>
      <c r="M40" s="178">
        <f>'6-A. Proc. Sub-Annex'!N80</f>
        <v>0</v>
      </c>
      <c r="N40" s="2002">
        <f>'6-A. Proc. Sub-Annex'!O80</f>
        <v>0</v>
      </c>
      <c r="O40" s="178">
        <f>'6-A. Proc. Sub-Annex'!P80</f>
        <v>0</v>
      </c>
      <c r="P40" s="103">
        <f>'6-A. Proc. Sub-Annex'!Q80</f>
        <v>0</v>
      </c>
      <c r="Q40" s="67"/>
      <c r="R40" s="679"/>
    </row>
    <row r="41" spans="1:18" ht="30" x14ac:dyDescent="0.2">
      <c r="A41" s="4072"/>
      <c r="B41" s="103"/>
      <c r="C41" s="103" t="str">
        <f>'6-A. Proc. Sub-Annex'!D81</f>
        <v>Logistic for Entomological Lab Strengthening and others under MVCR</v>
      </c>
      <c r="D41" s="2002" t="str">
        <f>'6-A. Proc. Sub-Annex'!E81</f>
        <v>NDCP</v>
      </c>
      <c r="E41" s="2002" t="str">
        <f>'6-A. Proc. Sub-Annex'!F81</f>
        <v>NVBDCP - Malaria</v>
      </c>
      <c r="F41" s="2002">
        <f>'6-A. Proc. Sub-Annex'!G81</f>
        <v>0</v>
      </c>
      <c r="G41" s="2002">
        <f>'6-A. Proc. Sub-Annex'!H81</f>
        <v>0</v>
      </c>
      <c r="H41" s="2002">
        <f>'6-A. Proc. Sub-Annex'!I81</f>
        <v>0</v>
      </c>
      <c r="I41" s="2002">
        <f>'6-A. Proc. Sub-Annex'!J81</f>
        <v>0</v>
      </c>
      <c r="J41" s="2002">
        <f>'6-A. Proc. Sub-Annex'!K81</f>
        <v>0</v>
      </c>
      <c r="K41" s="2002">
        <f>'6-A. Proc. Sub-Annex'!L81</f>
        <v>0</v>
      </c>
      <c r="L41" s="2002">
        <f>'6-A. Proc. Sub-Annex'!M81</f>
        <v>0</v>
      </c>
      <c r="M41" s="178">
        <f>'6-A. Proc. Sub-Annex'!N81</f>
        <v>0</v>
      </c>
      <c r="N41" s="2002">
        <f>'6-A. Proc. Sub-Annex'!O81</f>
        <v>0</v>
      </c>
      <c r="O41" s="178">
        <f>'6-A. Proc. Sub-Annex'!P81</f>
        <v>0</v>
      </c>
      <c r="P41" s="103">
        <f>'6-A. Proc. Sub-Annex'!Q81</f>
        <v>0</v>
      </c>
      <c r="Q41" s="67"/>
      <c r="R41" s="679"/>
    </row>
    <row r="42" spans="1:18" ht="30" x14ac:dyDescent="0.2">
      <c r="A42" s="4072"/>
      <c r="B42" s="103"/>
      <c r="C42" s="103" t="str">
        <f>'6-A. Proc. Sub-Annex'!D82</f>
        <v>Any other equipment (please specify)</v>
      </c>
      <c r="D42" s="2002" t="str">
        <f>'6-A. Proc. Sub-Annex'!E82</f>
        <v>NDCP</v>
      </c>
      <c r="E42" s="2002" t="str">
        <f>'6-A. Proc. Sub-Annex'!F82</f>
        <v>NVBDCP</v>
      </c>
      <c r="F42" s="2002">
        <f>'6-A. Proc. Sub-Annex'!G82</f>
        <v>0</v>
      </c>
      <c r="G42" s="2002">
        <f>'6-A. Proc. Sub-Annex'!H82</f>
        <v>0</v>
      </c>
      <c r="H42" s="2002">
        <f>'6-A. Proc. Sub-Annex'!I82</f>
        <v>0</v>
      </c>
      <c r="I42" s="2002">
        <f>'6-A. Proc. Sub-Annex'!J82</f>
        <v>0</v>
      </c>
      <c r="J42" s="2002">
        <f>'6-A. Proc. Sub-Annex'!K82</f>
        <v>0</v>
      </c>
      <c r="K42" s="2002">
        <f>'6-A. Proc. Sub-Annex'!L82</f>
        <v>0</v>
      </c>
      <c r="L42" s="2002">
        <f>'6-A. Proc. Sub-Annex'!M82</f>
        <v>0</v>
      </c>
      <c r="M42" s="178">
        <f>'6-A. Proc. Sub-Annex'!N82</f>
        <v>0</v>
      </c>
      <c r="N42" s="2002">
        <f>'6-A. Proc. Sub-Annex'!O82</f>
        <v>0</v>
      </c>
      <c r="O42" s="178">
        <f>'6-A. Proc. Sub-Annex'!P82</f>
        <v>0</v>
      </c>
      <c r="P42" s="103">
        <f>'6-A. Proc. Sub-Annex'!Q82</f>
        <v>0</v>
      </c>
      <c r="Q42" s="67"/>
      <c r="R42" s="679"/>
    </row>
    <row r="43" spans="1:18" ht="30" x14ac:dyDescent="0.2">
      <c r="A43" s="103" t="str">
        <f>'6.Procurement Annex'!A50</f>
        <v>6.1.6.4</v>
      </c>
      <c r="B43" s="103"/>
      <c r="C43" s="103" t="str">
        <f>'6-A. Proc. Sub-Annex'!D140</f>
        <v>Maintenance of Microscope</v>
      </c>
      <c r="D43" s="2002" t="str">
        <f>'6-A. Proc. Sub-Annex'!E140</f>
        <v>NDCP</v>
      </c>
      <c r="E43" s="2002" t="str">
        <f>'6-A. Proc. Sub-Annex'!F140</f>
        <v>NVBDCP</v>
      </c>
      <c r="F43" s="2002">
        <f>'6-A. Proc. Sub-Annex'!G140</f>
        <v>0</v>
      </c>
      <c r="G43" s="2002">
        <f>'6-A. Proc. Sub-Annex'!H140</f>
        <v>0</v>
      </c>
      <c r="H43" s="2002">
        <f>'6-A. Proc. Sub-Annex'!I140</f>
        <v>0</v>
      </c>
      <c r="I43" s="2002">
        <f>'6-A. Proc. Sub-Annex'!J140</f>
        <v>0</v>
      </c>
      <c r="J43" s="2002">
        <f>'6-A. Proc. Sub-Annex'!K140</f>
        <v>0</v>
      </c>
      <c r="K43" s="2002">
        <f>'6-A. Proc. Sub-Annex'!L140</f>
        <v>0</v>
      </c>
      <c r="L43" s="2002">
        <f>'6-A. Proc. Sub-Annex'!M140</f>
        <v>0</v>
      </c>
      <c r="M43" s="178">
        <f>'6-A. Proc. Sub-Annex'!N140</f>
        <v>0</v>
      </c>
      <c r="N43" s="2002">
        <f>'6-A. Proc. Sub-Annex'!O140</f>
        <v>0</v>
      </c>
      <c r="O43" s="178">
        <f>'6-A. Proc. Sub-Annex'!P140</f>
        <v>0</v>
      </c>
      <c r="P43" s="103">
        <f>'6-A. Proc. Sub-Annex'!Q140</f>
        <v>0</v>
      </c>
      <c r="Q43" s="67"/>
      <c r="R43" s="679"/>
    </row>
    <row r="44" spans="1:18" ht="30" x14ac:dyDescent="0.2">
      <c r="A44" s="4072" t="str">
        <f>'6.Procurement Annex'!A72</f>
        <v>6.2.3.1</v>
      </c>
      <c r="B44" s="103" t="str">
        <f>'6-A. Proc. Sub-Annex'!C215</f>
        <v>B.16.2.11.3.a</v>
      </c>
      <c r="C44" s="103" t="str">
        <f>'6-A. Proc. Sub-Annex'!D215</f>
        <v>Chloroquine phosphate tablets</v>
      </c>
      <c r="D44" s="2002" t="str">
        <f>'6-A. Proc. Sub-Annex'!E215</f>
        <v>NDCP</v>
      </c>
      <c r="E44" s="2002" t="str">
        <f>'6-A. Proc. Sub-Annex'!F215</f>
        <v>NVBDCP - Malaria</v>
      </c>
      <c r="F44" s="2002">
        <f>'6-A. Proc. Sub-Annex'!G215</f>
        <v>0</v>
      </c>
      <c r="G44" s="2002">
        <f>'6-A. Proc. Sub-Annex'!H215</f>
        <v>0</v>
      </c>
      <c r="H44" s="2002">
        <f>'6-A. Proc. Sub-Annex'!I215</f>
        <v>0</v>
      </c>
      <c r="I44" s="2002">
        <f>'6-A. Proc. Sub-Annex'!J215</f>
        <v>0</v>
      </c>
      <c r="J44" s="2002">
        <f>'6-A. Proc. Sub-Annex'!K215</f>
        <v>0</v>
      </c>
      <c r="K44" s="2002">
        <f>'6-A. Proc. Sub-Annex'!L215</f>
        <v>0</v>
      </c>
      <c r="L44" s="2002">
        <f>'6-A. Proc. Sub-Annex'!M215</f>
        <v>0</v>
      </c>
      <c r="M44" s="178">
        <f>'6-A. Proc. Sub-Annex'!N215</f>
        <v>0</v>
      </c>
      <c r="N44" s="2002">
        <f>'6-A. Proc. Sub-Annex'!O215</f>
        <v>0</v>
      </c>
      <c r="O44" s="178">
        <f>'6-A. Proc. Sub-Annex'!P215</f>
        <v>0</v>
      </c>
      <c r="P44" s="103">
        <f>'6-A. Proc. Sub-Annex'!Q215</f>
        <v>0</v>
      </c>
      <c r="Q44" s="67"/>
      <c r="R44" s="679"/>
    </row>
    <row r="45" spans="1:18" ht="30" x14ac:dyDescent="0.2">
      <c r="A45" s="4072"/>
      <c r="B45" s="103" t="str">
        <f>'6-A. Proc. Sub-Annex'!C216</f>
        <v>B.16.2.11.3.b</v>
      </c>
      <c r="C45" s="103" t="str">
        <f>'6-A. Proc. Sub-Annex'!D216</f>
        <v>Primaquine tablets 2.5 mg</v>
      </c>
      <c r="D45" s="2002" t="str">
        <f>'6-A. Proc. Sub-Annex'!E216</f>
        <v>NDCP</v>
      </c>
      <c r="E45" s="2002" t="str">
        <f>'6-A. Proc. Sub-Annex'!F216</f>
        <v>NVBDCP – Malaria</v>
      </c>
      <c r="F45" s="2002">
        <f>'6-A. Proc. Sub-Annex'!G216</f>
        <v>0</v>
      </c>
      <c r="G45" s="2002">
        <f>'6-A. Proc. Sub-Annex'!H216</f>
        <v>0</v>
      </c>
      <c r="H45" s="2002">
        <f>'6-A. Proc. Sub-Annex'!I216</f>
        <v>0</v>
      </c>
      <c r="I45" s="2002">
        <f>'6-A. Proc. Sub-Annex'!J216</f>
        <v>0</v>
      </c>
      <c r="J45" s="2002">
        <f>'6-A. Proc. Sub-Annex'!K216</f>
        <v>0</v>
      </c>
      <c r="K45" s="2002">
        <f>'6-A. Proc. Sub-Annex'!L216</f>
        <v>0</v>
      </c>
      <c r="L45" s="2002">
        <f>'6-A. Proc. Sub-Annex'!M216</f>
        <v>0</v>
      </c>
      <c r="M45" s="178">
        <f>'6-A. Proc. Sub-Annex'!N216</f>
        <v>0</v>
      </c>
      <c r="N45" s="2002">
        <f>'6-A. Proc. Sub-Annex'!O216</f>
        <v>0</v>
      </c>
      <c r="O45" s="178">
        <f>'6-A. Proc. Sub-Annex'!P216</f>
        <v>0</v>
      </c>
      <c r="P45" s="103">
        <f>'6-A. Proc. Sub-Annex'!Q216</f>
        <v>0</v>
      </c>
      <c r="Q45" s="67"/>
      <c r="R45" s="679"/>
    </row>
    <row r="46" spans="1:18" ht="30" x14ac:dyDescent="0.2">
      <c r="A46" s="4072"/>
      <c r="B46" s="103" t="str">
        <f>'6-A. Proc. Sub-Annex'!C217</f>
        <v>B.16.2.11.3.c</v>
      </c>
      <c r="C46" s="103" t="str">
        <f>'6-A. Proc. Sub-Annex'!D217</f>
        <v>Primaquine tablets 7.5 mg</v>
      </c>
      <c r="D46" s="2002" t="str">
        <f>'6-A. Proc. Sub-Annex'!E217</f>
        <v>NDCP</v>
      </c>
      <c r="E46" s="2002" t="str">
        <f>'6-A. Proc. Sub-Annex'!F217</f>
        <v>NVBDCP – Malaria</v>
      </c>
      <c r="F46" s="2002">
        <f>'6-A. Proc. Sub-Annex'!G217</f>
        <v>0</v>
      </c>
      <c r="G46" s="2002">
        <f>'6-A. Proc. Sub-Annex'!H217</f>
        <v>0</v>
      </c>
      <c r="H46" s="2002">
        <f>'6-A. Proc. Sub-Annex'!I217</f>
        <v>0</v>
      </c>
      <c r="I46" s="2002">
        <f>'6-A. Proc. Sub-Annex'!J217</f>
        <v>0</v>
      </c>
      <c r="J46" s="2002">
        <f>'6-A. Proc. Sub-Annex'!K217</f>
        <v>0</v>
      </c>
      <c r="K46" s="2002">
        <f>'6-A. Proc. Sub-Annex'!L217</f>
        <v>0</v>
      </c>
      <c r="L46" s="2002">
        <f>'6-A. Proc. Sub-Annex'!M217</f>
        <v>0</v>
      </c>
      <c r="M46" s="178">
        <f>'6-A. Proc. Sub-Annex'!N217</f>
        <v>0</v>
      </c>
      <c r="N46" s="2002">
        <f>'6-A. Proc. Sub-Annex'!O217</f>
        <v>0</v>
      </c>
      <c r="O46" s="178">
        <f>'6-A. Proc. Sub-Annex'!P217</f>
        <v>0</v>
      </c>
      <c r="P46" s="103">
        <f>'6-A. Proc. Sub-Annex'!Q217</f>
        <v>0</v>
      </c>
      <c r="Q46" s="67"/>
      <c r="R46" s="679"/>
    </row>
    <row r="47" spans="1:18" ht="30" x14ac:dyDescent="0.2">
      <c r="A47" s="4072"/>
      <c r="B47" s="103" t="str">
        <f>'6-A. Proc. Sub-Annex'!C218</f>
        <v>B.16.2.11.3.d</v>
      </c>
      <c r="C47" s="103" t="str">
        <f>'6-A. Proc. Sub-Annex'!D218</f>
        <v>Quinine sulphate tablets</v>
      </c>
      <c r="D47" s="2002" t="str">
        <f>'6-A. Proc. Sub-Annex'!E218</f>
        <v>NDCP</v>
      </c>
      <c r="E47" s="2002" t="str">
        <f>'6-A. Proc. Sub-Annex'!F218</f>
        <v>NVBDCP – Malaria</v>
      </c>
      <c r="F47" s="2002">
        <f>'6-A. Proc. Sub-Annex'!G218</f>
        <v>0</v>
      </c>
      <c r="G47" s="2002">
        <f>'6-A. Proc. Sub-Annex'!H218</f>
        <v>0</v>
      </c>
      <c r="H47" s="2002">
        <f>'6-A. Proc. Sub-Annex'!I218</f>
        <v>0</v>
      </c>
      <c r="I47" s="2002">
        <f>'6-A. Proc. Sub-Annex'!J218</f>
        <v>0</v>
      </c>
      <c r="J47" s="2002">
        <f>'6-A. Proc. Sub-Annex'!K218</f>
        <v>0</v>
      </c>
      <c r="K47" s="2002">
        <f>'6-A. Proc. Sub-Annex'!L218</f>
        <v>0</v>
      </c>
      <c r="L47" s="2002">
        <f>'6-A. Proc. Sub-Annex'!M218</f>
        <v>0</v>
      </c>
      <c r="M47" s="178">
        <f>'6-A. Proc. Sub-Annex'!N218</f>
        <v>0</v>
      </c>
      <c r="N47" s="2002">
        <f>'6-A. Proc. Sub-Annex'!O218</f>
        <v>0</v>
      </c>
      <c r="O47" s="178">
        <f>'6-A. Proc. Sub-Annex'!P218</f>
        <v>0</v>
      </c>
      <c r="P47" s="103">
        <f>'6-A. Proc. Sub-Annex'!Q218</f>
        <v>0</v>
      </c>
      <c r="Q47" s="67"/>
      <c r="R47" s="679"/>
    </row>
    <row r="48" spans="1:18" ht="30" x14ac:dyDescent="0.2">
      <c r="A48" s="4072"/>
      <c r="B48" s="103" t="str">
        <f>'6-A. Proc. Sub-Annex'!C219</f>
        <v>B.16.2.11.3.e</v>
      </c>
      <c r="C48" s="103" t="str">
        <f>'6-A. Proc. Sub-Annex'!D219</f>
        <v>Quinine Injections and Artesunate Injection</v>
      </c>
      <c r="D48" s="2002" t="str">
        <f>'6-A. Proc. Sub-Annex'!E219</f>
        <v>NDCP</v>
      </c>
      <c r="E48" s="2002" t="str">
        <f>'6-A. Proc. Sub-Annex'!F219</f>
        <v>NVBDCP – Malaria</v>
      </c>
      <c r="F48" s="2002">
        <f>'6-A. Proc. Sub-Annex'!G219</f>
        <v>0</v>
      </c>
      <c r="G48" s="2002">
        <f>'6-A. Proc. Sub-Annex'!H219</f>
        <v>0</v>
      </c>
      <c r="H48" s="2002">
        <f>'6-A. Proc. Sub-Annex'!I219</f>
        <v>0</v>
      </c>
      <c r="I48" s="2002">
        <f>'6-A. Proc. Sub-Annex'!J219</f>
        <v>0</v>
      </c>
      <c r="J48" s="2002">
        <f>'6-A. Proc. Sub-Annex'!K219</f>
        <v>0</v>
      </c>
      <c r="K48" s="2002">
        <f>'6-A. Proc. Sub-Annex'!L219</f>
        <v>0</v>
      </c>
      <c r="L48" s="2002">
        <f>'6-A. Proc. Sub-Annex'!M219</f>
        <v>0</v>
      </c>
      <c r="M48" s="178">
        <f>'6-A. Proc. Sub-Annex'!N219</f>
        <v>0</v>
      </c>
      <c r="N48" s="2002">
        <f>'6-A. Proc. Sub-Annex'!O219</f>
        <v>0</v>
      </c>
      <c r="O48" s="178">
        <f>'6-A. Proc. Sub-Annex'!P219</f>
        <v>0</v>
      </c>
      <c r="P48" s="103">
        <f>'6-A. Proc. Sub-Annex'!Q219</f>
        <v>0</v>
      </c>
      <c r="Q48" s="67"/>
      <c r="R48" s="679"/>
    </row>
    <row r="49" spans="1:18" ht="30" x14ac:dyDescent="0.2">
      <c r="A49" s="4072"/>
      <c r="B49" s="103" t="str">
        <f>'6-A. Proc. Sub-Annex'!C220</f>
        <v>B.16.2.11.3.f</v>
      </c>
      <c r="C49" s="103" t="str">
        <f>'6-A. Proc. Sub-Annex'!D220</f>
        <v>DEC 100 mg tablets</v>
      </c>
      <c r="D49" s="2002" t="str">
        <f>'6-A. Proc. Sub-Annex'!E220</f>
        <v>NDCP</v>
      </c>
      <c r="E49" s="2002" t="str">
        <f>'6-A. Proc. Sub-Annex'!F220</f>
        <v>NVBDCP-Lymphatic Filariasis</v>
      </c>
      <c r="F49" s="2002">
        <f>'6-A. Proc. Sub-Annex'!G220</f>
        <v>0</v>
      </c>
      <c r="G49" s="2002">
        <f>'6-A. Proc. Sub-Annex'!H220</f>
        <v>0</v>
      </c>
      <c r="H49" s="2002">
        <f>'6-A. Proc. Sub-Annex'!I220</f>
        <v>0</v>
      </c>
      <c r="I49" s="2002">
        <f>'6-A. Proc. Sub-Annex'!J220</f>
        <v>0</v>
      </c>
      <c r="J49" s="2002">
        <f>'6-A. Proc. Sub-Annex'!K220</f>
        <v>0</v>
      </c>
      <c r="K49" s="2002">
        <f>'6-A. Proc. Sub-Annex'!L220</f>
        <v>0</v>
      </c>
      <c r="L49" s="2002">
        <f>'6-A. Proc. Sub-Annex'!M220</f>
        <v>0</v>
      </c>
      <c r="M49" s="178">
        <f>'6-A. Proc. Sub-Annex'!N220</f>
        <v>0</v>
      </c>
      <c r="N49" s="2002">
        <f>'6-A. Proc. Sub-Annex'!O220</f>
        <v>0</v>
      </c>
      <c r="O49" s="178">
        <f>'6-A. Proc. Sub-Annex'!P220</f>
        <v>0</v>
      </c>
      <c r="P49" s="103">
        <f>'6-A. Proc. Sub-Annex'!Q220</f>
        <v>0</v>
      </c>
      <c r="Q49" s="67"/>
      <c r="R49" s="679"/>
    </row>
    <row r="50" spans="1:18" ht="30" x14ac:dyDescent="0.2">
      <c r="A50" s="4072"/>
      <c r="B50" s="103" t="str">
        <f>'6-A. Proc. Sub-Annex'!C221</f>
        <v>B.16.2.11.3.g</v>
      </c>
      <c r="C50" s="103" t="str">
        <f>'6-A. Proc. Sub-Annex'!D221</f>
        <v>Albendazole 400 mg tablets</v>
      </c>
      <c r="D50" s="2002" t="str">
        <f>'6-A. Proc. Sub-Annex'!E221</f>
        <v>NDCP</v>
      </c>
      <c r="E50" s="2002" t="str">
        <f>'6-A. Proc. Sub-Annex'!F221</f>
        <v>NVBDCP-Lymphatic Filariasis</v>
      </c>
      <c r="F50" s="2002">
        <f>'6-A. Proc. Sub-Annex'!G221</f>
        <v>0</v>
      </c>
      <c r="G50" s="2002">
        <f>'6-A. Proc. Sub-Annex'!H221</f>
        <v>0</v>
      </c>
      <c r="H50" s="2002">
        <f>'6-A. Proc. Sub-Annex'!I221</f>
        <v>0</v>
      </c>
      <c r="I50" s="2002">
        <f>'6-A. Proc. Sub-Annex'!J221</f>
        <v>0</v>
      </c>
      <c r="J50" s="2002">
        <f>'6-A. Proc. Sub-Annex'!K221</f>
        <v>0</v>
      </c>
      <c r="K50" s="2002">
        <f>'6-A. Proc. Sub-Annex'!L221</f>
        <v>0</v>
      </c>
      <c r="L50" s="2002">
        <f>'6-A. Proc. Sub-Annex'!M221</f>
        <v>0</v>
      </c>
      <c r="M50" s="178">
        <f>'6-A. Proc. Sub-Annex'!N221</f>
        <v>0</v>
      </c>
      <c r="N50" s="2002">
        <f>'6-A. Proc. Sub-Annex'!O221</f>
        <v>0</v>
      </c>
      <c r="O50" s="178">
        <f>'6-A. Proc. Sub-Annex'!P221</f>
        <v>0</v>
      </c>
      <c r="P50" s="103">
        <f>'6-A. Proc. Sub-Annex'!Q221</f>
        <v>0</v>
      </c>
      <c r="Q50" s="67"/>
      <c r="R50" s="679"/>
    </row>
    <row r="51" spans="1:18" ht="30" x14ac:dyDescent="0.2">
      <c r="A51" s="4072"/>
      <c r="B51" s="103" t="str">
        <f>'6-A. Proc. Sub-Annex'!C222</f>
        <v>B.16.2.11.3.h</v>
      </c>
      <c r="C51" s="103" t="str">
        <f>'6-A. Proc. Sub-Annex'!D222</f>
        <v>Dengue NS1 antigen kit</v>
      </c>
      <c r="D51" s="2002" t="str">
        <f>'6-A. Proc. Sub-Annex'!E222</f>
        <v>NDCP</v>
      </c>
      <c r="E51" s="2002" t="str">
        <f>'6-A. Proc. Sub-Annex'!F222</f>
        <v>NVBDCP-Dengue &amp; Chikungunya</v>
      </c>
      <c r="F51" s="2002">
        <f>'6-A. Proc. Sub-Annex'!G222</f>
        <v>0</v>
      </c>
      <c r="G51" s="2002">
        <f>'6-A. Proc. Sub-Annex'!H222</f>
        <v>0</v>
      </c>
      <c r="H51" s="2002">
        <f>'6-A. Proc. Sub-Annex'!I222</f>
        <v>0</v>
      </c>
      <c r="I51" s="2002">
        <f>'6-A. Proc. Sub-Annex'!J222</f>
        <v>0</v>
      </c>
      <c r="J51" s="2002">
        <f>'6-A. Proc. Sub-Annex'!K222</f>
        <v>0</v>
      </c>
      <c r="K51" s="2002">
        <f>'6-A. Proc. Sub-Annex'!L222</f>
        <v>0</v>
      </c>
      <c r="L51" s="2002">
        <f>'6-A. Proc. Sub-Annex'!M222</f>
        <v>0</v>
      </c>
      <c r="M51" s="178">
        <f>'6-A. Proc. Sub-Annex'!N222</f>
        <v>0</v>
      </c>
      <c r="N51" s="2002">
        <f>'6-A. Proc. Sub-Annex'!O222</f>
        <v>0</v>
      </c>
      <c r="O51" s="178">
        <f>'6-A. Proc. Sub-Annex'!P222</f>
        <v>0</v>
      </c>
      <c r="P51" s="103">
        <f>'6-A. Proc. Sub-Annex'!Q222</f>
        <v>0</v>
      </c>
      <c r="Q51" s="67"/>
      <c r="R51" s="679"/>
    </row>
    <row r="52" spans="1:18" ht="30" x14ac:dyDescent="0.2">
      <c r="A52" s="4072"/>
      <c r="B52" s="103" t="str">
        <f>'6-A. Proc. Sub-Annex'!C223</f>
        <v>B.16.2.11.3.i</v>
      </c>
      <c r="C52" s="103" t="str">
        <f>'6-A. Proc. Sub-Annex'!D223</f>
        <v>Temephos, Bti (AS) / Bti (wp) (for polluted &amp; non polluted water)</v>
      </c>
      <c r="D52" s="2002" t="str">
        <f>'6-A. Proc. Sub-Annex'!E223</f>
        <v>NDCP</v>
      </c>
      <c r="E52" s="2002" t="str">
        <f>'6-A. Proc. Sub-Annex'!F223</f>
        <v>NVBDCP</v>
      </c>
      <c r="F52" s="2002">
        <f>'6-A. Proc. Sub-Annex'!G223</f>
        <v>0</v>
      </c>
      <c r="G52" s="2002">
        <f>'6-A. Proc. Sub-Annex'!H223</f>
        <v>0</v>
      </c>
      <c r="H52" s="2002">
        <f>'6-A. Proc. Sub-Annex'!I223</f>
        <v>0</v>
      </c>
      <c r="I52" s="2002">
        <f>'6-A. Proc. Sub-Annex'!J223</f>
        <v>0</v>
      </c>
      <c r="J52" s="2002">
        <f>'6-A. Proc. Sub-Annex'!K223</f>
        <v>0</v>
      </c>
      <c r="K52" s="2002">
        <f>'6-A. Proc. Sub-Annex'!L223</f>
        <v>0</v>
      </c>
      <c r="L52" s="2002">
        <f>'6-A. Proc. Sub-Annex'!M223</f>
        <v>0</v>
      </c>
      <c r="M52" s="178">
        <f>'6-A. Proc. Sub-Annex'!N223</f>
        <v>0</v>
      </c>
      <c r="N52" s="2002">
        <f>'6-A. Proc. Sub-Annex'!O223</f>
        <v>0</v>
      </c>
      <c r="O52" s="178">
        <f>'6-A. Proc. Sub-Annex'!P223</f>
        <v>0</v>
      </c>
      <c r="P52" s="103">
        <f>'6-A. Proc. Sub-Annex'!Q223</f>
        <v>0</v>
      </c>
      <c r="Q52" s="67"/>
      <c r="R52" s="679"/>
    </row>
    <row r="53" spans="1:18" ht="30" x14ac:dyDescent="0.2">
      <c r="A53" s="4072"/>
      <c r="B53" s="103" t="str">
        <f>'6-A. Proc. Sub-Annex'!C224</f>
        <v>B.16.2.11.3.j</v>
      </c>
      <c r="C53" s="103" t="str">
        <f>'6-A. Proc. Sub-Annex'!D224</f>
        <v>Pyrethrum extract 2% for spare spray</v>
      </c>
      <c r="D53" s="2002" t="str">
        <f>'6-A. Proc. Sub-Annex'!E224</f>
        <v>NDCP</v>
      </c>
      <c r="E53" s="2002" t="str">
        <f>'6-A. Proc. Sub-Annex'!F224</f>
        <v>NVBDCP</v>
      </c>
      <c r="F53" s="2002">
        <f>'6-A. Proc. Sub-Annex'!G224</f>
        <v>0</v>
      </c>
      <c r="G53" s="2002">
        <f>'6-A. Proc. Sub-Annex'!H224</f>
        <v>0</v>
      </c>
      <c r="H53" s="2002">
        <f>'6-A. Proc. Sub-Annex'!I224</f>
        <v>0</v>
      </c>
      <c r="I53" s="2002">
        <f>'6-A. Proc. Sub-Annex'!J224</f>
        <v>0</v>
      </c>
      <c r="J53" s="2002">
        <f>'6-A. Proc. Sub-Annex'!K224</f>
        <v>0</v>
      </c>
      <c r="K53" s="2002">
        <f>'6-A. Proc. Sub-Annex'!L224</f>
        <v>0</v>
      </c>
      <c r="L53" s="2002">
        <f>'6-A. Proc. Sub-Annex'!M224</f>
        <v>0</v>
      </c>
      <c r="M53" s="178">
        <f>'6-A. Proc. Sub-Annex'!N224</f>
        <v>0</v>
      </c>
      <c r="N53" s="2002">
        <f>'6-A. Proc. Sub-Annex'!O224</f>
        <v>0</v>
      </c>
      <c r="O53" s="178">
        <f>'6-A. Proc. Sub-Annex'!P224</f>
        <v>0</v>
      </c>
      <c r="P53" s="103">
        <f>'6-A. Proc. Sub-Annex'!Q224</f>
        <v>0</v>
      </c>
      <c r="Q53" s="67"/>
      <c r="R53" s="679"/>
    </row>
    <row r="54" spans="1:18" ht="30" x14ac:dyDescent="0.2">
      <c r="A54" s="4072"/>
      <c r="B54" s="103" t="str">
        <f>'6-A. Proc. Sub-Annex'!C225</f>
        <v>B.16.2.11.3.k</v>
      </c>
      <c r="C54" s="103" t="str">
        <f>'6-A. Proc. Sub-Annex'!D225</f>
        <v>ACT ( For Non Project states)</v>
      </c>
      <c r="D54" s="2002" t="str">
        <f>'6-A. Proc. Sub-Annex'!E225</f>
        <v>NDCP</v>
      </c>
      <c r="E54" s="2002" t="str">
        <f>'6-A. Proc. Sub-Annex'!F225</f>
        <v>NVBDCP</v>
      </c>
      <c r="F54" s="2002">
        <f>'6-A. Proc. Sub-Annex'!G225</f>
        <v>0</v>
      </c>
      <c r="G54" s="2002">
        <f>'6-A. Proc. Sub-Annex'!H225</f>
        <v>0</v>
      </c>
      <c r="H54" s="2002">
        <f>'6-A. Proc. Sub-Annex'!I225</f>
        <v>0</v>
      </c>
      <c r="I54" s="2002">
        <f>'6-A. Proc. Sub-Annex'!J225</f>
        <v>0</v>
      </c>
      <c r="J54" s="2002">
        <f>'6-A. Proc. Sub-Annex'!K225</f>
        <v>0</v>
      </c>
      <c r="K54" s="2002">
        <f>'6-A. Proc. Sub-Annex'!L225</f>
        <v>0</v>
      </c>
      <c r="L54" s="2002">
        <f>'6-A. Proc. Sub-Annex'!M225</f>
        <v>0</v>
      </c>
      <c r="M54" s="178">
        <f>'6-A. Proc. Sub-Annex'!N225</f>
        <v>0</v>
      </c>
      <c r="N54" s="2002">
        <f>'6-A. Proc. Sub-Annex'!O225</f>
        <v>0</v>
      </c>
      <c r="O54" s="178">
        <f>'6-A. Proc. Sub-Annex'!P225</f>
        <v>0</v>
      </c>
      <c r="P54" s="103">
        <f>'6-A. Proc. Sub-Annex'!Q225</f>
        <v>0</v>
      </c>
      <c r="Q54" s="67"/>
      <c r="R54" s="679"/>
    </row>
    <row r="55" spans="1:18" ht="30" x14ac:dyDescent="0.2">
      <c r="A55" s="4072"/>
      <c r="B55" s="103" t="str">
        <f>'6-A. Proc. Sub-Annex'!C226</f>
        <v>B.16.2.11.3.l</v>
      </c>
      <c r="C55" s="103" t="str">
        <f>'6-A. Proc. Sub-Annex'!D226</f>
        <v>RDT Malaria – bi-valent (For Non Project states)</v>
      </c>
      <c r="D55" s="2002" t="str">
        <f>'6-A. Proc. Sub-Annex'!E226</f>
        <v>NDCP</v>
      </c>
      <c r="E55" s="2002" t="str">
        <f>'6-A. Proc. Sub-Annex'!F226</f>
        <v>NVBDCP – Malaria</v>
      </c>
      <c r="F55" s="2002">
        <f>'6-A. Proc. Sub-Annex'!G226</f>
        <v>0</v>
      </c>
      <c r="G55" s="2002">
        <f>'6-A. Proc. Sub-Annex'!H226</f>
        <v>0</v>
      </c>
      <c r="H55" s="2002">
        <f>'6-A. Proc. Sub-Annex'!I226</f>
        <v>0</v>
      </c>
      <c r="I55" s="2002">
        <f>'6-A. Proc. Sub-Annex'!J226</f>
        <v>0</v>
      </c>
      <c r="J55" s="2002">
        <f>'6-A. Proc. Sub-Annex'!K226</f>
        <v>0</v>
      </c>
      <c r="K55" s="2002">
        <f>'6-A. Proc. Sub-Annex'!L226</f>
        <v>0</v>
      </c>
      <c r="L55" s="2002">
        <f>'6-A. Proc. Sub-Annex'!M226</f>
        <v>0</v>
      </c>
      <c r="M55" s="178">
        <f>'6-A. Proc. Sub-Annex'!N226</f>
        <v>0</v>
      </c>
      <c r="N55" s="2002">
        <f>'6-A. Proc. Sub-Annex'!O226</f>
        <v>0</v>
      </c>
      <c r="O55" s="178">
        <f>'6-A. Proc. Sub-Annex'!P226</f>
        <v>0</v>
      </c>
      <c r="P55" s="103">
        <f>'6-A. Proc. Sub-Annex'!Q226</f>
        <v>0</v>
      </c>
      <c r="Q55" s="67"/>
      <c r="R55" s="679"/>
    </row>
    <row r="56" spans="1:18" ht="30" x14ac:dyDescent="0.2">
      <c r="A56" s="4072"/>
      <c r="B56" s="103" t="str">
        <f>'6-A. Proc. Sub-Annex'!C227</f>
        <v>F.1.2.b</v>
      </c>
      <c r="C56" s="103" t="str">
        <f>'6-A. Proc. Sub-Annex'!D227</f>
        <v>Test kits (Nos.) to be supplied by GoI (kindly indicate numbers of ELISA based NS1 kit and Mac ELISA Kits required separately)</v>
      </c>
      <c r="D56" s="2002" t="str">
        <f>'6-A. Proc. Sub-Annex'!E227</f>
        <v>NDCP</v>
      </c>
      <c r="E56" s="2002" t="str">
        <f>'6-A. Proc. Sub-Annex'!F227</f>
        <v>NVBDCP - Dengue Chikungunya</v>
      </c>
      <c r="F56" s="2002">
        <f>'6-A. Proc. Sub-Annex'!G227</f>
        <v>0</v>
      </c>
      <c r="G56" s="2002">
        <f>'6-A. Proc. Sub-Annex'!H227</f>
        <v>0</v>
      </c>
      <c r="H56" s="2002">
        <f>'6-A. Proc. Sub-Annex'!I227</f>
        <v>0</v>
      </c>
      <c r="I56" s="2002">
        <f>'6-A. Proc. Sub-Annex'!J227</f>
        <v>0</v>
      </c>
      <c r="J56" s="2002">
        <f>'6-A. Proc. Sub-Annex'!K227</f>
        <v>0</v>
      </c>
      <c r="K56" s="2002">
        <f>'6-A. Proc. Sub-Annex'!L227</f>
        <v>0</v>
      </c>
      <c r="L56" s="2002">
        <f>'6-A. Proc. Sub-Annex'!M227</f>
        <v>0</v>
      </c>
      <c r="M56" s="178">
        <f>'6-A. Proc. Sub-Annex'!N227</f>
        <v>0</v>
      </c>
      <c r="N56" s="2002">
        <f>'6-A. Proc. Sub-Annex'!O227</f>
        <v>0</v>
      </c>
      <c r="O56" s="178">
        <f>'6-A. Proc. Sub-Annex'!P227</f>
        <v>0</v>
      </c>
      <c r="P56" s="103">
        <f>'6-A. Proc. Sub-Annex'!Q227</f>
        <v>0</v>
      </c>
      <c r="Q56" s="67"/>
      <c r="R56" s="679"/>
    </row>
    <row r="57" spans="1:18" ht="144.94999999999999" customHeight="1" x14ac:dyDescent="0.2">
      <c r="A57" s="4072"/>
      <c r="B57" s="103" t="str">
        <f>'6-A. Proc. Sub-Annex'!C228</f>
        <v>F.1.3.e</v>
      </c>
      <c r="C57" s="103" t="str">
        <f>'6-A. Proc. Sub-Annex'!D228</f>
        <v>Procurement of Insecticides (Technical Malathion)</v>
      </c>
      <c r="D57" s="2002" t="str">
        <f>'6-A. Proc. Sub-Annex'!E228</f>
        <v>NDCP</v>
      </c>
      <c r="E57" s="2002" t="str">
        <f>'6-A. Proc. Sub-Annex'!F228</f>
        <v>NVBDCP - AES/JE</v>
      </c>
      <c r="F57" s="2002">
        <f>'6-A. Proc. Sub-Annex'!G228</f>
        <v>0</v>
      </c>
      <c r="G57" s="2002">
        <f>'6-A. Proc. Sub-Annex'!H228</f>
        <v>0</v>
      </c>
      <c r="H57" s="2002">
        <f>'6-A. Proc. Sub-Annex'!I228</f>
        <v>0</v>
      </c>
      <c r="I57" s="2002">
        <f>'6-A. Proc. Sub-Annex'!J228</f>
        <v>0</v>
      </c>
      <c r="J57" s="2002">
        <f>'6-A. Proc. Sub-Annex'!K228</f>
        <v>0</v>
      </c>
      <c r="K57" s="2002">
        <f>'6-A. Proc. Sub-Annex'!L228</f>
        <v>0</v>
      </c>
      <c r="L57" s="2002">
        <f>'6-A. Proc. Sub-Annex'!M228</f>
        <v>0</v>
      </c>
      <c r="M57" s="178">
        <f>'6-A. Proc. Sub-Annex'!N228</f>
        <v>0</v>
      </c>
      <c r="N57" s="2002">
        <f>'6-A. Proc. Sub-Annex'!O228</f>
        <v>0</v>
      </c>
      <c r="O57" s="178">
        <f>'6-A. Proc. Sub-Annex'!P228</f>
        <v>0</v>
      </c>
      <c r="P57" s="103">
        <f>'6-A. Proc. Sub-Annex'!Q228</f>
        <v>0</v>
      </c>
      <c r="Q57" s="67"/>
      <c r="R57" s="679"/>
    </row>
    <row r="58" spans="1:18" ht="30" x14ac:dyDescent="0.2">
      <c r="A58" s="4072"/>
      <c r="B58" s="103" t="str">
        <f>'6-A. Proc. Sub-Annex'!C229</f>
        <v>F.1.3.l</v>
      </c>
      <c r="C58" s="103" t="str">
        <f>'6-A. Proc. Sub-Annex'!D229</f>
        <v>Payment to NIV towards JE kits at Head Quarter</v>
      </c>
      <c r="D58" s="2002" t="str">
        <f>'6-A. Proc. Sub-Annex'!E229</f>
        <v>NDCP</v>
      </c>
      <c r="E58" s="2002" t="str">
        <f>'6-A. Proc. Sub-Annex'!F229</f>
        <v>NVBDCP - AES/JE</v>
      </c>
      <c r="F58" s="2002">
        <f>'6-A. Proc. Sub-Annex'!G229</f>
        <v>0</v>
      </c>
      <c r="G58" s="2002">
        <f>'6-A. Proc. Sub-Annex'!H229</f>
        <v>0</v>
      </c>
      <c r="H58" s="2002">
        <f>'6-A. Proc. Sub-Annex'!I229</f>
        <v>0</v>
      </c>
      <c r="I58" s="2002">
        <f>'6-A. Proc. Sub-Annex'!J229</f>
        <v>0</v>
      </c>
      <c r="J58" s="2002">
        <f>'6-A. Proc. Sub-Annex'!K229</f>
        <v>0</v>
      </c>
      <c r="K58" s="2002">
        <f>'6-A. Proc. Sub-Annex'!L229</f>
        <v>0</v>
      </c>
      <c r="L58" s="2002">
        <f>'6-A. Proc. Sub-Annex'!M229</f>
        <v>0</v>
      </c>
      <c r="M58" s="178">
        <f>'6-A. Proc. Sub-Annex'!N229</f>
        <v>0</v>
      </c>
      <c r="N58" s="2002">
        <f>'6-A. Proc. Sub-Annex'!O229</f>
        <v>0</v>
      </c>
      <c r="O58" s="178">
        <f>'6-A. Proc. Sub-Annex'!P229</f>
        <v>0</v>
      </c>
      <c r="P58" s="103">
        <f>'6-A. Proc. Sub-Annex'!Q229</f>
        <v>0</v>
      </c>
      <c r="Q58" s="3342"/>
      <c r="R58" s="679"/>
    </row>
    <row r="59" spans="1:18" ht="30" x14ac:dyDescent="0.2">
      <c r="A59" s="4072"/>
      <c r="B59" s="103" t="str">
        <f>'6-A. Proc. Sub-Annex'!C230</f>
        <v>F.2.1.d</v>
      </c>
      <c r="C59" s="103" t="str">
        <f>'6-A. Proc. Sub-Annex'!D230</f>
        <v>Procurement under GFATM</v>
      </c>
      <c r="D59" s="2002" t="str">
        <f>'6-A. Proc. Sub-Annex'!E230</f>
        <v>NDCP</v>
      </c>
      <c r="E59" s="2002" t="str">
        <f>'6-A. Proc. Sub-Annex'!F230</f>
        <v>NVBDCP - GFATM</v>
      </c>
      <c r="F59" s="2002">
        <f>'6-A. Proc. Sub-Annex'!G230</f>
        <v>0</v>
      </c>
      <c r="G59" s="2002">
        <f>'6-A. Proc. Sub-Annex'!H230</f>
        <v>0</v>
      </c>
      <c r="H59" s="2002">
        <f>'6-A. Proc. Sub-Annex'!I230</f>
        <v>0</v>
      </c>
      <c r="I59" s="2002">
        <f>'6-A. Proc. Sub-Annex'!J230</f>
        <v>0</v>
      </c>
      <c r="J59" s="2002">
        <f>'6-A. Proc. Sub-Annex'!K230</f>
        <v>0</v>
      </c>
      <c r="K59" s="2002">
        <f>'6-A. Proc. Sub-Annex'!L230</f>
        <v>0</v>
      </c>
      <c r="L59" s="2002">
        <f>'6-A. Proc. Sub-Annex'!M230</f>
        <v>0</v>
      </c>
      <c r="M59" s="178">
        <f>'6-A. Proc. Sub-Annex'!N230</f>
        <v>0</v>
      </c>
      <c r="N59" s="2002">
        <f>'6-A. Proc. Sub-Annex'!O230</f>
        <v>0</v>
      </c>
      <c r="O59" s="178">
        <f>'6-A. Proc. Sub-Annex'!P230</f>
        <v>0</v>
      </c>
      <c r="P59" s="103">
        <f>'6-A. Proc. Sub-Annex'!Q230</f>
        <v>0</v>
      </c>
      <c r="Q59" s="67"/>
      <c r="R59" s="679"/>
    </row>
    <row r="60" spans="1:18" ht="30" x14ac:dyDescent="0.2">
      <c r="A60" s="4072"/>
      <c r="B60" s="103" t="str">
        <f>'6-A. Proc. Sub-Annex'!C231</f>
        <v>B.16.2.11.3.m</v>
      </c>
      <c r="C60" s="103" t="str">
        <f>'6-A. Proc. Sub-Annex'!D231</f>
        <v>Any other drugs &amp; supplies (please specify)</v>
      </c>
      <c r="D60" s="2002" t="str">
        <f>'6-A. Proc. Sub-Annex'!E231</f>
        <v>NDCP</v>
      </c>
      <c r="E60" s="2002" t="str">
        <f>'6-A. Proc. Sub-Annex'!F231</f>
        <v>NVBDCP</v>
      </c>
      <c r="F60" s="2002">
        <f>'6-A. Proc. Sub-Annex'!G231</f>
        <v>0</v>
      </c>
      <c r="G60" s="2002">
        <f>'6-A. Proc. Sub-Annex'!H231</f>
        <v>0</v>
      </c>
      <c r="H60" s="2002">
        <f>'6-A. Proc. Sub-Annex'!I231</f>
        <v>0</v>
      </c>
      <c r="I60" s="2002">
        <f>'6-A. Proc. Sub-Annex'!J231</f>
        <v>0</v>
      </c>
      <c r="J60" s="2002">
        <f>'6-A. Proc. Sub-Annex'!K231</f>
        <v>0</v>
      </c>
      <c r="K60" s="2002">
        <f>'6-A. Proc. Sub-Annex'!L231</f>
        <v>0</v>
      </c>
      <c r="L60" s="2002">
        <f>'6-A. Proc. Sub-Annex'!M231</f>
        <v>0</v>
      </c>
      <c r="M60" s="178">
        <f>'6-A. Proc. Sub-Annex'!N231</f>
        <v>0</v>
      </c>
      <c r="N60" s="2002">
        <f>'6-A. Proc. Sub-Annex'!O231</f>
        <v>0</v>
      </c>
      <c r="O60" s="178">
        <f>'6-A. Proc. Sub-Annex'!P231</f>
        <v>0</v>
      </c>
      <c r="P60" s="103">
        <f>'6-A. Proc. Sub-Annex'!Q231</f>
        <v>0</v>
      </c>
      <c r="Q60" s="3342"/>
      <c r="R60" s="679"/>
    </row>
    <row r="61" spans="1:18" x14ac:dyDescent="0.2">
      <c r="A61" s="1997">
        <f>'9.Training Annex'!A7</f>
        <v>9</v>
      </c>
      <c r="B61" s="1997"/>
      <c r="C61" s="1997" t="str">
        <f>'9.Training Annex'!C7</f>
        <v>Training and Capacity Building</v>
      </c>
      <c r="D61" s="1996"/>
      <c r="E61" s="1996"/>
      <c r="F61" s="1996"/>
      <c r="G61" s="1996"/>
      <c r="H61" s="1996"/>
      <c r="I61" s="1996"/>
      <c r="J61" s="1996"/>
      <c r="K61" s="1996"/>
      <c r="L61" s="1996"/>
      <c r="M61" s="969"/>
      <c r="N61" s="1996"/>
      <c r="O61" s="969">
        <f>SUM(O62:O69)</f>
        <v>0</v>
      </c>
      <c r="P61" s="1997"/>
      <c r="Q61" s="1908"/>
      <c r="R61" s="132">
        <f>SUM(R62:R69)</f>
        <v>0</v>
      </c>
    </row>
    <row r="62" spans="1:18" ht="30" x14ac:dyDescent="0.2">
      <c r="A62" s="4072" t="str">
        <f>'9.Training Annex'!A48</f>
        <v>9.2.3.2</v>
      </c>
      <c r="B62" s="103" t="str">
        <f>'9-A.Training Sub-Annex'!C220</f>
        <v>F.1.1.f</v>
      </c>
      <c r="C62" s="103" t="str">
        <f>'9-A.Training Sub-Annex'!D220</f>
        <v>Training / Capacity Building (Malaria)</v>
      </c>
      <c r="D62" s="2002" t="str">
        <f>'9-A.Training Sub-Annex'!E220</f>
        <v>NDCP</v>
      </c>
      <c r="E62" s="2002" t="str">
        <f>'9-A.Training Sub-Annex'!F220</f>
        <v>NVBDCP – Malaria</v>
      </c>
      <c r="F62" s="2002">
        <f>'9-A.Training Sub-Annex'!G220</f>
        <v>0</v>
      </c>
      <c r="G62" s="2002">
        <f>'9-A.Training Sub-Annex'!H220</f>
        <v>0</v>
      </c>
      <c r="H62" s="2002">
        <f>'9-A.Training Sub-Annex'!I220</f>
        <v>0</v>
      </c>
      <c r="I62" s="2002">
        <f>'9-A.Training Sub-Annex'!J220</f>
        <v>0</v>
      </c>
      <c r="J62" s="2002">
        <f>'9-A.Training Sub-Annex'!K220</f>
        <v>0</v>
      </c>
      <c r="K62" s="2002">
        <f>'9-A.Training Sub-Annex'!L220</f>
        <v>0</v>
      </c>
      <c r="L62" s="2002">
        <f>'9-A.Training Sub-Annex'!M220</f>
        <v>0</v>
      </c>
      <c r="M62" s="178">
        <f>'9-A.Training Sub-Annex'!N220</f>
        <v>0</v>
      </c>
      <c r="N62" s="2002">
        <f>'9-A.Training Sub-Annex'!O220</f>
        <v>0</v>
      </c>
      <c r="O62" s="178">
        <f>'9-A.Training Sub-Annex'!P220</f>
        <v>0</v>
      </c>
      <c r="P62" s="103">
        <f>'9-A.Training Sub-Annex'!Q220</f>
        <v>0</v>
      </c>
      <c r="Q62" s="3342"/>
      <c r="R62" s="679"/>
    </row>
    <row r="63" spans="1:18" ht="30" x14ac:dyDescent="0.2">
      <c r="A63" s="4072"/>
      <c r="B63" s="103" t="str">
        <f>'9-A.Training Sub-Annex'!C221</f>
        <v>F.1.2.h</v>
      </c>
      <c r="C63" s="103" t="str">
        <f>'9-A.Training Sub-Annex'!D221</f>
        <v>Training / Workshop (Dengue and Chikungunya)</v>
      </c>
      <c r="D63" s="2002" t="str">
        <f>'9-A.Training Sub-Annex'!E221</f>
        <v>NDCP</v>
      </c>
      <c r="E63" s="2002" t="str">
        <f>'9-A.Training Sub-Annex'!F221</f>
        <v>NVBDCP-Dengue &amp; Chikungunya</v>
      </c>
      <c r="F63" s="2002">
        <f>'9-A.Training Sub-Annex'!G221</f>
        <v>0</v>
      </c>
      <c r="G63" s="2002">
        <f>'9-A.Training Sub-Annex'!H221</f>
        <v>0</v>
      </c>
      <c r="H63" s="2002">
        <f>'9-A.Training Sub-Annex'!I221</f>
        <v>0</v>
      </c>
      <c r="I63" s="2002">
        <f>'9-A.Training Sub-Annex'!J221</f>
        <v>0</v>
      </c>
      <c r="J63" s="2002">
        <f>'9-A.Training Sub-Annex'!K221</f>
        <v>0</v>
      </c>
      <c r="K63" s="2002">
        <f>'9-A.Training Sub-Annex'!L221</f>
        <v>0</v>
      </c>
      <c r="L63" s="2002">
        <f>'9-A.Training Sub-Annex'!M221</f>
        <v>0</v>
      </c>
      <c r="M63" s="178">
        <f>'9-A.Training Sub-Annex'!N221</f>
        <v>0</v>
      </c>
      <c r="N63" s="2002">
        <f>'9-A.Training Sub-Annex'!O221</f>
        <v>0</v>
      </c>
      <c r="O63" s="178">
        <f>'9-A.Training Sub-Annex'!P221</f>
        <v>0</v>
      </c>
      <c r="P63" s="103">
        <f>'9-A.Training Sub-Annex'!Q221</f>
        <v>0</v>
      </c>
      <c r="Q63" s="67"/>
      <c r="R63" s="679"/>
    </row>
    <row r="64" spans="1:18" ht="30" x14ac:dyDescent="0.2">
      <c r="A64" s="4072"/>
      <c r="B64" s="103" t="str">
        <f>'9-A.Training Sub-Annex'!C222</f>
        <v>F.1.3.b</v>
      </c>
      <c r="C64" s="103" t="str">
        <f>'9-A.Training Sub-Annex'!D222</f>
        <v>Capacity Building (AES/ JE)</v>
      </c>
      <c r="D64" s="2002" t="str">
        <f>'9-A.Training Sub-Annex'!E222</f>
        <v>NDCP</v>
      </c>
      <c r="E64" s="2002" t="str">
        <f>'9-A.Training Sub-Annex'!F222</f>
        <v>NVBDCP-AES/JE</v>
      </c>
      <c r="F64" s="2002">
        <f>'9-A.Training Sub-Annex'!G222</f>
        <v>0</v>
      </c>
      <c r="G64" s="2002">
        <f>'9-A.Training Sub-Annex'!H222</f>
        <v>0</v>
      </c>
      <c r="H64" s="2002">
        <f>'9-A.Training Sub-Annex'!I222</f>
        <v>0</v>
      </c>
      <c r="I64" s="2002">
        <f>'9-A.Training Sub-Annex'!J222</f>
        <v>0</v>
      </c>
      <c r="J64" s="2002">
        <f>'9-A.Training Sub-Annex'!K222</f>
        <v>0</v>
      </c>
      <c r="K64" s="2002">
        <f>'9-A.Training Sub-Annex'!L222</f>
        <v>0</v>
      </c>
      <c r="L64" s="2002">
        <f>'9-A.Training Sub-Annex'!M222</f>
        <v>0</v>
      </c>
      <c r="M64" s="178">
        <f>'9-A.Training Sub-Annex'!N222</f>
        <v>0</v>
      </c>
      <c r="N64" s="2002">
        <f>'9-A.Training Sub-Annex'!O222</f>
        <v>0</v>
      </c>
      <c r="O64" s="178">
        <f>'9-A.Training Sub-Annex'!P222</f>
        <v>0</v>
      </c>
      <c r="P64" s="103">
        <f>'9-A.Training Sub-Annex'!Q222</f>
        <v>0</v>
      </c>
      <c r="Q64" s="3342"/>
      <c r="R64" s="679"/>
    </row>
    <row r="65" spans="1:18" ht="30" x14ac:dyDescent="0.2">
      <c r="A65" s="4072"/>
      <c r="B65" s="103" t="str">
        <f>'9-A.Training Sub-Annex'!C223</f>
        <v>F.1.3.c</v>
      </c>
      <c r="C65" s="103" t="str">
        <f>'9-A.Training Sub-Annex'!D223</f>
        <v>Training specific for JE prevention and management</v>
      </c>
      <c r="D65" s="2002" t="str">
        <f>'9-A.Training Sub-Annex'!E223</f>
        <v>NDCP</v>
      </c>
      <c r="E65" s="2002" t="str">
        <f>'9-A.Training Sub-Annex'!F223</f>
        <v>NVBDCP-AES/JE</v>
      </c>
      <c r="F65" s="2002">
        <f>'9-A.Training Sub-Annex'!G223</f>
        <v>0</v>
      </c>
      <c r="G65" s="2002">
        <f>'9-A.Training Sub-Annex'!H223</f>
        <v>0</v>
      </c>
      <c r="H65" s="2002">
        <f>'9-A.Training Sub-Annex'!I223</f>
        <v>0</v>
      </c>
      <c r="I65" s="2002">
        <f>'9-A.Training Sub-Annex'!J223</f>
        <v>0</v>
      </c>
      <c r="J65" s="2002">
        <f>'9-A.Training Sub-Annex'!K223</f>
        <v>0</v>
      </c>
      <c r="K65" s="2002">
        <f>'9-A.Training Sub-Annex'!L223</f>
        <v>0</v>
      </c>
      <c r="L65" s="2002">
        <f>'9-A.Training Sub-Annex'!M223</f>
        <v>0</v>
      </c>
      <c r="M65" s="178">
        <f>'9-A.Training Sub-Annex'!N223</f>
        <v>0</v>
      </c>
      <c r="N65" s="2002">
        <f>'9-A.Training Sub-Annex'!O223</f>
        <v>0</v>
      </c>
      <c r="O65" s="178">
        <f>'9-A.Training Sub-Annex'!P223</f>
        <v>0</v>
      </c>
      <c r="P65" s="103">
        <f>'9-A.Training Sub-Annex'!Q223</f>
        <v>0</v>
      </c>
      <c r="Q65" s="3342"/>
      <c r="R65" s="679"/>
    </row>
    <row r="66" spans="1:18" ht="30" x14ac:dyDescent="0.2">
      <c r="A66" s="4072"/>
      <c r="B66" s="103" t="str">
        <f>'9-A.Training Sub-Annex'!C224</f>
        <v>F.1.3.l</v>
      </c>
      <c r="C66" s="103" t="str">
        <f>'9-A.Training Sub-Annex'!D224</f>
        <v>Other Charges for  Training /Workshop Meeting (AES/ JE)</v>
      </c>
      <c r="D66" s="2002" t="str">
        <f>'9-A.Training Sub-Annex'!E224</f>
        <v>NDCP</v>
      </c>
      <c r="E66" s="2002" t="str">
        <f>'9-A.Training Sub-Annex'!F224</f>
        <v>NVBDCP-AES/JE</v>
      </c>
      <c r="F66" s="2002">
        <f>'9-A.Training Sub-Annex'!G224</f>
        <v>0</v>
      </c>
      <c r="G66" s="2002">
        <f>'9-A.Training Sub-Annex'!H224</f>
        <v>0</v>
      </c>
      <c r="H66" s="2002">
        <f>'9-A.Training Sub-Annex'!I224</f>
        <v>0</v>
      </c>
      <c r="I66" s="2002">
        <f>'9-A.Training Sub-Annex'!J224</f>
        <v>0</v>
      </c>
      <c r="J66" s="2002">
        <f>'9-A.Training Sub-Annex'!K224</f>
        <v>0</v>
      </c>
      <c r="K66" s="2002">
        <f>'9-A.Training Sub-Annex'!L224</f>
        <v>0</v>
      </c>
      <c r="L66" s="2002">
        <f>'9-A.Training Sub-Annex'!M224</f>
        <v>0</v>
      </c>
      <c r="M66" s="178">
        <f>'9-A.Training Sub-Annex'!N224</f>
        <v>0</v>
      </c>
      <c r="N66" s="2002">
        <f>'9-A.Training Sub-Annex'!O224</f>
        <v>0</v>
      </c>
      <c r="O66" s="178">
        <f>'9-A.Training Sub-Annex'!P224</f>
        <v>0</v>
      </c>
      <c r="P66" s="103">
        <f>'9-A.Training Sub-Annex'!Q224</f>
        <v>0</v>
      </c>
      <c r="Q66" s="3342"/>
      <c r="R66" s="679"/>
    </row>
    <row r="67" spans="1:18" ht="30" x14ac:dyDescent="0.2">
      <c r="A67" s="4072"/>
      <c r="B67" s="103" t="str">
        <f>'9-A.Training Sub-Annex'!C225</f>
        <v>F.1.4.d</v>
      </c>
      <c r="C67" s="103" t="str">
        <f>'9-A.Training Sub-Annex'!D225</f>
        <v>Training/sensitization of district level officers on ELF and drug distributors including peripheral health workers (AES/ JE)</v>
      </c>
      <c r="D67" s="2002" t="str">
        <f>'9-A.Training Sub-Annex'!E225</f>
        <v>NDCP</v>
      </c>
      <c r="E67" s="2002" t="str">
        <f>'9-A.Training Sub-Annex'!F225</f>
        <v>NVBDCP-AES/JE</v>
      </c>
      <c r="F67" s="2002">
        <f>'9-A.Training Sub-Annex'!G225</f>
        <v>0</v>
      </c>
      <c r="G67" s="2002">
        <f>'9-A.Training Sub-Annex'!H225</f>
        <v>0</v>
      </c>
      <c r="H67" s="2002">
        <f>'9-A.Training Sub-Annex'!I225</f>
        <v>0</v>
      </c>
      <c r="I67" s="2002">
        <f>'9-A.Training Sub-Annex'!J225</f>
        <v>0</v>
      </c>
      <c r="J67" s="2002">
        <f>'9-A.Training Sub-Annex'!K225</f>
        <v>0</v>
      </c>
      <c r="K67" s="2002">
        <f>'9-A.Training Sub-Annex'!L225</f>
        <v>0</v>
      </c>
      <c r="L67" s="2002">
        <f>'9-A.Training Sub-Annex'!M225</f>
        <v>0</v>
      </c>
      <c r="M67" s="178">
        <f>'9-A.Training Sub-Annex'!N225</f>
        <v>0</v>
      </c>
      <c r="N67" s="2002">
        <f>'9-A.Training Sub-Annex'!O225</f>
        <v>0</v>
      </c>
      <c r="O67" s="178">
        <f>'9-A.Training Sub-Annex'!P225</f>
        <v>0</v>
      </c>
      <c r="P67" s="103">
        <f>'9-A.Training Sub-Annex'!Q225</f>
        <v>0</v>
      </c>
      <c r="Q67" s="67"/>
      <c r="R67" s="679"/>
    </row>
    <row r="68" spans="1:18" ht="30" x14ac:dyDescent="0.2">
      <c r="A68" s="4072"/>
      <c r="B68" s="103"/>
      <c r="C68" s="103" t="str">
        <f>'9-A.Training Sub-Annex'!D226</f>
        <v>Training under MVCR</v>
      </c>
      <c r="D68" s="2002" t="str">
        <f>'9-A.Training Sub-Annex'!E226</f>
        <v>NDCP</v>
      </c>
      <c r="E68" s="2002" t="str">
        <f>'9-A.Training Sub-Annex'!F226</f>
        <v>NVBDCP – Malaria</v>
      </c>
      <c r="F68" s="2002">
        <f>'9-A.Training Sub-Annex'!G226</f>
        <v>0</v>
      </c>
      <c r="G68" s="2002">
        <f>'9-A.Training Sub-Annex'!H226</f>
        <v>0</v>
      </c>
      <c r="H68" s="2002">
        <f>'9-A.Training Sub-Annex'!I226</f>
        <v>0</v>
      </c>
      <c r="I68" s="2002">
        <f>'9-A.Training Sub-Annex'!J226</f>
        <v>0</v>
      </c>
      <c r="J68" s="2002">
        <f>'9-A.Training Sub-Annex'!K226</f>
        <v>0</v>
      </c>
      <c r="K68" s="2002">
        <f>'9-A.Training Sub-Annex'!L226</f>
        <v>0</v>
      </c>
      <c r="L68" s="2002">
        <f>'9-A.Training Sub-Annex'!M226</f>
        <v>0</v>
      </c>
      <c r="M68" s="178">
        <f>'9-A.Training Sub-Annex'!N226</f>
        <v>0</v>
      </c>
      <c r="N68" s="2002">
        <f>'9-A.Training Sub-Annex'!O226</f>
        <v>0</v>
      </c>
      <c r="O68" s="178">
        <f>'9-A.Training Sub-Annex'!P226</f>
        <v>0</v>
      </c>
      <c r="P68" s="103">
        <f>'9-A.Training Sub-Annex'!Q226</f>
        <v>0</v>
      </c>
      <c r="Q68" s="67"/>
      <c r="R68" s="679"/>
    </row>
    <row r="69" spans="1:18" ht="30" x14ac:dyDescent="0.2">
      <c r="A69" s="4072"/>
      <c r="B69" s="103"/>
      <c r="C69" s="103" t="str">
        <f>'9-A.Training Sub-Annex'!D227</f>
        <v>Any other (please specify)</v>
      </c>
      <c r="D69" s="2002" t="str">
        <f>'9-A.Training Sub-Annex'!E227</f>
        <v>NDCP</v>
      </c>
      <c r="E69" s="2002" t="str">
        <f>'9-A.Training Sub-Annex'!F227</f>
        <v>NVBDCP</v>
      </c>
      <c r="F69" s="2002">
        <f>'9-A.Training Sub-Annex'!G227</f>
        <v>0</v>
      </c>
      <c r="G69" s="2002">
        <f>'9-A.Training Sub-Annex'!H227</f>
        <v>0</v>
      </c>
      <c r="H69" s="2002">
        <f>'9-A.Training Sub-Annex'!I227</f>
        <v>0</v>
      </c>
      <c r="I69" s="2002">
        <f>'9-A.Training Sub-Annex'!J227</f>
        <v>0</v>
      </c>
      <c r="J69" s="2002">
        <f>'9-A.Training Sub-Annex'!K227</f>
        <v>0</v>
      </c>
      <c r="K69" s="2002">
        <f>'9-A.Training Sub-Annex'!L227</f>
        <v>0</v>
      </c>
      <c r="L69" s="2002">
        <f>'9-A.Training Sub-Annex'!M227</f>
        <v>0</v>
      </c>
      <c r="M69" s="178">
        <f>'9-A.Training Sub-Annex'!N227</f>
        <v>0</v>
      </c>
      <c r="N69" s="2002">
        <f>'9-A.Training Sub-Annex'!O227</f>
        <v>0</v>
      </c>
      <c r="O69" s="178">
        <f>'9-A.Training Sub-Annex'!P227</f>
        <v>0</v>
      </c>
      <c r="P69" s="103">
        <f>'9-A.Training Sub-Annex'!Q227</f>
        <v>0</v>
      </c>
      <c r="Q69" s="67"/>
      <c r="R69" s="679"/>
    </row>
    <row r="70" spans="1:18" x14ac:dyDescent="0.2">
      <c r="A70" s="1997">
        <f>'10.Review Research &amp; Surveillen'!A7</f>
        <v>10</v>
      </c>
      <c r="B70" s="1997"/>
      <c r="C70" s="1997" t="str">
        <f>'10.Review Research &amp; Surveillen'!C7</f>
        <v>Reviews, Research, Surveys and Surveillance</v>
      </c>
      <c r="D70" s="1996"/>
      <c r="E70" s="1996"/>
      <c r="F70" s="1996"/>
      <c r="G70" s="1996"/>
      <c r="H70" s="1996"/>
      <c r="I70" s="1996"/>
      <c r="J70" s="1996"/>
      <c r="K70" s="1996"/>
      <c r="L70" s="1996"/>
      <c r="M70" s="969"/>
      <c r="N70" s="1996"/>
      <c r="O70" s="969">
        <f>SUM(O71:O88)</f>
        <v>0</v>
      </c>
      <c r="P70" s="1997"/>
      <c r="Q70" s="1908"/>
      <c r="R70" s="132">
        <f>SUM(R71:R88)</f>
        <v>0</v>
      </c>
    </row>
    <row r="71" spans="1:18" ht="30" x14ac:dyDescent="0.2">
      <c r="A71" s="2014" t="str">
        <f>'10.Review Research &amp; Surveillen'!A15</f>
        <v>10.2.3</v>
      </c>
      <c r="B71" s="2014" t="str">
        <f>'10.Review Research &amp; Surveillen'!B15</f>
        <v>F.1.3.h</v>
      </c>
      <c r="C71" s="2014" t="str">
        <f>'10.Review Research &amp; Surveillen'!C15</f>
        <v>Operational Research - AES/ JE</v>
      </c>
      <c r="D71" s="2041" t="str">
        <f>'10.Review Research &amp; Surveillen'!D15</f>
        <v>NDCP</v>
      </c>
      <c r="E71" s="2041" t="str">
        <f>'10.Review Research &amp; Surveillen'!E15</f>
        <v>NVBDCP - AES/JE</v>
      </c>
      <c r="F71" s="2041">
        <f>'10.Review Research &amp; Surveillen'!F15</f>
        <v>0</v>
      </c>
      <c r="G71" s="2041">
        <f>'10.Review Research &amp; Surveillen'!G15</f>
        <v>0</v>
      </c>
      <c r="H71" s="2041">
        <f>'10.Review Research &amp; Surveillen'!H15</f>
        <v>0</v>
      </c>
      <c r="I71" s="2041">
        <f>'10.Review Research &amp; Surveillen'!I15</f>
        <v>0</v>
      </c>
      <c r="J71" s="2041">
        <f>'10.Review Research &amp; Surveillen'!J15</f>
        <v>0</v>
      </c>
      <c r="K71" s="2041">
        <f>'10.Review Research &amp; Surveillen'!K15</f>
        <v>0</v>
      </c>
      <c r="L71" s="2041">
        <f>'10.Review Research &amp; Surveillen'!L15</f>
        <v>0</v>
      </c>
      <c r="M71" s="178">
        <f>'10.Review Research &amp; Surveillen'!M15</f>
        <v>0</v>
      </c>
      <c r="N71" s="2041">
        <f>'10.Review Research &amp; Surveillen'!N15</f>
        <v>0</v>
      </c>
      <c r="O71" s="178">
        <f>'10.Review Research &amp; Surveillen'!O15</f>
        <v>0</v>
      </c>
      <c r="P71" s="2014">
        <f>'10.Review Research &amp; Surveillen'!P15</f>
        <v>0</v>
      </c>
      <c r="Q71" s="67"/>
      <c r="R71" s="679"/>
    </row>
    <row r="72" spans="1:18" ht="30" x14ac:dyDescent="0.2">
      <c r="A72" s="2014" t="str">
        <f>'10.Review Research &amp; Surveillen'!A16</f>
        <v>10.2.4</v>
      </c>
      <c r="B72" s="2014" t="str">
        <f>'10.Review Research &amp; Surveillen'!B16</f>
        <v>F.1.4.b</v>
      </c>
      <c r="C72" s="2014" t="str">
        <f>'10.Review Research &amp; Surveillen'!C16</f>
        <v>Microfilaria Survey - Lymphatic Filariasis</v>
      </c>
      <c r="D72" s="2041" t="str">
        <f>'10.Review Research &amp; Surveillen'!D16</f>
        <v>NDCP</v>
      </c>
      <c r="E72" s="2041" t="str">
        <f>'10.Review Research &amp; Surveillen'!E16</f>
        <v>NVBDCP-Lymphatic Filariasis</v>
      </c>
      <c r="F72" s="2041">
        <f>'10.Review Research &amp; Surveillen'!F16</f>
        <v>0</v>
      </c>
      <c r="G72" s="2041">
        <f>'10.Review Research &amp; Surveillen'!G16</f>
        <v>0</v>
      </c>
      <c r="H72" s="2041">
        <f>'10.Review Research &amp; Surveillen'!H16</f>
        <v>0</v>
      </c>
      <c r="I72" s="2041">
        <f>'10.Review Research &amp; Surveillen'!I16</f>
        <v>0</v>
      </c>
      <c r="J72" s="2041">
        <f>'10.Review Research &amp; Surveillen'!J16</f>
        <v>0</v>
      </c>
      <c r="K72" s="2041">
        <f>'10.Review Research &amp; Surveillen'!K16</f>
        <v>0</v>
      </c>
      <c r="L72" s="2041">
        <f>'10.Review Research &amp; Surveillen'!L16</f>
        <v>0</v>
      </c>
      <c r="M72" s="178">
        <f>'10.Review Research &amp; Surveillen'!M16</f>
        <v>0</v>
      </c>
      <c r="N72" s="2041">
        <f>'10.Review Research &amp; Surveillen'!N16</f>
        <v>0</v>
      </c>
      <c r="O72" s="178">
        <f>'10.Review Research &amp; Surveillen'!O16</f>
        <v>0</v>
      </c>
      <c r="P72" s="2014">
        <f>'10.Review Research &amp; Surveillen'!P16</f>
        <v>0</v>
      </c>
      <c r="Q72" s="67"/>
      <c r="R72" s="679"/>
    </row>
    <row r="73" spans="1:18" ht="30" x14ac:dyDescent="0.2">
      <c r="A73" s="2014" t="str">
        <f>'10.Review Research &amp; Surveillen'!A17</f>
        <v>10.2.5</v>
      </c>
      <c r="B73" s="2014" t="str">
        <f>'10.Review Research &amp; Surveillen'!B17</f>
        <v>F.1.4.c</v>
      </c>
      <c r="C73" s="2014" t="str">
        <f>'10.Review Research &amp; Surveillen'!C17</f>
        <v>Monitoring  &amp;Evaluation (Post MDA assessment by medical colleges (Govt. &amp; private)/ICMR institutions )</v>
      </c>
      <c r="D73" s="2041" t="str">
        <f>'10.Review Research &amp; Surveillen'!D17</f>
        <v>NDCP</v>
      </c>
      <c r="E73" s="2041" t="str">
        <f>'10.Review Research &amp; Surveillen'!E17</f>
        <v>NVBDCP-Lymphatic Filariasis</v>
      </c>
      <c r="F73" s="2041">
        <f>'10.Review Research &amp; Surveillen'!F17</f>
        <v>0</v>
      </c>
      <c r="G73" s="2041">
        <f>'10.Review Research &amp; Surveillen'!G17</f>
        <v>0</v>
      </c>
      <c r="H73" s="2041">
        <f>'10.Review Research &amp; Surveillen'!H17</f>
        <v>0</v>
      </c>
      <c r="I73" s="2041">
        <f>'10.Review Research &amp; Surveillen'!I17</f>
        <v>0</v>
      </c>
      <c r="J73" s="2041">
        <f>'10.Review Research &amp; Surveillen'!J17</f>
        <v>0</v>
      </c>
      <c r="K73" s="2041">
        <f>'10.Review Research &amp; Surveillen'!K17</f>
        <v>0</v>
      </c>
      <c r="L73" s="2041">
        <f>'10.Review Research &amp; Surveillen'!L17</f>
        <v>0</v>
      </c>
      <c r="M73" s="178">
        <f>'10.Review Research &amp; Surveillen'!M17</f>
        <v>0</v>
      </c>
      <c r="N73" s="2041">
        <f>'10.Review Research &amp; Surveillen'!N17</f>
        <v>0</v>
      </c>
      <c r="O73" s="178">
        <f>'10.Review Research &amp; Surveillen'!O17</f>
        <v>0</v>
      </c>
      <c r="P73" s="2014">
        <f>'10.Review Research &amp; Surveillen'!P17</f>
        <v>0</v>
      </c>
      <c r="Q73" s="67"/>
      <c r="R73" s="679"/>
    </row>
    <row r="74" spans="1:18" ht="30" x14ac:dyDescent="0.2">
      <c r="A74" s="2014" t="str">
        <f>'10.Review Research &amp; Surveillen'!A19</f>
        <v>10.2.6.1</v>
      </c>
      <c r="B74" s="2014" t="str">
        <f>'10.Review Research &amp; Surveillen'!B19</f>
        <v>F.1.4.f.i</v>
      </c>
      <c r="C74" s="2014" t="str">
        <f>'10.Review Research &amp; Surveillen'!C19</f>
        <v>Additional MF Survey</v>
      </c>
      <c r="D74" s="2041" t="str">
        <f>'10.Review Research &amp; Surveillen'!D19</f>
        <v>NDCP</v>
      </c>
      <c r="E74" s="2041" t="str">
        <f>'10.Review Research &amp; Surveillen'!E19</f>
        <v>NVBDCP-Lymphatic Filariasis</v>
      </c>
      <c r="F74" s="2041">
        <f>'10.Review Research &amp; Surveillen'!F19</f>
        <v>0</v>
      </c>
      <c r="G74" s="2041">
        <f>'10.Review Research &amp; Surveillen'!G19</f>
        <v>0</v>
      </c>
      <c r="H74" s="2041">
        <f>'10.Review Research &amp; Surveillen'!H19</f>
        <v>0</v>
      </c>
      <c r="I74" s="2041">
        <f>'10.Review Research &amp; Surveillen'!I19</f>
        <v>0</v>
      </c>
      <c r="J74" s="2041">
        <f>'10.Review Research &amp; Surveillen'!J19</f>
        <v>0</v>
      </c>
      <c r="K74" s="2041">
        <f>'10.Review Research &amp; Surveillen'!K19</f>
        <v>0</v>
      </c>
      <c r="L74" s="2041">
        <f>'10.Review Research &amp; Surveillen'!L19</f>
        <v>0</v>
      </c>
      <c r="M74" s="178">
        <f>'10.Review Research &amp; Surveillen'!M19</f>
        <v>0</v>
      </c>
      <c r="N74" s="2041">
        <f>'10.Review Research &amp; Surveillen'!N19</f>
        <v>0</v>
      </c>
      <c r="O74" s="178">
        <f>'10.Review Research &amp; Surveillen'!O19</f>
        <v>0</v>
      </c>
      <c r="P74" s="2014">
        <f>'10.Review Research &amp; Surveillen'!P19</f>
        <v>0</v>
      </c>
      <c r="Q74" s="67"/>
      <c r="R74" s="679"/>
    </row>
    <row r="75" spans="1:18" ht="30" x14ac:dyDescent="0.2">
      <c r="A75" s="2014" t="str">
        <f>'10.Review Research &amp; Surveillen'!A20</f>
        <v>10.2.6.2</v>
      </c>
      <c r="B75" s="2014" t="str">
        <f>'10.Review Research &amp; Surveillen'!B20</f>
        <v>F.1.4.f.ii</v>
      </c>
      <c r="C75" s="2014" t="str">
        <f>'10.Review Research &amp; Surveillen'!C20</f>
        <v>ICT Survey</v>
      </c>
      <c r="D75" s="2041" t="str">
        <f>'10.Review Research &amp; Surveillen'!D20</f>
        <v>NDCP</v>
      </c>
      <c r="E75" s="2041" t="str">
        <f>'10.Review Research &amp; Surveillen'!E20</f>
        <v>NVBDCP-Lymphatic Filariasis</v>
      </c>
      <c r="F75" s="2041">
        <f>'10.Review Research &amp; Surveillen'!F20</f>
        <v>0</v>
      </c>
      <c r="G75" s="2041">
        <f>'10.Review Research &amp; Surveillen'!G20</f>
        <v>0</v>
      </c>
      <c r="H75" s="2041">
        <f>'10.Review Research &amp; Surveillen'!H20</f>
        <v>0</v>
      </c>
      <c r="I75" s="2041">
        <f>'10.Review Research &amp; Surveillen'!I20</f>
        <v>0</v>
      </c>
      <c r="J75" s="2041">
        <f>'10.Review Research &amp; Surveillen'!J20</f>
        <v>0</v>
      </c>
      <c r="K75" s="2041">
        <f>'10.Review Research &amp; Surveillen'!K20</f>
        <v>0</v>
      </c>
      <c r="L75" s="2041">
        <f>'10.Review Research &amp; Surveillen'!L20</f>
        <v>0</v>
      </c>
      <c r="M75" s="178">
        <f>'10.Review Research &amp; Surveillen'!M20</f>
        <v>0</v>
      </c>
      <c r="N75" s="2041">
        <f>'10.Review Research &amp; Surveillen'!N20</f>
        <v>0</v>
      </c>
      <c r="O75" s="178">
        <f>'10.Review Research &amp; Surveillen'!O20</f>
        <v>0</v>
      </c>
      <c r="P75" s="2014">
        <f>'10.Review Research &amp; Surveillen'!P20</f>
        <v>0</v>
      </c>
      <c r="Q75" s="67"/>
      <c r="R75" s="679"/>
    </row>
    <row r="76" spans="1:18" ht="30" x14ac:dyDescent="0.2">
      <c r="A76" s="2014" t="str">
        <f>'10.Review Research &amp; Surveillen'!A22</f>
        <v>10.2.7.1</v>
      </c>
      <c r="B76" s="2014" t="str">
        <f>'10.Review Research &amp; Surveillen'!B22</f>
        <v>F.1.4.g.i</v>
      </c>
      <c r="C76" s="2014" t="str">
        <f>'10.Review Research &amp; Surveillen'!C22</f>
        <v>LY &amp; Hy Survey in 350 dist.</v>
      </c>
      <c r="D76" s="2041" t="str">
        <f>'10.Review Research &amp; Surveillen'!D22</f>
        <v>NDCP</v>
      </c>
      <c r="E76" s="2041" t="str">
        <f>'10.Review Research &amp; Surveillen'!E22</f>
        <v>NVBDCP-Lymphatic Filariasis</v>
      </c>
      <c r="F76" s="2041">
        <f>'10.Review Research &amp; Surveillen'!F22</f>
        <v>0</v>
      </c>
      <c r="G76" s="2041">
        <f>'10.Review Research &amp; Surveillen'!G22</f>
        <v>0</v>
      </c>
      <c r="H76" s="2041">
        <f>'10.Review Research &amp; Surveillen'!H22</f>
        <v>0</v>
      </c>
      <c r="I76" s="2041">
        <f>'10.Review Research &amp; Surveillen'!I22</f>
        <v>0</v>
      </c>
      <c r="J76" s="2041">
        <f>'10.Review Research &amp; Surveillen'!J22</f>
        <v>0</v>
      </c>
      <c r="K76" s="2041">
        <f>'10.Review Research &amp; Surveillen'!K22</f>
        <v>0</v>
      </c>
      <c r="L76" s="2041">
        <f>'10.Review Research &amp; Surveillen'!L22</f>
        <v>0</v>
      </c>
      <c r="M76" s="178">
        <f>'10.Review Research &amp; Surveillen'!M22</f>
        <v>0</v>
      </c>
      <c r="N76" s="2041">
        <f>'10.Review Research &amp; Surveillen'!N22</f>
        <v>0</v>
      </c>
      <c r="O76" s="178">
        <f>'10.Review Research &amp; Surveillen'!O22</f>
        <v>0</v>
      </c>
      <c r="P76" s="2014">
        <f>'10.Review Research &amp; Surveillen'!P22</f>
        <v>0</v>
      </c>
      <c r="Q76" s="67"/>
      <c r="R76" s="679"/>
    </row>
    <row r="77" spans="1:18" ht="30" x14ac:dyDescent="0.2">
      <c r="A77" s="2014" t="str">
        <f>'10.Review Research &amp; Surveillen'!A23</f>
        <v>10.2.7.2</v>
      </c>
      <c r="B77" s="2014" t="str">
        <f>'10.Review Research &amp; Surveillen'!B23</f>
        <v>F.1.4.g.ii</v>
      </c>
      <c r="C77" s="2014" t="str">
        <f>'10.Review Research &amp; Surveillen'!C23</f>
        <v>Mf Survey in Non- endemic dist.</v>
      </c>
      <c r="D77" s="2041" t="str">
        <f>'10.Review Research &amp; Surveillen'!D23</f>
        <v>NDCP</v>
      </c>
      <c r="E77" s="2041" t="str">
        <f>'10.Review Research &amp; Surveillen'!E23</f>
        <v>NVBDCP-Lymphatic Filariasis</v>
      </c>
      <c r="F77" s="2041">
        <f>'10.Review Research &amp; Surveillen'!F23</f>
        <v>0</v>
      </c>
      <c r="G77" s="2041">
        <f>'10.Review Research &amp; Surveillen'!G23</f>
        <v>0</v>
      </c>
      <c r="H77" s="2041">
        <f>'10.Review Research &amp; Surveillen'!H23</f>
        <v>0</v>
      </c>
      <c r="I77" s="2041">
        <f>'10.Review Research &amp; Surveillen'!I23</f>
        <v>0</v>
      </c>
      <c r="J77" s="2041">
        <f>'10.Review Research &amp; Surveillen'!J23</f>
        <v>0</v>
      </c>
      <c r="K77" s="2041">
        <f>'10.Review Research &amp; Surveillen'!K23</f>
        <v>0</v>
      </c>
      <c r="L77" s="2041">
        <f>'10.Review Research &amp; Surveillen'!L23</f>
        <v>0</v>
      </c>
      <c r="M77" s="178">
        <f>'10.Review Research &amp; Surveillen'!M23</f>
        <v>0</v>
      </c>
      <c r="N77" s="2041">
        <f>'10.Review Research &amp; Surveillen'!N23</f>
        <v>0</v>
      </c>
      <c r="O77" s="178">
        <f>'10.Review Research &amp; Surveillen'!O23</f>
        <v>0</v>
      </c>
      <c r="P77" s="2014">
        <f>'10.Review Research &amp; Surveillen'!P23</f>
        <v>0</v>
      </c>
      <c r="Q77" s="67"/>
      <c r="R77" s="679"/>
    </row>
    <row r="78" spans="1:18" ht="30" x14ac:dyDescent="0.2">
      <c r="A78" s="2014" t="str">
        <f>'10.Review Research &amp; Surveillen'!A24</f>
        <v>10.2.7.3</v>
      </c>
      <c r="B78" s="2014" t="str">
        <f>'10.Review Research &amp; Surveillen'!B24</f>
        <v>F.1.4.g.iii</v>
      </c>
      <c r="C78" s="2014" t="str">
        <f>'10.Review Research &amp; Surveillen'!C24</f>
        <v>ICT survey in 200 dist.</v>
      </c>
      <c r="D78" s="2041" t="str">
        <f>'10.Review Research &amp; Surveillen'!D24</f>
        <v>NDCP</v>
      </c>
      <c r="E78" s="2041" t="str">
        <f>'10.Review Research &amp; Surveillen'!E24</f>
        <v>NVBDCP-Lymphatic Filariasis</v>
      </c>
      <c r="F78" s="2041">
        <f>'10.Review Research &amp; Surveillen'!F24</f>
        <v>0</v>
      </c>
      <c r="G78" s="2041">
        <f>'10.Review Research &amp; Surveillen'!G24</f>
        <v>0</v>
      </c>
      <c r="H78" s="2041">
        <f>'10.Review Research &amp; Surveillen'!H24</f>
        <v>0</v>
      </c>
      <c r="I78" s="2041">
        <f>'10.Review Research &amp; Surveillen'!I24</f>
        <v>0</v>
      </c>
      <c r="J78" s="2041">
        <f>'10.Review Research &amp; Surveillen'!J24</f>
        <v>0</v>
      </c>
      <c r="K78" s="2041">
        <f>'10.Review Research &amp; Surveillen'!K24</f>
        <v>0</v>
      </c>
      <c r="L78" s="2041">
        <f>'10.Review Research &amp; Surveillen'!L24</f>
        <v>0</v>
      </c>
      <c r="M78" s="178">
        <f>'10.Review Research &amp; Surveillen'!M24</f>
        <v>0</v>
      </c>
      <c r="N78" s="2041">
        <f>'10.Review Research &amp; Surveillen'!N24</f>
        <v>0</v>
      </c>
      <c r="O78" s="178">
        <f>'10.Review Research &amp; Surveillen'!O24</f>
        <v>0</v>
      </c>
      <c r="P78" s="2014">
        <f>'10.Review Research &amp; Surveillen'!P24</f>
        <v>0</v>
      </c>
      <c r="Q78" s="67"/>
      <c r="R78" s="679"/>
    </row>
    <row r="79" spans="1:18" ht="30" x14ac:dyDescent="0.2">
      <c r="A79" s="103" t="str">
        <f>'10.Review Research &amp; Surveillen'!A36</f>
        <v>10.3.1.1</v>
      </c>
      <c r="B79" s="103" t="str">
        <f>'10.Review Research &amp; Surveillen'!B36</f>
        <v>F.1.2.a(i)</v>
      </c>
      <c r="C79" s="103" t="str">
        <f>'10.Review Research &amp; Surveillen'!C36</f>
        <v xml:space="preserve">Apex Referral Labs recurrent </v>
      </c>
      <c r="D79" s="2002" t="str">
        <f>'10.Review Research &amp; Surveillen'!D36</f>
        <v>NDCP</v>
      </c>
      <c r="E79" s="2002" t="str">
        <f>'10.Review Research &amp; Surveillen'!E36</f>
        <v>NVBDCP - Dengue/Chikungunya</v>
      </c>
      <c r="F79" s="2002">
        <f>'10.Review Research &amp; Surveillen'!F36</f>
        <v>0</v>
      </c>
      <c r="G79" s="2002">
        <f>'10.Review Research &amp; Surveillen'!G36</f>
        <v>0</v>
      </c>
      <c r="H79" s="2002">
        <f>'10.Review Research &amp; Surveillen'!H36</f>
        <v>0</v>
      </c>
      <c r="I79" s="2002">
        <f>'10.Review Research &amp; Surveillen'!I36</f>
        <v>0</v>
      </c>
      <c r="J79" s="2002">
        <f>'10.Review Research &amp; Surveillen'!J36</f>
        <v>0</v>
      </c>
      <c r="K79" s="2002">
        <f>'10.Review Research &amp; Surveillen'!K36</f>
        <v>0</v>
      </c>
      <c r="L79" s="2002">
        <f>'10.Review Research &amp; Surveillen'!L36</f>
        <v>0</v>
      </c>
      <c r="M79" s="178">
        <f>'10.Review Research &amp; Surveillen'!M36</f>
        <v>0</v>
      </c>
      <c r="N79" s="2002">
        <f>'10.Review Research &amp; Surveillen'!N36</f>
        <v>0</v>
      </c>
      <c r="O79" s="178">
        <f>'10.Review Research &amp; Surveillen'!O36</f>
        <v>0</v>
      </c>
      <c r="P79" s="103">
        <f>'10.Review Research &amp; Surveillen'!P36</f>
        <v>0</v>
      </c>
      <c r="Q79" s="3342"/>
      <c r="R79" s="679"/>
    </row>
    <row r="80" spans="1:18" ht="30" x14ac:dyDescent="0.2">
      <c r="A80" s="103" t="str">
        <f>'10.Review Research &amp; Surveillen'!A37</f>
        <v>10.3.1.2</v>
      </c>
      <c r="B80" s="103" t="str">
        <f>'10.Review Research &amp; Surveillen'!B37</f>
        <v>F.1.2.a(ii)</v>
      </c>
      <c r="C80" s="103" t="str">
        <f>'10.Review Research &amp; Surveillen'!C37</f>
        <v xml:space="preserve">Sentinel surveillance Hospital recurrent </v>
      </c>
      <c r="D80" s="2002" t="str">
        <f>'10.Review Research &amp; Surveillen'!D37</f>
        <v>NDCP</v>
      </c>
      <c r="E80" s="2002" t="str">
        <f>'10.Review Research &amp; Surveillen'!E37</f>
        <v>NVBDCP - Dengue/Chikungunya</v>
      </c>
      <c r="F80" s="2002">
        <f>'10.Review Research &amp; Surveillen'!F37</f>
        <v>0</v>
      </c>
      <c r="G80" s="2002">
        <f>'10.Review Research &amp; Surveillen'!G37</f>
        <v>0</v>
      </c>
      <c r="H80" s="2002">
        <f>'10.Review Research &amp; Surveillen'!H37</f>
        <v>0</v>
      </c>
      <c r="I80" s="2002">
        <f>'10.Review Research &amp; Surveillen'!I37</f>
        <v>0</v>
      </c>
      <c r="J80" s="2002">
        <f>'10.Review Research &amp; Surveillen'!J37</f>
        <v>0</v>
      </c>
      <c r="K80" s="2002">
        <f>'10.Review Research &amp; Surveillen'!K37</f>
        <v>0</v>
      </c>
      <c r="L80" s="2002">
        <f>'10.Review Research &amp; Surveillen'!L37</f>
        <v>0</v>
      </c>
      <c r="M80" s="178">
        <f>'10.Review Research &amp; Surveillen'!M37</f>
        <v>0</v>
      </c>
      <c r="N80" s="2002">
        <f>'10.Review Research &amp; Surveillen'!N37</f>
        <v>0</v>
      </c>
      <c r="O80" s="178">
        <f>'10.Review Research &amp; Surveillen'!O37</f>
        <v>0</v>
      </c>
      <c r="P80" s="103">
        <f>'10.Review Research &amp; Surveillen'!P37</f>
        <v>0</v>
      </c>
      <c r="Q80" s="3342"/>
      <c r="R80" s="679"/>
    </row>
    <row r="81" spans="1:18" ht="30" x14ac:dyDescent="0.2">
      <c r="A81" s="103" t="str">
        <f>'10.Review Research &amp; Surveillen'!A38</f>
        <v>10.3.1.3</v>
      </c>
      <c r="B81" s="103" t="str">
        <f>'10.Review Research &amp; Surveillen'!B38</f>
        <v>F.1.2.a(iii)</v>
      </c>
      <c r="C81" s="103" t="str">
        <f>'10.Review Research &amp; Surveillen'!C38</f>
        <v xml:space="preserve">ELISA  facility to Sentinel Survey Labs </v>
      </c>
      <c r="D81" s="2002" t="str">
        <f>'10.Review Research &amp; Surveillen'!D38</f>
        <v>NDCP</v>
      </c>
      <c r="E81" s="2002" t="str">
        <f>'10.Review Research &amp; Surveillen'!E38</f>
        <v>NVBDCP - Dengue/Chikungunya</v>
      </c>
      <c r="F81" s="2002">
        <f>'10.Review Research &amp; Surveillen'!F38</f>
        <v>0</v>
      </c>
      <c r="G81" s="2002">
        <f>'10.Review Research &amp; Surveillen'!G38</f>
        <v>0</v>
      </c>
      <c r="H81" s="2002">
        <f>'10.Review Research &amp; Surveillen'!H38</f>
        <v>0</v>
      </c>
      <c r="I81" s="2002">
        <f>'10.Review Research &amp; Surveillen'!I38</f>
        <v>0</v>
      </c>
      <c r="J81" s="2002">
        <f>'10.Review Research &amp; Surveillen'!J38</f>
        <v>0</v>
      </c>
      <c r="K81" s="2002">
        <f>'10.Review Research &amp; Surveillen'!K38</f>
        <v>0</v>
      </c>
      <c r="L81" s="2002">
        <f>'10.Review Research &amp; Surveillen'!L38</f>
        <v>0</v>
      </c>
      <c r="M81" s="178">
        <f>'10.Review Research &amp; Surveillen'!M38</f>
        <v>0</v>
      </c>
      <c r="N81" s="2002">
        <f>'10.Review Research &amp; Surveillen'!N38</f>
        <v>0</v>
      </c>
      <c r="O81" s="178">
        <f>'10.Review Research &amp; Surveillen'!O38</f>
        <v>0</v>
      </c>
      <c r="P81" s="103">
        <f>'10.Review Research &amp; Surveillen'!P38</f>
        <v>0</v>
      </c>
      <c r="Q81" s="3342"/>
      <c r="R81" s="679"/>
    </row>
    <row r="82" spans="1:18" ht="30" x14ac:dyDescent="0.2">
      <c r="A82" s="103" t="str">
        <f>'10.Review Research &amp; Surveillen'!A39</f>
        <v>10.3.1.4</v>
      </c>
      <c r="B82" s="103" t="str">
        <f>'10.Review Research &amp; Surveillen'!B39</f>
        <v>F.1.3.a</v>
      </c>
      <c r="C82" s="103" t="str">
        <f>'10.Review Research &amp; Surveillen'!C39</f>
        <v>Strengthening of Sentinel sites which will include Diagnostics and Case Management, supply of kits by GoI</v>
      </c>
      <c r="D82" s="2002" t="str">
        <f>'10.Review Research &amp; Surveillen'!D39</f>
        <v>NDCP</v>
      </c>
      <c r="E82" s="2002" t="str">
        <f>'10.Review Research &amp; Surveillen'!E39</f>
        <v>NVBDCP - AES/JE</v>
      </c>
      <c r="F82" s="2002">
        <f>'10.Review Research &amp; Surveillen'!F39</f>
        <v>0</v>
      </c>
      <c r="G82" s="2002">
        <f>'10.Review Research &amp; Surveillen'!G39</f>
        <v>0</v>
      </c>
      <c r="H82" s="2002">
        <f>'10.Review Research &amp; Surveillen'!H39</f>
        <v>0</v>
      </c>
      <c r="I82" s="2002">
        <f>'10.Review Research &amp; Surveillen'!I39</f>
        <v>0</v>
      </c>
      <c r="J82" s="2002">
        <f>'10.Review Research &amp; Surveillen'!J39</f>
        <v>0</v>
      </c>
      <c r="K82" s="2002">
        <f>'10.Review Research &amp; Surveillen'!K39</f>
        <v>0</v>
      </c>
      <c r="L82" s="2002">
        <f>'10.Review Research &amp; Surveillen'!L39</f>
        <v>0</v>
      </c>
      <c r="M82" s="178">
        <f>'10.Review Research &amp; Surveillen'!M39</f>
        <v>0</v>
      </c>
      <c r="N82" s="2002">
        <f>'10.Review Research &amp; Surveillen'!N39</f>
        <v>0</v>
      </c>
      <c r="O82" s="178">
        <f>'10.Review Research &amp; Surveillen'!O39</f>
        <v>0</v>
      </c>
      <c r="P82" s="103">
        <f>'10.Review Research &amp; Surveillen'!P39</f>
        <v>0</v>
      </c>
      <c r="Q82" s="3342"/>
      <c r="R82" s="679"/>
    </row>
    <row r="83" spans="1:18" ht="30" x14ac:dyDescent="0.2">
      <c r="A83" s="103" t="str">
        <f>'10.Review Research &amp; Surveillen'!A40</f>
        <v>10.3.1.5</v>
      </c>
      <c r="B83" s="103" t="str">
        <f>'10.Review Research &amp; Surveillen'!B40</f>
        <v>F.1.4.h</v>
      </c>
      <c r="C83" s="103" t="str">
        <f>'10.Review Research &amp; Surveillen'!C40</f>
        <v xml:space="preserve">Post-MDA surveillance </v>
      </c>
      <c r="D83" s="2002" t="str">
        <f>'10.Review Research &amp; Surveillen'!D40</f>
        <v>NDCP</v>
      </c>
      <c r="E83" s="2002" t="str">
        <f>'10.Review Research &amp; Surveillen'!E40</f>
        <v>NVBDCP-Lymphatic Filariasis</v>
      </c>
      <c r="F83" s="2002">
        <f>'10.Review Research &amp; Surveillen'!F40</f>
        <v>0</v>
      </c>
      <c r="G83" s="2002">
        <f>'10.Review Research &amp; Surveillen'!G40</f>
        <v>0</v>
      </c>
      <c r="H83" s="2002">
        <f>'10.Review Research &amp; Surveillen'!H40</f>
        <v>0</v>
      </c>
      <c r="I83" s="2002">
        <f>'10.Review Research &amp; Surveillen'!I40</f>
        <v>0</v>
      </c>
      <c r="J83" s="2002">
        <f>'10.Review Research &amp; Surveillen'!J40</f>
        <v>0</v>
      </c>
      <c r="K83" s="2002">
        <f>'10.Review Research &amp; Surveillen'!K40</f>
        <v>0</v>
      </c>
      <c r="L83" s="2002">
        <f>'10.Review Research &amp; Surveillen'!L40</f>
        <v>0</v>
      </c>
      <c r="M83" s="178">
        <f>'10.Review Research &amp; Surveillen'!M40</f>
        <v>0</v>
      </c>
      <c r="N83" s="2002">
        <f>'10.Review Research &amp; Surveillen'!N40</f>
        <v>0</v>
      </c>
      <c r="O83" s="178">
        <f>'10.Review Research &amp; Surveillen'!O40</f>
        <v>0</v>
      </c>
      <c r="P83" s="103">
        <f>'10.Review Research &amp; Surveillen'!P40</f>
        <v>0</v>
      </c>
      <c r="Q83" s="3342"/>
      <c r="R83" s="679"/>
    </row>
    <row r="84" spans="1:18" ht="30" x14ac:dyDescent="0.2">
      <c r="A84" s="103" t="str">
        <f>'10.Review Research &amp; Surveillen'!A41</f>
        <v>10.3.1.6</v>
      </c>
      <c r="B84" s="103">
        <f>'10.Review Research &amp; Surveillen'!B41</f>
        <v>0</v>
      </c>
      <c r="C84" s="103" t="str">
        <f>'10.Review Research &amp; Surveillen'!C41</f>
        <v>Any other (please specify)</v>
      </c>
      <c r="D84" s="2002" t="str">
        <f>'10.Review Research &amp; Surveillen'!D41</f>
        <v>NDCP</v>
      </c>
      <c r="E84" s="2002" t="str">
        <f>'10.Review Research &amp; Surveillen'!E41</f>
        <v>NVBDCP</v>
      </c>
      <c r="F84" s="2002">
        <f>'10.Review Research &amp; Surveillen'!F41</f>
        <v>0</v>
      </c>
      <c r="G84" s="2002">
        <f>'10.Review Research &amp; Surveillen'!G41</f>
        <v>0</v>
      </c>
      <c r="H84" s="2002">
        <f>'10.Review Research &amp; Surveillen'!H41</f>
        <v>0</v>
      </c>
      <c r="I84" s="2002">
        <f>'10.Review Research &amp; Surveillen'!I41</f>
        <v>0</v>
      </c>
      <c r="J84" s="2002">
        <f>'10.Review Research &amp; Surveillen'!J41</f>
        <v>0</v>
      </c>
      <c r="K84" s="2002">
        <f>'10.Review Research &amp; Surveillen'!K41</f>
        <v>0</v>
      </c>
      <c r="L84" s="2002">
        <f>'10.Review Research &amp; Surveillen'!L41</f>
        <v>0</v>
      </c>
      <c r="M84" s="178">
        <f>'10.Review Research &amp; Surveillen'!M41</f>
        <v>0</v>
      </c>
      <c r="N84" s="2002">
        <f>'10.Review Research &amp; Surveillen'!N41</f>
        <v>0</v>
      </c>
      <c r="O84" s="178">
        <f>'10.Review Research &amp; Surveillen'!O41</f>
        <v>0</v>
      </c>
      <c r="P84" s="103">
        <f>'10.Review Research &amp; Surveillen'!P41</f>
        <v>0</v>
      </c>
      <c r="Q84" s="67"/>
      <c r="R84" s="679"/>
    </row>
    <row r="85" spans="1:18" ht="30" x14ac:dyDescent="0.2">
      <c r="A85" s="103" t="str">
        <f>'10.Review Research &amp; Surveillen'!A53</f>
        <v>10.4.6</v>
      </c>
      <c r="B85" s="103" t="str">
        <f>'10.Review Research &amp; Surveillen'!B53</f>
        <v>F.1.4.f.iii</v>
      </c>
      <c r="C85" s="103" t="str">
        <f>'10.Review Research &amp; Surveillen'!C53</f>
        <v>ICT Cost</v>
      </c>
      <c r="D85" s="2002" t="str">
        <f>'10.Review Research &amp; Surveillen'!D53</f>
        <v>NDCP</v>
      </c>
      <c r="E85" s="2002" t="str">
        <f>'10.Review Research &amp; Surveillen'!E53</f>
        <v>NVBDCP-Lymphatic Filariasis</v>
      </c>
      <c r="F85" s="2002">
        <f>'10.Review Research &amp; Surveillen'!F53</f>
        <v>0</v>
      </c>
      <c r="G85" s="2002">
        <f>'10.Review Research &amp; Surveillen'!G53</f>
        <v>0</v>
      </c>
      <c r="H85" s="2002">
        <f>'10.Review Research &amp; Surveillen'!H53</f>
        <v>0</v>
      </c>
      <c r="I85" s="2002">
        <f>'10.Review Research &amp; Surveillen'!I53</f>
        <v>0</v>
      </c>
      <c r="J85" s="2002">
        <f>'10.Review Research &amp; Surveillen'!J53</f>
        <v>0</v>
      </c>
      <c r="K85" s="2002">
        <f>'10.Review Research &amp; Surveillen'!K53</f>
        <v>0</v>
      </c>
      <c r="L85" s="2002">
        <f>'10.Review Research &amp; Surveillen'!L53</f>
        <v>0</v>
      </c>
      <c r="M85" s="178">
        <f>'10.Review Research &amp; Surveillen'!M53</f>
        <v>0</v>
      </c>
      <c r="N85" s="2002">
        <f>'10.Review Research &amp; Surveillen'!N53</f>
        <v>0</v>
      </c>
      <c r="O85" s="178">
        <f>'10.Review Research &amp; Surveillen'!O53</f>
        <v>0</v>
      </c>
      <c r="P85" s="103">
        <f>'10.Review Research &amp; Surveillen'!P53</f>
        <v>0</v>
      </c>
      <c r="Q85" s="67"/>
      <c r="R85" s="679"/>
    </row>
    <row r="86" spans="1:18" ht="30" x14ac:dyDescent="0.2">
      <c r="A86" s="103" t="str">
        <f>'10.Review Research &amp; Surveillen'!A58</f>
        <v>10.5.3</v>
      </c>
      <c r="B86" s="103">
        <f>'10.Review Research &amp; Surveillen'!B58</f>
        <v>0</v>
      </c>
      <c r="C86" s="103" t="str">
        <f>'10.Review Research &amp; Surveillen'!C58</f>
        <v>Sub-national Disease Free Certification: Kala Azar</v>
      </c>
      <c r="D86" s="2002" t="str">
        <f>'10.Review Research &amp; Surveillen'!D58</f>
        <v>NDCP</v>
      </c>
      <c r="E86" s="2002" t="str">
        <f>'10.Review Research &amp; Surveillen'!E58</f>
        <v>NVBDCP- Kala-azar</v>
      </c>
      <c r="F86" s="2002">
        <f>'10.Review Research &amp; Surveillen'!F58</f>
        <v>0</v>
      </c>
      <c r="G86" s="2002">
        <f>'10.Review Research &amp; Surveillen'!G58</f>
        <v>0</v>
      </c>
      <c r="H86" s="2002">
        <f>'10.Review Research &amp; Surveillen'!H58</f>
        <v>0</v>
      </c>
      <c r="I86" s="2002">
        <f>'10.Review Research &amp; Surveillen'!I58</f>
        <v>0</v>
      </c>
      <c r="J86" s="2002">
        <f>'10.Review Research &amp; Surveillen'!J58</f>
        <v>0</v>
      </c>
      <c r="K86" s="2002">
        <f>'10.Review Research &amp; Surveillen'!K58</f>
        <v>0</v>
      </c>
      <c r="L86" s="2002">
        <f>'10.Review Research &amp; Surveillen'!L58</f>
        <v>0</v>
      </c>
      <c r="M86" s="178">
        <f>'10.Review Research &amp; Surveillen'!M58</f>
        <v>0</v>
      </c>
      <c r="N86" s="2002">
        <f>'10.Review Research &amp; Surveillen'!N58</f>
        <v>0</v>
      </c>
      <c r="O86" s="178">
        <f>'10.Review Research &amp; Surveillen'!O58</f>
        <v>0</v>
      </c>
      <c r="P86" s="103">
        <f>'10.Review Research &amp; Surveillen'!P58</f>
        <v>0</v>
      </c>
      <c r="Q86" s="67"/>
      <c r="R86" s="679"/>
    </row>
    <row r="87" spans="1:18" ht="30" x14ac:dyDescent="0.2">
      <c r="A87" s="103" t="str">
        <f>'10.Review Research &amp; Surveillen'!A59</f>
        <v>10.5.4</v>
      </c>
      <c r="B87" s="103">
        <f>'10.Review Research &amp; Surveillen'!B59</f>
        <v>0</v>
      </c>
      <c r="C87" s="103" t="str">
        <f>'10.Review Research &amp; Surveillen'!C59</f>
        <v>Sub-national Disease Free Certification: Lymphatic Filariasis</v>
      </c>
      <c r="D87" s="2002" t="str">
        <f>'10.Review Research &amp; Surveillen'!D59</f>
        <v>NDCP</v>
      </c>
      <c r="E87" s="2002" t="str">
        <f>'10.Review Research &amp; Surveillen'!E59</f>
        <v>NVBDCP-Lymphatic Filariasis</v>
      </c>
      <c r="F87" s="2002">
        <f>'10.Review Research &amp; Surveillen'!F59</f>
        <v>0</v>
      </c>
      <c r="G87" s="2002">
        <f>'10.Review Research &amp; Surveillen'!G59</f>
        <v>0</v>
      </c>
      <c r="H87" s="2002">
        <f>'10.Review Research &amp; Surveillen'!H59</f>
        <v>0</v>
      </c>
      <c r="I87" s="2002">
        <f>'10.Review Research &amp; Surveillen'!I59</f>
        <v>0</v>
      </c>
      <c r="J87" s="2002">
        <f>'10.Review Research &amp; Surveillen'!J59</f>
        <v>0</v>
      </c>
      <c r="K87" s="2002">
        <f>'10.Review Research &amp; Surveillen'!K59</f>
        <v>0</v>
      </c>
      <c r="L87" s="2002">
        <f>'10.Review Research &amp; Surveillen'!L59</f>
        <v>0</v>
      </c>
      <c r="M87" s="178">
        <f>'10.Review Research &amp; Surveillen'!M59</f>
        <v>0</v>
      </c>
      <c r="N87" s="2002">
        <f>'10.Review Research &amp; Surveillen'!N59</f>
        <v>0</v>
      </c>
      <c r="O87" s="178">
        <f>'10.Review Research &amp; Surveillen'!O59</f>
        <v>0</v>
      </c>
      <c r="P87" s="103">
        <f>'10.Review Research &amp; Surveillen'!P59</f>
        <v>0</v>
      </c>
      <c r="Q87" s="67"/>
      <c r="R87" s="679"/>
    </row>
    <row r="88" spans="1:18" ht="30" x14ac:dyDescent="0.2">
      <c r="A88" s="103" t="str">
        <f>'10.Review Research &amp; Surveillen'!A60</f>
        <v>10.5.5</v>
      </c>
      <c r="B88" s="103">
        <f>'10.Review Research &amp; Surveillen'!B60</f>
        <v>0</v>
      </c>
      <c r="C88" s="103" t="str">
        <f>'10.Review Research &amp; Surveillen'!C60</f>
        <v>Sub-national Disease Free Certification: Malaria</v>
      </c>
      <c r="D88" s="2002" t="str">
        <f>'10.Review Research &amp; Surveillen'!D60</f>
        <v>NDCP</v>
      </c>
      <c r="E88" s="2002" t="str">
        <f>'10.Review Research &amp; Surveillen'!E60</f>
        <v>NVBDCP – Malaria</v>
      </c>
      <c r="F88" s="2002">
        <f>'10.Review Research &amp; Surveillen'!F60</f>
        <v>0</v>
      </c>
      <c r="G88" s="2002">
        <f>'10.Review Research &amp; Surveillen'!G60</f>
        <v>0</v>
      </c>
      <c r="H88" s="2002">
        <f>'10.Review Research &amp; Surveillen'!H60</f>
        <v>0</v>
      </c>
      <c r="I88" s="2002">
        <f>'10.Review Research &amp; Surveillen'!I60</f>
        <v>0</v>
      </c>
      <c r="J88" s="2002">
        <f>'10.Review Research &amp; Surveillen'!J60</f>
        <v>0</v>
      </c>
      <c r="K88" s="2002">
        <f>'10.Review Research &amp; Surveillen'!K60</f>
        <v>0</v>
      </c>
      <c r="L88" s="2002">
        <f>'10.Review Research &amp; Surveillen'!L60</f>
        <v>0</v>
      </c>
      <c r="M88" s="178">
        <f>'10.Review Research &amp; Surveillen'!M60</f>
        <v>0</v>
      </c>
      <c r="N88" s="2002">
        <f>'10.Review Research &amp; Surveillen'!N60</f>
        <v>0</v>
      </c>
      <c r="O88" s="178">
        <f>'10.Review Research &amp; Surveillen'!O60</f>
        <v>0</v>
      </c>
      <c r="P88" s="103">
        <f>'10.Review Research &amp; Surveillen'!P60</f>
        <v>0</v>
      </c>
      <c r="Q88" s="67"/>
      <c r="R88" s="679"/>
    </row>
    <row r="89" spans="1:18" x14ac:dyDescent="0.2">
      <c r="A89" s="1997">
        <f>'11.IEC-BCC Annex'!A7</f>
        <v>11</v>
      </c>
      <c r="B89" s="1997"/>
      <c r="C89" s="1997" t="str">
        <f>'11.IEC-BCC Annex'!C7</f>
        <v>IEC/BCC</v>
      </c>
      <c r="D89" s="1996"/>
      <c r="E89" s="1996"/>
      <c r="F89" s="1996"/>
      <c r="G89" s="1996"/>
      <c r="H89" s="1996"/>
      <c r="I89" s="1996"/>
      <c r="J89" s="1996"/>
      <c r="K89" s="1996"/>
      <c r="L89" s="1996"/>
      <c r="M89" s="969"/>
      <c r="N89" s="1996"/>
      <c r="O89" s="969">
        <f>SUM(O90:O97)</f>
        <v>0</v>
      </c>
      <c r="P89" s="1997"/>
      <c r="Q89" s="1908"/>
      <c r="R89" s="132">
        <f>SUM(R90:R97)</f>
        <v>0</v>
      </c>
    </row>
    <row r="90" spans="1:18" ht="30" x14ac:dyDescent="0.2">
      <c r="A90" s="4072" t="str">
        <f>'11.IEC-BCC Annex'!A25</f>
        <v>11.3.1</v>
      </c>
      <c r="B90" s="103" t="str">
        <f>'11-A. IEC Sub-Annex'!C58</f>
        <v>B.10.6.9.a</v>
      </c>
      <c r="C90" s="103" t="str">
        <f>'11-A. IEC Sub-Annex'!D58</f>
        <v>IEC/BCC for Malaria</v>
      </c>
      <c r="D90" s="2002" t="str">
        <f>'11-A. IEC Sub-Annex'!E58</f>
        <v>NDCP</v>
      </c>
      <c r="E90" s="2002" t="str">
        <f>'11-A. IEC Sub-Annex'!F58</f>
        <v>NVBDCP – Malaria</v>
      </c>
      <c r="F90" s="2002">
        <f>'11-A. IEC Sub-Annex'!G58</f>
        <v>0</v>
      </c>
      <c r="G90" s="2002">
        <f>'11-A. IEC Sub-Annex'!H58</f>
        <v>0</v>
      </c>
      <c r="H90" s="2002">
        <f>'11-A. IEC Sub-Annex'!I58</f>
        <v>0</v>
      </c>
      <c r="I90" s="2002">
        <f>'11-A. IEC Sub-Annex'!J58</f>
        <v>0</v>
      </c>
      <c r="J90" s="2002">
        <f>'11-A. IEC Sub-Annex'!K58</f>
        <v>0</v>
      </c>
      <c r="K90" s="2002">
        <f>'11-A. IEC Sub-Annex'!L58</f>
        <v>0</v>
      </c>
      <c r="L90" s="2002">
        <f>'11-A. IEC Sub-Annex'!M58</f>
        <v>0</v>
      </c>
      <c r="M90" s="178">
        <f>'11-A. IEC Sub-Annex'!N58</f>
        <v>0</v>
      </c>
      <c r="N90" s="2002">
        <f>'11-A. IEC Sub-Annex'!O58</f>
        <v>0</v>
      </c>
      <c r="O90" s="178">
        <f>'11-A. IEC Sub-Annex'!P58</f>
        <v>0</v>
      </c>
      <c r="P90" s="103">
        <f>'11-A. IEC Sub-Annex'!Q58</f>
        <v>0</v>
      </c>
      <c r="Q90" s="3342"/>
      <c r="R90" s="679"/>
    </row>
    <row r="91" spans="1:18" ht="30" x14ac:dyDescent="0.2">
      <c r="A91" s="4072"/>
      <c r="B91" s="103" t="str">
        <f>'11-A. IEC Sub-Annex'!C59</f>
        <v>B.10.6.9.b</v>
      </c>
      <c r="C91" s="103" t="str">
        <f>'11-A. IEC Sub-Annex'!D59</f>
        <v>IEC/BCC for Social mobilization (Dengue and Chikungunya)</v>
      </c>
      <c r="D91" s="2002" t="str">
        <f>'11-A. IEC Sub-Annex'!E59</f>
        <v>NDCP</v>
      </c>
      <c r="E91" s="2002" t="str">
        <f>'11-A. IEC Sub-Annex'!F59</f>
        <v>NVBDCP-Dengue &amp; Chikungunya</v>
      </c>
      <c r="F91" s="2002">
        <f>'11-A. IEC Sub-Annex'!G59</f>
        <v>0</v>
      </c>
      <c r="G91" s="2002">
        <f>'11-A. IEC Sub-Annex'!H59</f>
        <v>0</v>
      </c>
      <c r="H91" s="2002">
        <f>'11-A. IEC Sub-Annex'!I59</f>
        <v>0</v>
      </c>
      <c r="I91" s="2002">
        <f>'11-A. IEC Sub-Annex'!J59</f>
        <v>0</v>
      </c>
      <c r="J91" s="2002">
        <f>'11-A. IEC Sub-Annex'!K59</f>
        <v>0</v>
      </c>
      <c r="K91" s="2002">
        <f>'11-A. IEC Sub-Annex'!L59</f>
        <v>0</v>
      </c>
      <c r="L91" s="2002">
        <f>'11-A. IEC Sub-Annex'!M59</f>
        <v>0</v>
      </c>
      <c r="M91" s="178">
        <f>'11-A. IEC Sub-Annex'!N59</f>
        <v>0</v>
      </c>
      <c r="N91" s="2002">
        <f>'11-A. IEC Sub-Annex'!O59</f>
        <v>0</v>
      </c>
      <c r="O91" s="178">
        <f>'11-A. IEC Sub-Annex'!P59</f>
        <v>0</v>
      </c>
      <c r="P91" s="103">
        <f>'11-A. IEC Sub-Annex'!Q59</f>
        <v>0</v>
      </c>
      <c r="Q91" s="3342"/>
      <c r="R91" s="679"/>
    </row>
    <row r="92" spans="1:18" ht="30" x14ac:dyDescent="0.2">
      <c r="A92" s="4072"/>
      <c r="B92" s="103" t="str">
        <f>'11-A. IEC Sub-Annex'!C60</f>
        <v>B.10.6.9.c</v>
      </c>
      <c r="C92" s="103" t="str">
        <f>'11-A. IEC Sub-Annex'!D60</f>
        <v>IEC/BCC specific to J.E. in endemic areas</v>
      </c>
      <c r="D92" s="2002" t="str">
        <f>'11-A. IEC Sub-Annex'!E60</f>
        <v>NDCP</v>
      </c>
      <c r="E92" s="2002" t="str">
        <f>'11-A. IEC Sub-Annex'!F60</f>
        <v>NVBDCP-AES/JE</v>
      </c>
      <c r="F92" s="2002">
        <f>'11-A. IEC Sub-Annex'!G60</f>
        <v>0</v>
      </c>
      <c r="G92" s="2002">
        <f>'11-A. IEC Sub-Annex'!H60</f>
        <v>0</v>
      </c>
      <c r="H92" s="2002">
        <f>'11-A. IEC Sub-Annex'!I60</f>
        <v>0</v>
      </c>
      <c r="I92" s="2002">
        <f>'11-A. IEC Sub-Annex'!J60</f>
        <v>0</v>
      </c>
      <c r="J92" s="2002">
        <f>'11-A. IEC Sub-Annex'!K60</f>
        <v>0</v>
      </c>
      <c r="K92" s="2002">
        <f>'11-A. IEC Sub-Annex'!L60</f>
        <v>0</v>
      </c>
      <c r="L92" s="2002">
        <f>'11-A. IEC Sub-Annex'!M60</f>
        <v>0</v>
      </c>
      <c r="M92" s="178">
        <f>'11-A. IEC Sub-Annex'!N60</f>
        <v>0</v>
      </c>
      <c r="N92" s="2002">
        <f>'11-A. IEC Sub-Annex'!O60</f>
        <v>0</v>
      </c>
      <c r="O92" s="178">
        <f>'11-A. IEC Sub-Annex'!P60</f>
        <v>0</v>
      </c>
      <c r="P92" s="103">
        <f>'11-A. IEC Sub-Annex'!Q60</f>
        <v>0</v>
      </c>
      <c r="Q92" s="3342"/>
      <c r="R92" s="679"/>
    </row>
    <row r="93" spans="1:18" ht="60" x14ac:dyDescent="0.2">
      <c r="A93" s="4072"/>
      <c r="B93" s="103" t="str">
        <f>'11-A. IEC Sub-Annex'!C61</f>
        <v>B.10.6.9.d</v>
      </c>
      <c r="C93" s="103" t="str">
        <f>'11-A. IEC Sub-Annex'!D61</f>
        <v>Specific IEC/BCC for Lymphatic Filariasis at State, District, PHC, Sub-centre and village level including VHSC/GKs for community mobilization efforts to realize the desired drug compliance of 85% during MDA</v>
      </c>
      <c r="D93" s="2002" t="str">
        <f>'11-A. IEC Sub-Annex'!E61</f>
        <v>NDCP</v>
      </c>
      <c r="E93" s="2002" t="str">
        <f>'11-A. IEC Sub-Annex'!F61</f>
        <v>NVBDCP-Lymphatic Filariasis</v>
      </c>
      <c r="F93" s="2002">
        <f>'11-A. IEC Sub-Annex'!G61</f>
        <v>0</v>
      </c>
      <c r="G93" s="2002">
        <f>'11-A. IEC Sub-Annex'!H61</f>
        <v>0</v>
      </c>
      <c r="H93" s="2002">
        <f>'11-A. IEC Sub-Annex'!I61</f>
        <v>0</v>
      </c>
      <c r="I93" s="2002">
        <f>'11-A. IEC Sub-Annex'!J61</f>
        <v>0</v>
      </c>
      <c r="J93" s="2002">
        <f>'11-A. IEC Sub-Annex'!K61</f>
        <v>0</v>
      </c>
      <c r="K93" s="2002">
        <f>'11-A. IEC Sub-Annex'!L61</f>
        <v>0</v>
      </c>
      <c r="L93" s="2002">
        <f>'11-A. IEC Sub-Annex'!M61</f>
        <v>0</v>
      </c>
      <c r="M93" s="178">
        <f>'11-A. IEC Sub-Annex'!N61</f>
        <v>0</v>
      </c>
      <c r="N93" s="2002">
        <f>'11-A. IEC Sub-Annex'!O61</f>
        <v>0</v>
      </c>
      <c r="O93" s="178">
        <f>'11-A. IEC Sub-Annex'!P61</f>
        <v>0</v>
      </c>
      <c r="P93" s="103">
        <f>'11-A. IEC Sub-Annex'!Q61</f>
        <v>0</v>
      </c>
      <c r="Q93" s="67"/>
      <c r="R93" s="679"/>
    </row>
    <row r="94" spans="1:18" ht="30" x14ac:dyDescent="0.2">
      <c r="A94" s="4072"/>
      <c r="B94" s="103" t="str">
        <f>'11-A. IEC Sub-Annex'!C62</f>
        <v>B.10.6.9.e</v>
      </c>
      <c r="C94" s="103" t="str">
        <f>'11-A. IEC Sub-Annex'!D62</f>
        <v>IEC/BCC/Advocacy for Kala-azar</v>
      </c>
      <c r="D94" s="2002" t="str">
        <f>'11-A. IEC Sub-Annex'!E62</f>
        <v>NDCP</v>
      </c>
      <c r="E94" s="2002" t="str">
        <f>'11-A. IEC Sub-Annex'!F62</f>
        <v>NVBDCP- Kala-azar</v>
      </c>
      <c r="F94" s="2002">
        <f>'11-A. IEC Sub-Annex'!G62</f>
        <v>0</v>
      </c>
      <c r="G94" s="2002">
        <f>'11-A. IEC Sub-Annex'!H62</f>
        <v>0</v>
      </c>
      <c r="H94" s="2002">
        <f>'11-A. IEC Sub-Annex'!I62</f>
        <v>0</v>
      </c>
      <c r="I94" s="2002">
        <f>'11-A. IEC Sub-Annex'!J62</f>
        <v>0</v>
      </c>
      <c r="J94" s="2002">
        <f>'11-A. IEC Sub-Annex'!K62</f>
        <v>0</v>
      </c>
      <c r="K94" s="2002">
        <f>'11-A. IEC Sub-Annex'!L62</f>
        <v>0</v>
      </c>
      <c r="L94" s="2002">
        <f>'11-A. IEC Sub-Annex'!M62</f>
        <v>0</v>
      </c>
      <c r="M94" s="178">
        <f>'11-A. IEC Sub-Annex'!N62</f>
        <v>0</v>
      </c>
      <c r="N94" s="2002">
        <f>'11-A. IEC Sub-Annex'!O62</f>
        <v>0</v>
      </c>
      <c r="O94" s="178">
        <f>'11-A. IEC Sub-Annex'!P62</f>
        <v>0</v>
      </c>
      <c r="P94" s="103">
        <f>'11-A. IEC Sub-Annex'!Q62</f>
        <v>0</v>
      </c>
      <c r="Q94" s="67"/>
      <c r="R94" s="679"/>
    </row>
    <row r="95" spans="1:18" ht="30" x14ac:dyDescent="0.2">
      <c r="A95" s="4072"/>
      <c r="B95" s="103" t="str">
        <f>'11-A. IEC Sub-Annex'!C63</f>
        <v>B.10.6.9.f</v>
      </c>
      <c r="C95" s="103" t="str">
        <f>'11-A. IEC Sub-Annex'!D63</f>
        <v>IEC/BCC activities as per the GFATM project</v>
      </c>
      <c r="D95" s="2002" t="str">
        <f>'11-A. IEC Sub-Annex'!E63</f>
        <v>NDCP</v>
      </c>
      <c r="E95" s="2002" t="str">
        <f>'11-A. IEC Sub-Annex'!F63</f>
        <v>NVBDCP - GFATM</v>
      </c>
      <c r="F95" s="2002">
        <f>'11-A. IEC Sub-Annex'!G63</f>
        <v>0</v>
      </c>
      <c r="G95" s="2002">
        <f>'11-A. IEC Sub-Annex'!H63</f>
        <v>0</v>
      </c>
      <c r="H95" s="2002">
        <f>'11-A. IEC Sub-Annex'!I63</f>
        <v>0</v>
      </c>
      <c r="I95" s="2002">
        <f>'11-A. IEC Sub-Annex'!J63</f>
        <v>0</v>
      </c>
      <c r="J95" s="2002">
        <f>'11-A. IEC Sub-Annex'!K63</f>
        <v>0</v>
      </c>
      <c r="K95" s="2002">
        <f>'11-A. IEC Sub-Annex'!L63</f>
        <v>0</v>
      </c>
      <c r="L95" s="2002">
        <f>'11-A. IEC Sub-Annex'!M63</f>
        <v>0</v>
      </c>
      <c r="M95" s="178">
        <f>'11-A. IEC Sub-Annex'!N63</f>
        <v>0</v>
      </c>
      <c r="N95" s="2002">
        <f>'11-A. IEC Sub-Annex'!O63</f>
        <v>0</v>
      </c>
      <c r="O95" s="178">
        <f>'11-A. IEC Sub-Annex'!P63</f>
        <v>0</v>
      </c>
      <c r="P95" s="103">
        <f>'11-A. IEC Sub-Annex'!Q63</f>
        <v>0</v>
      </c>
      <c r="Q95" s="67"/>
      <c r="R95" s="679"/>
    </row>
    <row r="96" spans="1:18" ht="30" x14ac:dyDescent="0.2">
      <c r="A96" s="4072"/>
      <c r="B96" s="103"/>
      <c r="C96" s="103" t="str">
        <f>'11-A. IEC Sub-Annex'!D64</f>
        <v>IEC/ BCC activities under MVCR</v>
      </c>
      <c r="D96" s="2002" t="str">
        <f>'11-A. IEC Sub-Annex'!E64</f>
        <v>NDCP</v>
      </c>
      <c r="E96" s="2002" t="str">
        <f>'11-A. IEC Sub-Annex'!F64</f>
        <v>NVBDCP – Malaria</v>
      </c>
      <c r="F96" s="2002">
        <f>'11-A. IEC Sub-Annex'!G64</f>
        <v>0</v>
      </c>
      <c r="G96" s="2002">
        <f>'11-A. IEC Sub-Annex'!H64</f>
        <v>0</v>
      </c>
      <c r="H96" s="2002">
        <f>'11-A. IEC Sub-Annex'!I64</f>
        <v>0</v>
      </c>
      <c r="I96" s="2002">
        <f>'11-A. IEC Sub-Annex'!J64</f>
        <v>0</v>
      </c>
      <c r="J96" s="2002">
        <f>'11-A. IEC Sub-Annex'!K64</f>
        <v>0</v>
      </c>
      <c r="K96" s="2002">
        <f>'11-A. IEC Sub-Annex'!L64</f>
        <v>0</v>
      </c>
      <c r="L96" s="2002">
        <f>'11-A. IEC Sub-Annex'!M64</f>
        <v>0</v>
      </c>
      <c r="M96" s="178">
        <f>'11-A. IEC Sub-Annex'!N64</f>
        <v>0</v>
      </c>
      <c r="N96" s="2002">
        <f>'11-A. IEC Sub-Annex'!O64</f>
        <v>0</v>
      </c>
      <c r="O96" s="178">
        <f>'11-A. IEC Sub-Annex'!P64</f>
        <v>0</v>
      </c>
      <c r="P96" s="103">
        <f>'11-A. IEC Sub-Annex'!Q64</f>
        <v>0</v>
      </c>
      <c r="Q96" s="67"/>
      <c r="R96" s="679"/>
    </row>
    <row r="97" spans="1:18" ht="30" x14ac:dyDescent="0.2">
      <c r="A97" s="4072"/>
      <c r="B97" s="103"/>
      <c r="C97" s="103" t="str">
        <f>'11-A. IEC Sub-Annex'!D65</f>
        <v>Any other IEC/BCC activities (please specify)</v>
      </c>
      <c r="D97" s="2002" t="str">
        <f>'11-A. IEC Sub-Annex'!E65</f>
        <v>NDCP</v>
      </c>
      <c r="E97" s="2002" t="str">
        <f>'11-A. IEC Sub-Annex'!F65</f>
        <v>NVBDCP</v>
      </c>
      <c r="F97" s="2002">
        <f>'11-A. IEC Sub-Annex'!G65</f>
        <v>0</v>
      </c>
      <c r="G97" s="2002">
        <f>'11-A. IEC Sub-Annex'!H65</f>
        <v>0</v>
      </c>
      <c r="H97" s="2002">
        <f>'11-A. IEC Sub-Annex'!I65</f>
        <v>0</v>
      </c>
      <c r="I97" s="2002">
        <f>'11-A. IEC Sub-Annex'!J65</f>
        <v>0</v>
      </c>
      <c r="J97" s="2002">
        <f>'11-A. IEC Sub-Annex'!K65</f>
        <v>0</v>
      </c>
      <c r="K97" s="2002">
        <f>'11-A. IEC Sub-Annex'!L65</f>
        <v>0</v>
      </c>
      <c r="L97" s="2002">
        <f>'11-A. IEC Sub-Annex'!M65</f>
        <v>0</v>
      </c>
      <c r="M97" s="178">
        <f>'11-A. IEC Sub-Annex'!N65</f>
        <v>0</v>
      </c>
      <c r="N97" s="2002">
        <f>'11-A. IEC Sub-Annex'!O65</f>
        <v>0</v>
      </c>
      <c r="O97" s="178">
        <f>'11-A. IEC Sub-Annex'!P65</f>
        <v>0</v>
      </c>
      <c r="P97" s="103">
        <f>'11-A. IEC Sub-Annex'!Q65</f>
        <v>0</v>
      </c>
      <c r="Q97" s="67"/>
      <c r="R97" s="679"/>
    </row>
    <row r="98" spans="1:18" x14ac:dyDescent="0.2">
      <c r="A98" s="1997">
        <f>'12.Printing Annex'!A7</f>
        <v>12</v>
      </c>
      <c r="B98" s="1997"/>
      <c r="C98" s="1997" t="str">
        <f>'12.Printing Annex'!C7</f>
        <v>Printing</v>
      </c>
      <c r="D98" s="1996"/>
      <c r="E98" s="1996"/>
      <c r="F98" s="1996"/>
      <c r="G98" s="1996"/>
      <c r="H98" s="1996"/>
      <c r="I98" s="1996"/>
      <c r="J98" s="1996"/>
      <c r="K98" s="1996"/>
      <c r="L98" s="1996"/>
      <c r="M98" s="969"/>
      <c r="N98" s="1996"/>
      <c r="O98" s="969">
        <f>SUM(O99:O102)</f>
        <v>0</v>
      </c>
      <c r="P98" s="1997"/>
      <c r="Q98" s="1908"/>
      <c r="R98" s="132">
        <f>SUM(R99:R102)</f>
        <v>0</v>
      </c>
    </row>
    <row r="99" spans="1:18" ht="30" x14ac:dyDescent="0.2">
      <c r="A99" s="4076" t="str">
        <f>'12.Printing Annex'!A26</f>
        <v>12.3.1</v>
      </c>
      <c r="B99" s="103" t="str">
        <f>'12-A. Print Sub-Annex'!C78</f>
        <v>F.1.4.a</v>
      </c>
      <c r="C99" s="103" t="str">
        <f>'12-A. Print Sub-Annex'!D78</f>
        <v>Printing of forms/registers for Lymphatic Filariasis</v>
      </c>
      <c r="D99" s="2002" t="str">
        <f>'12-A. Print Sub-Annex'!E78</f>
        <v>NDCP</v>
      </c>
      <c r="E99" s="2002" t="str">
        <f>'12-A. Print Sub-Annex'!F78</f>
        <v>NVBDCP-Lymphatic Filariasis</v>
      </c>
      <c r="F99" s="2002">
        <f>'12-A. Print Sub-Annex'!G78</f>
        <v>0</v>
      </c>
      <c r="G99" s="2002">
        <f>'12-A. Print Sub-Annex'!H78</f>
        <v>0</v>
      </c>
      <c r="H99" s="2002">
        <f>'12-A. Print Sub-Annex'!I78</f>
        <v>0</v>
      </c>
      <c r="I99" s="2002">
        <f>'12-A. Print Sub-Annex'!J78</f>
        <v>0</v>
      </c>
      <c r="J99" s="2002">
        <f>'12-A. Print Sub-Annex'!K78</f>
        <v>0</v>
      </c>
      <c r="K99" s="2002">
        <f>'12-A. Print Sub-Annex'!L78</f>
        <v>0</v>
      </c>
      <c r="L99" s="2002">
        <f>'12-A. Print Sub-Annex'!M78</f>
        <v>0</v>
      </c>
      <c r="M99" s="178">
        <f>'12-A. Print Sub-Annex'!N78</f>
        <v>0</v>
      </c>
      <c r="N99" s="2002">
        <f>'12-A. Print Sub-Annex'!O78</f>
        <v>0</v>
      </c>
      <c r="O99" s="178">
        <f>'12-A. Print Sub-Annex'!P78</f>
        <v>0</v>
      </c>
      <c r="P99" s="103">
        <f>'12-A. Print Sub-Annex'!Q78</f>
        <v>0</v>
      </c>
      <c r="Q99" s="67"/>
      <c r="R99" s="679"/>
    </row>
    <row r="100" spans="1:18" ht="30" x14ac:dyDescent="0.2">
      <c r="A100" s="4076"/>
      <c r="B100" s="103" t="str">
        <f>'12-A. Print Sub-Annex'!C79</f>
        <v>F.2.1.g</v>
      </c>
      <c r="C100" s="103" t="str">
        <f>'12-A. Print Sub-Annex'!D79</f>
        <v>Communication Material and Publications (CMP) - GFATM</v>
      </c>
      <c r="D100" s="2002" t="str">
        <f>'12-A. Print Sub-Annex'!E79</f>
        <v>NDCP</v>
      </c>
      <c r="E100" s="2002" t="str">
        <f>'12-A. Print Sub-Annex'!F79</f>
        <v>NVBDCP - GFATM</v>
      </c>
      <c r="F100" s="2002">
        <f>'12-A. Print Sub-Annex'!G79</f>
        <v>0</v>
      </c>
      <c r="G100" s="2002">
        <f>'12-A. Print Sub-Annex'!H79</f>
        <v>0</v>
      </c>
      <c r="H100" s="2002">
        <f>'12-A. Print Sub-Annex'!I79</f>
        <v>0</v>
      </c>
      <c r="I100" s="2002">
        <f>'12-A. Print Sub-Annex'!J79</f>
        <v>0</v>
      </c>
      <c r="J100" s="2002">
        <f>'12-A. Print Sub-Annex'!K79</f>
        <v>0</v>
      </c>
      <c r="K100" s="2002">
        <f>'12-A. Print Sub-Annex'!L79</f>
        <v>0</v>
      </c>
      <c r="L100" s="2002">
        <f>'12-A. Print Sub-Annex'!M79</f>
        <v>0</v>
      </c>
      <c r="M100" s="178">
        <f>'12-A. Print Sub-Annex'!N79</f>
        <v>0</v>
      </c>
      <c r="N100" s="2002">
        <f>'12-A. Print Sub-Annex'!O79</f>
        <v>0</v>
      </c>
      <c r="O100" s="178">
        <f>'12-A. Print Sub-Annex'!P79</f>
        <v>0</v>
      </c>
      <c r="P100" s="103">
        <f>'12-A. Print Sub-Annex'!Q79</f>
        <v>0</v>
      </c>
      <c r="Q100" s="67"/>
      <c r="R100" s="679"/>
    </row>
    <row r="101" spans="1:18" ht="30" x14ac:dyDescent="0.2">
      <c r="A101" s="4076"/>
      <c r="B101" s="103">
        <f>'12-A. Print Sub-Annex'!C80</f>
        <v>0</v>
      </c>
      <c r="C101" s="103" t="str">
        <f>'12-A. Print Sub-Annex'!D80</f>
        <v>Printing of recording and reporting forms/registers for Malaria</v>
      </c>
      <c r="D101" s="2002" t="str">
        <f>'12-A. Print Sub-Annex'!E80</f>
        <v>NDCP</v>
      </c>
      <c r="E101" s="2002" t="str">
        <f>'12-A. Print Sub-Annex'!F80</f>
        <v>NVBDCP – Malaria</v>
      </c>
      <c r="F101" s="2002">
        <f>'12-A. Print Sub-Annex'!G80</f>
        <v>0</v>
      </c>
      <c r="G101" s="2002">
        <f>'12-A. Print Sub-Annex'!H80</f>
        <v>0</v>
      </c>
      <c r="H101" s="2002">
        <f>'12-A. Print Sub-Annex'!I80</f>
        <v>0</v>
      </c>
      <c r="I101" s="2002">
        <f>'12-A. Print Sub-Annex'!J80</f>
        <v>0</v>
      </c>
      <c r="J101" s="2002">
        <f>'12-A. Print Sub-Annex'!K80</f>
        <v>0</v>
      </c>
      <c r="K101" s="2002">
        <f>'12-A. Print Sub-Annex'!L80</f>
        <v>0</v>
      </c>
      <c r="L101" s="2002">
        <f>'12-A. Print Sub-Annex'!M80</f>
        <v>0</v>
      </c>
      <c r="M101" s="178">
        <f>'12-A. Print Sub-Annex'!N80</f>
        <v>0</v>
      </c>
      <c r="N101" s="2002">
        <f>'12-A. Print Sub-Annex'!O80</f>
        <v>0</v>
      </c>
      <c r="O101" s="178">
        <f>'12-A. Print Sub-Annex'!P80</f>
        <v>0</v>
      </c>
      <c r="P101" s="103">
        <f>'12-A. Print Sub-Annex'!Q80</f>
        <v>0</v>
      </c>
      <c r="Q101" s="67"/>
      <c r="R101" s="679"/>
    </row>
    <row r="102" spans="1:18" ht="30" x14ac:dyDescent="0.2">
      <c r="A102" s="4076"/>
      <c r="B102" s="103"/>
      <c r="C102" s="103" t="str">
        <f>'12-A. Print Sub-Annex'!D81</f>
        <v>Any other (please specify)</v>
      </c>
      <c r="D102" s="2002" t="str">
        <f>'12-A. Print Sub-Annex'!E81</f>
        <v>NDCP</v>
      </c>
      <c r="E102" s="2002" t="str">
        <f>'12-A. Print Sub-Annex'!F81</f>
        <v>NVBDCP - GFATM</v>
      </c>
      <c r="F102" s="2002">
        <f>'12-A. Print Sub-Annex'!G81</f>
        <v>0</v>
      </c>
      <c r="G102" s="2002">
        <f>'12-A. Print Sub-Annex'!H81</f>
        <v>0</v>
      </c>
      <c r="H102" s="2002">
        <f>'12-A. Print Sub-Annex'!I81</f>
        <v>0</v>
      </c>
      <c r="I102" s="2002">
        <f>'12-A. Print Sub-Annex'!J81</f>
        <v>0</v>
      </c>
      <c r="J102" s="2002">
        <f>'12-A. Print Sub-Annex'!K81</f>
        <v>0</v>
      </c>
      <c r="K102" s="2002">
        <f>'12-A. Print Sub-Annex'!L81</f>
        <v>0</v>
      </c>
      <c r="L102" s="2002">
        <f>'12-A. Print Sub-Annex'!M81</f>
        <v>0</v>
      </c>
      <c r="M102" s="178">
        <f>'12-A. Print Sub-Annex'!N81</f>
        <v>0</v>
      </c>
      <c r="N102" s="2002">
        <f>'12-A. Print Sub-Annex'!O81</f>
        <v>0</v>
      </c>
      <c r="O102" s="178">
        <f>'12-A. Print Sub-Annex'!P81</f>
        <v>0</v>
      </c>
      <c r="P102" s="103">
        <f>'12-A. Print Sub-Annex'!Q81</f>
        <v>0</v>
      </c>
      <c r="Q102" s="67"/>
      <c r="R102" s="679"/>
    </row>
    <row r="103" spans="1:18" x14ac:dyDescent="0.2">
      <c r="A103" s="1997">
        <f>'14.Drug warehouse &amp;Logistic Anx'!A7</f>
        <v>14</v>
      </c>
      <c r="B103" s="1997"/>
      <c r="C103" s="1997" t="str">
        <f>'14.Drug warehouse &amp;Logistic Anx'!C7</f>
        <v>Drug Warehousing and Logistics</v>
      </c>
      <c r="D103" s="1996"/>
      <c r="E103" s="1996"/>
      <c r="F103" s="1996"/>
      <c r="G103" s="1996"/>
      <c r="H103" s="1996"/>
      <c r="I103" s="1996"/>
      <c r="J103" s="1996"/>
      <c r="K103" s="1996"/>
      <c r="L103" s="1996"/>
      <c r="M103" s="969"/>
      <c r="N103" s="1996"/>
      <c r="O103" s="969">
        <f>O104</f>
        <v>0</v>
      </c>
      <c r="P103" s="1997"/>
      <c r="Q103" s="1908"/>
      <c r="R103" s="132">
        <f>R104</f>
        <v>0</v>
      </c>
    </row>
    <row r="104" spans="1:18" ht="30" x14ac:dyDescent="0.2">
      <c r="A104" s="103" t="str">
        <f>'14.Drug warehouse &amp;Logistic Anx'!A27</f>
        <v>14.2.9</v>
      </c>
      <c r="B104" s="103" t="str">
        <f>'14.Drug warehouse &amp;Logistic Anx'!B27</f>
        <v>F.2.1.d</v>
      </c>
      <c r="C104" s="103" t="str">
        <f>'14.Drug warehouse &amp;Logistic Anx'!C27</f>
        <v>Supply Chain Management cost under GFATM</v>
      </c>
      <c r="D104" s="2002" t="str">
        <f>'14.Drug warehouse &amp;Logistic Anx'!D27</f>
        <v>NDCP</v>
      </c>
      <c r="E104" s="2002" t="str">
        <f>'14.Drug warehouse &amp;Logistic Anx'!E27</f>
        <v>NVBDCP - GFATM</v>
      </c>
      <c r="F104" s="2002">
        <f>'14.Drug warehouse &amp;Logistic Anx'!F27</f>
        <v>0</v>
      </c>
      <c r="G104" s="2002">
        <f>'14.Drug warehouse &amp;Logistic Anx'!G27</f>
        <v>0</v>
      </c>
      <c r="H104" s="2002">
        <f>'14.Drug warehouse &amp;Logistic Anx'!H27</f>
        <v>0</v>
      </c>
      <c r="I104" s="2002">
        <f>'14.Drug warehouse &amp;Logistic Anx'!I27</f>
        <v>0</v>
      </c>
      <c r="J104" s="2002">
        <f>'14.Drug warehouse &amp;Logistic Anx'!J27</f>
        <v>0</v>
      </c>
      <c r="K104" s="2002">
        <f>'14.Drug warehouse &amp;Logistic Anx'!K27</f>
        <v>0</v>
      </c>
      <c r="L104" s="2002">
        <f>'14.Drug warehouse &amp;Logistic Anx'!L27</f>
        <v>0</v>
      </c>
      <c r="M104" s="178">
        <f>'14.Drug warehouse &amp;Logistic Anx'!M27</f>
        <v>0</v>
      </c>
      <c r="N104" s="2002">
        <f>'14.Drug warehouse &amp;Logistic Anx'!N27</f>
        <v>0</v>
      </c>
      <c r="O104" s="178">
        <f>'14.Drug warehouse &amp;Logistic Anx'!O27</f>
        <v>0</v>
      </c>
      <c r="P104" s="103">
        <f>'14.Drug warehouse &amp;Logistic Anx'!P27</f>
        <v>0</v>
      </c>
      <c r="Q104" s="67"/>
      <c r="R104" s="679"/>
    </row>
    <row r="105" spans="1:18" x14ac:dyDescent="0.2">
      <c r="A105" s="1997">
        <f>'15.PPP Annex'!A7</f>
        <v>15</v>
      </c>
      <c r="B105" s="1997"/>
      <c r="C105" s="1997" t="str">
        <f>'15.PPP Annex'!C7</f>
        <v>PPP</v>
      </c>
      <c r="D105" s="1996"/>
      <c r="E105" s="1996"/>
      <c r="F105" s="1996"/>
      <c r="G105" s="1996"/>
      <c r="H105" s="1996"/>
      <c r="I105" s="1996"/>
      <c r="J105" s="1996"/>
      <c r="K105" s="1996"/>
      <c r="L105" s="1996"/>
      <c r="M105" s="969"/>
      <c r="N105" s="1996"/>
      <c r="O105" s="969">
        <f>SUM(O106:O107)</f>
        <v>0</v>
      </c>
      <c r="P105" s="1997"/>
      <c r="Q105" s="1908"/>
      <c r="R105" s="132">
        <f>SUM(R106:R107)</f>
        <v>0</v>
      </c>
    </row>
    <row r="106" spans="1:18" ht="30" x14ac:dyDescent="0.2">
      <c r="A106" s="103" t="str">
        <f>'15.PPP Annex'!A21</f>
        <v>15.3.1.1</v>
      </c>
      <c r="B106" s="103" t="str">
        <f>'15.PPP Annex'!B21</f>
        <v>15.3.1/ F.1.1.e</v>
      </c>
      <c r="C106" s="103" t="str">
        <f>'15.PPP Annex'!C21</f>
        <v xml:space="preserve">PPP / NGO and Intersectoral Convergence </v>
      </c>
      <c r="D106" s="2002" t="str">
        <f>'15.PPP Annex'!D21</f>
        <v>NDCP</v>
      </c>
      <c r="E106" s="2002" t="str">
        <f>'15.PPP Annex'!E21</f>
        <v>NVBDCP – Malaria</v>
      </c>
      <c r="F106" s="2002">
        <f>'15.PPP Annex'!F21</f>
        <v>0</v>
      </c>
      <c r="G106" s="2002">
        <f>'15.PPP Annex'!G21</f>
        <v>0</v>
      </c>
      <c r="H106" s="2002">
        <f>'15.PPP Annex'!H21</f>
        <v>0</v>
      </c>
      <c r="I106" s="2002">
        <f>'15.PPP Annex'!I21</f>
        <v>0</v>
      </c>
      <c r="J106" s="2002">
        <f>'15.PPP Annex'!J21</f>
        <v>0</v>
      </c>
      <c r="K106" s="2002">
        <f>'15.PPP Annex'!K21</f>
        <v>0</v>
      </c>
      <c r="L106" s="2002">
        <f>'15.PPP Annex'!L21</f>
        <v>0</v>
      </c>
      <c r="M106" s="178">
        <f>'15.PPP Annex'!M21</f>
        <v>0</v>
      </c>
      <c r="N106" s="2002">
        <f>'15.PPP Annex'!N21</f>
        <v>0</v>
      </c>
      <c r="O106" s="178">
        <f>'15.PPP Annex'!O21</f>
        <v>0</v>
      </c>
      <c r="P106" s="103">
        <f>'15.PPP Annex'!P21</f>
        <v>0</v>
      </c>
      <c r="Q106" s="67"/>
      <c r="R106" s="679"/>
    </row>
    <row r="107" spans="1:18" ht="30" x14ac:dyDescent="0.2">
      <c r="A107" s="103" t="str">
        <f>'15.PPP Annex'!A22</f>
        <v>15.3.1.2</v>
      </c>
      <c r="B107" s="103" t="str">
        <f>'15.PPP Annex'!B22</f>
        <v>15.3.2/ F.1.2.g</v>
      </c>
      <c r="C107" s="103" t="str">
        <f>'15.PPP Annex'!C22</f>
        <v>Inter-sectoral convergence</v>
      </c>
      <c r="D107" s="2002" t="str">
        <f>'15.PPP Annex'!D22</f>
        <v>NDCP</v>
      </c>
      <c r="E107" s="2002" t="str">
        <f>'15.PPP Annex'!E22</f>
        <v>NVBDCP - Dengue Chikungunya</v>
      </c>
      <c r="F107" s="2002">
        <f>'15.PPP Annex'!F22</f>
        <v>0</v>
      </c>
      <c r="G107" s="2002">
        <f>'15.PPP Annex'!G22</f>
        <v>0</v>
      </c>
      <c r="H107" s="2002">
        <f>'15.PPP Annex'!H22</f>
        <v>0</v>
      </c>
      <c r="I107" s="2002">
        <f>'15.PPP Annex'!I22</f>
        <v>0</v>
      </c>
      <c r="J107" s="2002">
        <f>'15.PPP Annex'!J22</f>
        <v>0</v>
      </c>
      <c r="K107" s="2002">
        <f>'15.PPP Annex'!K22</f>
        <v>0</v>
      </c>
      <c r="L107" s="2002">
        <f>'15.PPP Annex'!L22</f>
        <v>0</v>
      </c>
      <c r="M107" s="178">
        <f>'15.PPP Annex'!M22</f>
        <v>0</v>
      </c>
      <c r="N107" s="2002">
        <f>'15.PPP Annex'!N22</f>
        <v>0</v>
      </c>
      <c r="O107" s="178">
        <f>'15.PPP Annex'!O22</f>
        <v>0</v>
      </c>
      <c r="P107" s="103">
        <f>'15.PPP Annex'!P22</f>
        <v>0</v>
      </c>
      <c r="Q107" s="67"/>
      <c r="R107" s="679"/>
    </row>
    <row r="108" spans="1:18" x14ac:dyDescent="0.2">
      <c r="A108" s="1883">
        <f>'16.PM Annex'!A7</f>
        <v>16</v>
      </c>
      <c r="B108" s="1883"/>
      <c r="C108" s="1883" t="str">
        <f>'16.PM Annex'!C7</f>
        <v>Programme Management</v>
      </c>
      <c r="D108" s="1901"/>
      <c r="E108" s="1901"/>
      <c r="F108" s="1901"/>
      <c r="G108" s="1901"/>
      <c r="H108" s="1901"/>
      <c r="I108" s="1901"/>
      <c r="J108" s="1901"/>
      <c r="K108" s="1901"/>
      <c r="L108" s="1901"/>
      <c r="M108" s="969"/>
      <c r="N108" s="1901"/>
      <c r="O108" s="969">
        <f>SUM(O109:O133)</f>
        <v>0</v>
      </c>
      <c r="P108" s="1883"/>
      <c r="Q108" s="1908"/>
      <c r="R108" s="132">
        <f>SUM(R109:R133)</f>
        <v>0</v>
      </c>
    </row>
    <row r="109" spans="1:18" ht="30" x14ac:dyDescent="0.2">
      <c r="A109" s="103" t="str">
        <f>'16-A. PM sub Annex'!B38</f>
        <v>16.1.2.1.17</v>
      </c>
      <c r="B109" s="103" t="str">
        <f>'16-A. PM sub Annex'!D38</f>
        <v>F.1.4.a</v>
      </c>
      <c r="C109" s="103" t="str">
        <f>'16-A. PM sub Annex'!E38</f>
        <v>State Task Force, State Technical Advisory Committee meeting, District coordination meeting (Lymphatic Filariasis)</v>
      </c>
      <c r="D109" s="2002" t="str">
        <f>'16-A. PM sub Annex'!F38</f>
        <v>NDCP</v>
      </c>
      <c r="E109" s="2002" t="str">
        <f>'16-A. PM sub Annex'!G38</f>
        <v>HRH&amp;HPIP/ NVBDCP – Malaria</v>
      </c>
      <c r="F109" s="2002">
        <f>'16-A. PM sub Annex'!H38</f>
        <v>0</v>
      </c>
      <c r="G109" s="2002">
        <f>'16-A. PM sub Annex'!I38</f>
        <v>0</v>
      </c>
      <c r="H109" s="2002">
        <f>'16-A. PM sub Annex'!J38</f>
        <v>0</v>
      </c>
      <c r="I109" s="2002">
        <f>'16-A. PM sub Annex'!K38</f>
        <v>0</v>
      </c>
      <c r="J109" s="2002">
        <f>'16-A. PM sub Annex'!L38</f>
        <v>0</v>
      </c>
      <c r="K109" s="2002">
        <f>'16-A. PM sub Annex'!M38</f>
        <v>0</v>
      </c>
      <c r="L109" s="2002">
        <f>'16-A. PM sub Annex'!N38</f>
        <v>0</v>
      </c>
      <c r="M109" s="178">
        <f>'16-A. PM sub Annex'!O38</f>
        <v>0</v>
      </c>
      <c r="N109" s="2002">
        <f>'16-A. PM sub Annex'!P38</f>
        <v>0</v>
      </c>
      <c r="O109" s="178">
        <f>'16-A. PM sub Annex'!Q38</f>
        <v>0</v>
      </c>
      <c r="P109" s="103">
        <f>'16-A. PM sub Annex'!R38</f>
        <v>0</v>
      </c>
      <c r="Q109" s="67"/>
      <c r="R109" s="679"/>
    </row>
    <row r="110" spans="1:18" ht="45" x14ac:dyDescent="0.2">
      <c r="A110" s="103" t="str">
        <f>'16-A. PM sub Annex'!B39</f>
        <v>16.1.2.1.18</v>
      </c>
      <c r="B110" s="103">
        <f>'16-A. PM sub Annex'!D39</f>
        <v>0</v>
      </c>
      <c r="C110" s="103" t="str">
        <f>'16-A. PM sub Annex'!E39</f>
        <v>State Task Force, State Technical Advisory Committee meeting, District coordination meeting, Cross border meetings Sub National Malaria Elimination Certification process (Malaria)</v>
      </c>
      <c r="D110" s="2002" t="str">
        <f>'16-A. PM sub Annex'!F39</f>
        <v>NDCP</v>
      </c>
      <c r="E110" s="2002" t="str">
        <f>'16-A. PM sub Annex'!G39</f>
        <v>HRH&amp;HPIP/ NVBDCP – Malaria</v>
      </c>
      <c r="F110" s="2002">
        <f>'16-A. PM sub Annex'!H39</f>
        <v>0</v>
      </c>
      <c r="G110" s="2002">
        <f>'16-A. PM sub Annex'!I39</f>
        <v>0</v>
      </c>
      <c r="H110" s="2002">
        <f>'16-A. PM sub Annex'!J39</f>
        <v>0</v>
      </c>
      <c r="I110" s="2002">
        <f>'16-A. PM sub Annex'!K39</f>
        <v>0</v>
      </c>
      <c r="J110" s="2002">
        <f>'16-A. PM sub Annex'!L39</f>
        <v>0</v>
      </c>
      <c r="K110" s="2002">
        <f>'16-A. PM sub Annex'!M39</f>
        <v>0</v>
      </c>
      <c r="L110" s="2002">
        <f>'16-A. PM sub Annex'!N39</f>
        <v>0</v>
      </c>
      <c r="M110" s="178">
        <f>'16-A. PM sub Annex'!O39</f>
        <v>0</v>
      </c>
      <c r="N110" s="2002">
        <f>'16-A. PM sub Annex'!P39</f>
        <v>0</v>
      </c>
      <c r="O110" s="178">
        <f>'16-A. PM sub Annex'!Q39</f>
        <v>0</v>
      </c>
      <c r="P110" s="103">
        <f>'16-A. PM sub Annex'!R39</f>
        <v>0</v>
      </c>
      <c r="Q110" s="67"/>
      <c r="R110" s="679"/>
    </row>
    <row r="111" spans="1:18" ht="30" x14ac:dyDescent="0.2">
      <c r="A111" s="103" t="str">
        <f>'16-A. PM sub Annex'!B40</f>
        <v>16.1.2.1.19</v>
      </c>
      <c r="B111" s="103" t="str">
        <f>'16-A. PM sub Annex'!D40</f>
        <v>F.4</v>
      </c>
      <c r="C111" s="103" t="str">
        <f>'16-A. PM sub Annex'!E40</f>
        <v>GFATM Review Meeting</v>
      </c>
      <c r="D111" s="2002" t="str">
        <f>'16-A. PM sub Annex'!F40</f>
        <v>NDCP</v>
      </c>
      <c r="E111" s="2002" t="str">
        <f>'16-A. PM sub Annex'!G40</f>
        <v>HRH&amp;HPIP/ NVBDCP - GFATM</v>
      </c>
      <c r="F111" s="2002">
        <f>'16-A. PM sub Annex'!H40</f>
        <v>0</v>
      </c>
      <c r="G111" s="2002">
        <f>'16-A. PM sub Annex'!I40</f>
        <v>0</v>
      </c>
      <c r="H111" s="2002">
        <f>'16-A. PM sub Annex'!J40</f>
        <v>0</v>
      </c>
      <c r="I111" s="2002">
        <f>'16-A. PM sub Annex'!K40</f>
        <v>0</v>
      </c>
      <c r="J111" s="2002">
        <f>'16-A. PM sub Annex'!L40</f>
        <v>0</v>
      </c>
      <c r="K111" s="2002">
        <f>'16-A. PM sub Annex'!M40</f>
        <v>0</v>
      </c>
      <c r="L111" s="2002">
        <f>'16-A. PM sub Annex'!N40</f>
        <v>0</v>
      </c>
      <c r="M111" s="178">
        <f>'16-A. PM sub Annex'!O40</f>
        <v>0</v>
      </c>
      <c r="N111" s="2002">
        <f>'16-A. PM sub Annex'!P40</f>
        <v>0</v>
      </c>
      <c r="O111" s="178">
        <f>'16-A. PM sub Annex'!Q40</f>
        <v>0</v>
      </c>
      <c r="P111" s="103">
        <f>'16-A. PM sub Annex'!R40</f>
        <v>0</v>
      </c>
      <c r="Q111" s="67"/>
      <c r="R111" s="679"/>
    </row>
    <row r="112" spans="1:18" ht="30" x14ac:dyDescent="0.2">
      <c r="A112" s="103" t="str">
        <f>'16-A. PM sub Annex'!B55</f>
        <v>16.1.2.2.5</v>
      </c>
      <c r="B112" s="103" t="str">
        <f>'16-A. PM sub Annex'!D55</f>
        <v>F.1.1.d</v>
      </c>
      <c r="C112" s="103" t="str">
        <f>'16-A. PM sub Annex'!E55</f>
        <v>Monitoring , Evaluation &amp; Supervision (Malaria)</v>
      </c>
      <c r="D112" s="2002" t="str">
        <f>'16-A. PM sub Annex'!F55</f>
        <v>NDCP</v>
      </c>
      <c r="E112" s="2002" t="str">
        <f>'16-A. PM sub Annex'!G55</f>
        <v>HRH&amp;HPIP/ NVBDCP – Malaria</v>
      </c>
      <c r="F112" s="2002">
        <f>'16-A. PM sub Annex'!H55</f>
        <v>0</v>
      </c>
      <c r="G112" s="2002">
        <f>'16-A. PM sub Annex'!I55</f>
        <v>0</v>
      </c>
      <c r="H112" s="2002">
        <f>'16-A. PM sub Annex'!J55</f>
        <v>0</v>
      </c>
      <c r="I112" s="2002">
        <f>'16-A. PM sub Annex'!K55</f>
        <v>0</v>
      </c>
      <c r="J112" s="2002">
        <f>'16-A. PM sub Annex'!L55</f>
        <v>0</v>
      </c>
      <c r="K112" s="2002">
        <f>'16-A. PM sub Annex'!M55</f>
        <v>0</v>
      </c>
      <c r="L112" s="2002">
        <f>'16-A. PM sub Annex'!N55</f>
        <v>0</v>
      </c>
      <c r="M112" s="178">
        <f>'16-A. PM sub Annex'!O55</f>
        <v>0</v>
      </c>
      <c r="N112" s="2002">
        <f>'16-A. PM sub Annex'!P55</f>
        <v>0</v>
      </c>
      <c r="O112" s="178">
        <f>'16-A. PM sub Annex'!Q55</f>
        <v>0</v>
      </c>
      <c r="P112" s="103">
        <f>'16-A. PM sub Annex'!R55</f>
        <v>0</v>
      </c>
      <c r="Q112" s="67"/>
      <c r="R112" s="679"/>
    </row>
    <row r="113" spans="1:18" ht="30" x14ac:dyDescent="0.2">
      <c r="A113" s="103" t="str">
        <f>'16-A. PM sub Annex'!B56</f>
        <v>16.1.2.2.6</v>
      </c>
      <c r="B113" s="103" t="str">
        <f>'16-A. PM sub Annex'!D56</f>
        <v>F.1.2.c</v>
      </c>
      <c r="C113" s="103" t="str">
        <f>'16-A. PM sub Annex'!E56</f>
        <v>Monitoring/supervision and Rapid response (Dengue and Chikungunya)</v>
      </c>
      <c r="D113" s="2002" t="str">
        <f>'16-A. PM sub Annex'!F56</f>
        <v>NDCP</v>
      </c>
      <c r="E113" s="2002" t="str">
        <f>'16-A. PM sub Annex'!G56</f>
        <v>HRH&amp;HPIP/ NVBDCP-Dengue &amp; Chikungunya</v>
      </c>
      <c r="F113" s="2002">
        <f>'16-A. PM sub Annex'!H56</f>
        <v>0</v>
      </c>
      <c r="G113" s="2002">
        <f>'16-A. PM sub Annex'!I56</f>
        <v>0</v>
      </c>
      <c r="H113" s="2002">
        <f>'16-A. PM sub Annex'!J56</f>
        <v>0</v>
      </c>
      <c r="I113" s="2002">
        <f>'16-A. PM sub Annex'!K56</f>
        <v>0</v>
      </c>
      <c r="J113" s="2002">
        <f>'16-A. PM sub Annex'!L56</f>
        <v>0</v>
      </c>
      <c r="K113" s="2002">
        <f>'16-A. PM sub Annex'!M56</f>
        <v>0</v>
      </c>
      <c r="L113" s="2002">
        <f>'16-A. PM sub Annex'!N56</f>
        <v>0</v>
      </c>
      <c r="M113" s="178">
        <f>'16-A. PM sub Annex'!O56</f>
        <v>0</v>
      </c>
      <c r="N113" s="2002">
        <f>'16-A. PM sub Annex'!P56</f>
        <v>0</v>
      </c>
      <c r="O113" s="178">
        <f>'16-A. PM sub Annex'!Q56</f>
        <v>0</v>
      </c>
      <c r="P113" s="103">
        <f>'16-A. PM sub Annex'!R56</f>
        <v>0</v>
      </c>
      <c r="Q113" s="3342"/>
      <c r="R113" s="679"/>
    </row>
    <row r="114" spans="1:18" ht="30" x14ac:dyDescent="0.2">
      <c r="A114" s="103" t="str">
        <f>'16-A. PM sub Annex'!B57</f>
        <v>16.1.2.2.7</v>
      </c>
      <c r="B114" s="103" t="str">
        <f>'16-A. PM sub Annex'!D57</f>
        <v>F.1.3.d</v>
      </c>
      <c r="C114" s="103" t="str">
        <f>'16-A. PM sub Annex'!E57</f>
        <v>Monitoring and supervision (JE/ AE)</v>
      </c>
      <c r="D114" s="2002" t="str">
        <f>'16-A. PM sub Annex'!F57</f>
        <v>NDCP</v>
      </c>
      <c r="E114" s="2002" t="str">
        <f>'16-A. PM sub Annex'!G57</f>
        <v>HRH&amp;HPIP/ NVBDCP-AES/JE</v>
      </c>
      <c r="F114" s="2002">
        <f>'16-A. PM sub Annex'!H57</f>
        <v>0</v>
      </c>
      <c r="G114" s="2002">
        <f>'16-A. PM sub Annex'!I57</f>
        <v>0</v>
      </c>
      <c r="H114" s="2002">
        <f>'16-A. PM sub Annex'!J57</f>
        <v>0</v>
      </c>
      <c r="I114" s="2002">
        <f>'16-A. PM sub Annex'!K57</f>
        <v>0</v>
      </c>
      <c r="J114" s="2002">
        <f>'16-A. PM sub Annex'!L57</f>
        <v>0</v>
      </c>
      <c r="K114" s="2002">
        <f>'16-A. PM sub Annex'!M57</f>
        <v>0</v>
      </c>
      <c r="L114" s="2002">
        <f>'16-A. PM sub Annex'!N57</f>
        <v>0</v>
      </c>
      <c r="M114" s="178">
        <f>'16-A. PM sub Annex'!O57</f>
        <v>0</v>
      </c>
      <c r="N114" s="2002">
        <f>'16-A. PM sub Annex'!P57</f>
        <v>0</v>
      </c>
      <c r="O114" s="178">
        <f>'16-A. PM sub Annex'!Q57</f>
        <v>0</v>
      </c>
      <c r="P114" s="103">
        <f>'16-A. PM sub Annex'!R57</f>
        <v>0</v>
      </c>
      <c r="Q114" s="3342"/>
      <c r="R114" s="679"/>
    </row>
    <row r="115" spans="1:18" ht="30" x14ac:dyDescent="0.2">
      <c r="A115" s="103" t="str">
        <f>'16-A. PM sub Annex'!B58</f>
        <v>16.1.2.2.8</v>
      </c>
      <c r="B115" s="103" t="str">
        <f>'16-A. PM sub Annex'!D58</f>
        <v>F.1.4.a</v>
      </c>
      <c r="C115" s="103" t="str">
        <f>'16-A. PM sub Annex'!E58</f>
        <v>Monitoring &amp; Supervision (Lymphatic Filariasis)</v>
      </c>
      <c r="D115" s="2002" t="str">
        <f>'16-A. PM sub Annex'!F58</f>
        <v>NDCP</v>
      </c>
      <c r="E115" s="2002" t="str">
        <f>'16-A. PM sub Annex'!G58</f>
        <v>HRH&amp;HPIP/ NVBDCP-Lymphatic Filariasis</v>
      </c>
      <c r="F115" s="2002">
        <f>'16-A. PM sub Annex'!H58</f>
        <v>0</v>
      </c>
      <c r="G115" s="2002">
        <f>'16-A. PM sub Annex'!I58</f>
        <v>0</v>
      </c>
      <c r="H115" s="2002">
        <f>'16-A. PM sub Annex'!J58</f>
        <v>0</v>
      </c>
      <c r="I115" s="2002">
        <f>'16-A. PM sub Annex'!K58</f>
        <v>0</v>
      </c>
      <c r="J115" s="2002">
        <f>'16-A. PM sub Annex'!L58</f>
        <v>0</v>
      </c>
      <c r="K115" s="2002">
        <f>'16-A. PM sub Annex'!M58</f>
        <v>0</v>
      </c>
      <c r="L115" s="2002">
        <f>'16-A. PM sub Annex'!N58</f>
        <v>0</v>
      </c>
      <c r="M115" s="178">
        <f>'16-A. PM sub Annex'!O58</f>
        <v>0</v>
      </c>
      <c r="N115" s="2002">
        <f>'16-A. PM sub Annex'!P58</f>
        <v>0</v>
      </c>
      <c r="O115" s="178">
        <f>'16-A. PM sub Annex'!Q58</f>
        <v>0</v>
      </c>
      <c r="P115" s="103">
        <f>'16-A. PM sub Annex'!R58</f>
        <v>0</v>
      </c>
      <c r="Q115" s="67"/>
      <c r="R115" s="679"/>
    </row>
    <row r="116" spans="1:18" ht="30" x14ac:dyDescent="0.2">
      <c r="A116" s="103" t="str">
        <f>'16-A. PM sub Annex'!B59</f>
        <v>16.1.2.2.9</v>
      </c>
      <c r="B116" s="103" t="str">
        <f>'16-A. PM sub Annex'!D59</f>
        <v>F.1.5.d</v>
      </c>
      <c r="C116" s="103" t="str">
        <f>'16-A. PM sub Annex'!E59</f>
        <v>Monitoring &amp; Evaluation (Kala Azar)</v>
      </c>
      <c r="D116" s="2002" t="str">
        <f>'16-A. PM sub Annex'!F59</f>
        <v>NDCP</v>
      </c>
      <c r="E116" s="2002" t="str">
        <f>'16-A. PM sub Annex'!G59</f>
        <v>HRH&amp;HPIP/ NVBDCP- Kala-azar</v>
      </c>
      <c r="F116" s="2002">
        <f>'16-A. PM sub Annex'!H59</f>
        <v>0</v>
      </c>
      <c r="G116" s="2002">
        <f>'16-A. PM sub Annex'!I59</f>
        <v>0</v>
      </c>
      <c r="H116" s="2002">
        <f>'16-A. PM sub Annex'!J59</f>
        <v>0</v>
      </c>
      <c r="I116" s="2002">
        <f>'16-A. PM sub Annex'!K59</f>
        <v>0</v>
      </c>
      <c r="J116" s="2002">
        <f>'16-A. PM sub Annex'!L59</f>
        <v>0</v>
      </c>
      <c r="K116" s="2002">
        <f>'16-A. PM sub Annex'!M59</f>
        <v>0</v>
      </c>
      <c r="L116" s="2002">
        <f>'16-A. PM sub Annex'!N59</f>
        <v>0</v>
      </c>
      <c r="M116" s="178">
        <f>'16-A. PM sub Annex'!O59</f>
        <v>0</v>
      </c>
      <c r="N116" s="2002">
        <f>'16-A. PM sub Annex'!P59</f>
        <v>0</v>
      </c>
      <c r="O116" s="178">
        <f>'16-A. PM sub Annex'!Q59</f>
        <v>0</v>
      </c>
      <c r="P116" s="103">
        <f>'16-A. PM sub Annex'!R59</f>
        <v>0</v>
      </c>
      <c r="Q116" s="67"/>
      <c r="R116" s="679"/>
    </row>
    <row r="117" spans="1:18" ht="30" x14ac:dyDescent="0.2">
      <c r="A117" s="103" t="str">
        <f>'16-A. PM sub Annex'!B60</f>
        <v>16.1.2.2.10</v>
      </c>
      <c r="B117" s="103">
        <f>'16-A. PM sub Annex'!D60</f>
        <v>0</v>
      </c>
      <c r="C117" s="103" t="str">
        <f>'16-A. PM sub Annex'!E60</f>
        <v>Miscellaneous (Monitoring)</v>
      </c>
      <c r="D117" s="2002" t="str">
        <f>'16-A. PM sub Annex'!F60</f>
        <v>NDCP</v>
      </c>
      <c r="E117" s="2002" t="str">
        <f>'16-A. PM sub Annex'!G60</f>
        <v>HRH&amp;HPIP/NVBDCP</v>
      </c>
      <c r="F117" s="2002">
        <f>'16-A. PM sub Annex'!H60</f>
        <v>0</v>
      </c>
      <c r="G117" s="2002">
        <f>'16-A. PM sub Annex'!I60</f>
        <v>0</v>
      </c>
      <c r="H117" s="2002">
        <f>'16-A. PM sub Annex'!J60</f>
        <v>0</v>
      </c>
      <c r="I117" s="2002">
        <f>'16-A. PM sub Annex'!K60</f>
        <v>0</v>
      </c>
      <c r="J117" s="2002">
        <f>'16-A. PM sub Annex'!L60</f>
        <v>0</v>
      </c>
      <c r="K117" s="2002">
        <f>'16-A. PM sub Annex'!M60</f>
        <v>0</v>
      </c>
      <c r="L117" s="2002">
        <f>'16-A. PM sub Annex'!N60</f>
        <v>0</v>
      </c>
      <c r="M117" s="178">
        <f>'16-A. PM sub Annex'!O60</f>
        <v>0</v>
      </c>
      <c r="N117" s="2002">
        <f>'16-A. PM sub Annex'!P60</f>
        <v>0</v>
      </c>
      <c r="O117" s="178">
        <f>'16-A. PM sub Annex'!Q60</f>
        <v>0</v>
      </c>
      <c r="P117" s="103">
        <f>'16-A. PM sub Annex'!R60</f>
        <v>0</v>
      </c>
      <c r="Q117" s="67"/>
      <c r="R117" s="679"/>
    </row>
    <row r="118" spans="1:18" ht="30" x14ac:dyDescent="0.2">
      <c r="A118" s="103" t="str">
        <f>'16-A. PM sub Annex'!B77</f>
        <v>16.1.3.1.8</v>
      </c>
      <c r="B118" s="103" t="str">
        <f>'16-A. PM sub Annex'!D77</f>
        <v>F.1.1.d</v>
      </c>
      <c r="C118" s="103" t="str">
        <f>'16-A. PM sub Annex'!E77</f>
        <v>Monitoring , Evaluation &amp; Supervision &amp; Epidemic Preparedness (Only Mobility Expenses)</v>
      </c>
      <c r="D118" s="2002" t="str">
        <f>'16-A. PM sub Annex'!F77</f>
        <v>NDCP</v>
      </c>
      <c r="E118" s="2002" t="str">
        <f>'16-A. PM sub Annex'!G77</f>
        <v>HRH&amp;HPIP/ NVBDCP – Malaria</v>
      </c>
      <c r="F118" s="2002">
        <f>'16-A. PM sub Annex'!H77</f>
        <v>0</v>
      </c>
      <c r="G118" s="2002">
        <f>'16-A. PM sub Annex'!I77</f>
        <v>0</v>
      </c>
      <c r="H118" s="2002">
        <f>'16-A. PM sub Annex'!J77</f>
        <v>0</v>
      </c>
      <c r="I118" s="2002">
        <f>'16-A. PM sub Annex'!K77</f>
        <v>0</v>
      </c>
      <c r="J118" s="2002">
        <f>'16-A. PM sub Annex'!L77</f>
        <v>0</v>
      </c>
      <c r="K118" s="2002">
        <f>'16-A. PM sub Annex'!M77</f>
        <v>0</v>
      </c>
      <c r="L118" s="2002">
        <f>'16-A. PM sub Annex'!N77</f>
        <v>0</v>
      </c>
      <c r="M118" s="178">
        <f>'16-A. PM sub Annex'!O77</f>
        <v>0</v>
      </c>
      <c r="N118" s="2002">
        <f>'16-A. PM sub Annex'!P77</f>
        <v>0</v>
      </c>
      <c r="O118" s="178">
        <f>'16-A. PM sub Annex'!Q77</f>
        <v>0</v>
      </c>
      <c r="P118" s="103">
        <f>'16-A. PM sub Annex'!R77</f>
        <v>0</v>
      </c>
      <c r="Q118" s="67"/>
      <c r="R118" s="679"/>
    </row>
    <row r="119" spans="1:18" ht="30" x14ac:dyDescent="0.2">
      <c r="A119" s="103" t="str">
        <f>'16-A. PM sub Annex'!B78</f>
        <v>16.1.3.1.9</v>
      </c>
      <c r="B119" s="103" t="str">
        <f>'16-A. PM sub Annex'!D78</f>
        <v>F.1.4.a</v>
      </c>
      <c r="C119" s="103" t="str">
        <f>'16-A. PM sub Annex'!E78</f>
        <v xml:space="preserve">Mobility support for Rapid Response Team </v>
      </c>
      <c r="D119" s="2002" t="str">
        <f>'16-A. PM sub Annex'!F78</f>
        <v>NDCP</v>
      </c>
      <c r="E119" s="2002" t="str">
        <f>'16-A. PM sub Annex'!G78</f>
        <v>HRH&amp;HPIP/ NVBDCP-Lymphatic Filariasis</v>
      </c>
      <c r="F119" s="2002">
        <f>'16-A. PM sub Annex'!H78</f>
        <v>0</v>
      </c>
      <c r="G119" s="2002">
        <f>'16-A. PM sub Annex'!I78</f>
        <v>0</v>
      </c>
      <c r="H119" s="2002">
        <f>'16-A. PM sub Annex'!J78</f>
        <v>0</v>
      </c>
      <c r="I119" s="2002">
        <f>'16-A. PM sub Annex'!K78</f>
        <v>0</v>
      </c>
      <c r="J119" s="2002">
        <f>'16-A. PM sub Annex'!L78</f>
        <v>0</v>
      </c>
      <c r="K119" s="2002">
        <f>'16-A. PM sub Annex'!M78</f>
        <v>0</v>
      </c>
      <c r="L119" s="2002">
        <f>'16-A. PM sub Annex'!N78</f>
        <v>0</v>
      </c>
      <c r="M119" s="178">
        <f>'16-A. PM sub Annex'!O78</f>
        <v>0</v>
      </c>
      <c r="N119" s="2002">
        <f>'16-A. PM sub Annex'!P78</f>
        <v>0</v>
      </c>
      <c r="O119" s="178">
        <f>'16-A. PM sub Annex'!Q78</f>
        <v>0</v>
      </c>
      <c r="P119" s="103">
        <f>'16-A. PM sub Annex'!R78</f>
        <v>0</v>
      </c>
      <c r="Q119" s="67"/>
      <c r="R119" s="679"/>
    </row>
    <row r="120" spans="1:18" ht="30" x14ac:dyDescent="0.2">
      <c r="A120" s="103" t="str">
        <f>'16-A. PM sub Annex'!B79</f>
        <v>16.1.3.1.10</v>
      </c>
      <c r="B120" s="103" t="str">
        <f>'16-A. PM sub Annex'!D79</f>
        <v>F.2.1.b, F.4</v>
      </c>
      <c r="C120" s="103" t="str">
        <f>'16-A. PM sub Annex'!E79</f>
        <v>GFATM Project: Travel related Cost (TRC), Mobility</v>
      </c>
      <c r="D120" s="2002" t="str">
        <f>'16-A. PM sub Annex'!F79</f>
        <v>NDCP</v>
      </c>
      <c r="E120" s="2002" t="str">
        <f>'16-A. PM sub Annex'!G79</f>
        <v>HRH&amp;HPIP/ NVBDCP - GFATM</v>
      </c>
      <c r="F120" s="2002">
        <f>'16-A. PM sub Annex'!H79</f>
        <v>0</v>
      </c>
      <c r="G120" s="2002">
        <f>'16-A. PM sub Annex'!I79</f>
        <v>0</v>
      </c>
      <c r="H120" s="2002">
        <f>'16-A. PM sub Annex'!J79</f>
        <v>0</v>
      </c>
      <c r="I120" s="2002">
        <f>'16-A. PM sub Annex'!K79</f>
        <v>0</v>
      </c>
      <c r="J120" s="2002">
        <f>'16-A. PM sub Annex'!L79</f>
        <v>0</v>
      </c>
      <c r="K120" s="2002">
        <f>'16-A. PM sub Annex'!M79</f>
        <v>0</v>
      </c>
      <c r="L120" s="2002">
        <f>'16-A. PM sub Annex'!N79</f>
        <v>0</v>
      </c>
      <c r="M120" s="178">
        <f>'16-A. PM sub Annex'!O79</f>
        <v>0</v>
      </c>
      <c r="N120" s="2002">
        <f>'16-A. PM sub Annex'!P79</f>
        <v>0</v>
      </c>
      <c r="O120" s="178">
        <f>'16-A. PM sub Annex'!Q79</f>
        <v>0</v>
      </c>
      <c r="P120" s="103">
        <f>'16-A. PM sub Annex'!R79</f>
        <v>0</v>
      </c>
      <c r="Q120" s="67"/>
      <c r="R120" s="679"/>
    </row>
    <row r="121" spans="1:18" ht="30" x14ac:dyDescent="0.2">
      <c r="A121" s="103" t="str">
        <f>'16-A. PM sub Annex'!B84</f>
        <v>16.1.3.1.16</v>
      </c>
      <c r="B121" s="103">
        <f>'16-A. PM sub Annex'!D84</f>
        <v>0</v>
      </c>
      <c r="C121" s="103" t="str">
        <f>'16-A. PM sub Annex'!E84</f>
        <v>Mobility support for Field activities for State MVCR Cell</v>
      </c>
      <c r="D121" s="2002" t="str">
        <f>'16-A. PM sub Annex'!F84</f>
        <v>NDCP</v>
      </c>
      <c r="E121" s="2002" t="str">
        <f>'16-A. PM sub Annex'!G84</f>
        <v>HRH&amp;HPIP/ NVBDCP – Malaria</v>
      </c>
      <c r="F121" s="2002">
        <f>'16-A. PM sub Annex'!H84</f>
        <v>0</v>
      </c>
      <c r="G121" s="2002">
        <f>'16-A. PM sub Annex'!I84</f>
        <v>0</v>
      </c>
      <c r="H121" s="2002">
        <f>'16-A. PM sub Annex'!J84</f>
        <v>0</v>
      </c>
      <c r="I121" s="2002">
        <f>'16-A. PM sub Annex'!K84</f>
        <v>0</v>
      </c>
      <c r="J121" s="2002">
        <f>'16-A. PM sub Annex'!L84</f>
        <v>0</v>
      </c>
      <c r="K121" s="2002">
        <f>'16-A. PM sub Annex'!M84</f>
        <v>0</v>
      </c>
      <c r="L121" s="2002">
        <f>'16-A. PM sub Annex'!N84</f>
        <v>0</v>
      </c>
      <c r="M121" s="178">
        <f>'16-A. PM sub Annex'!O84</f>
        <v>0</v>
      </c>
      <c r="N121" s="2002">
        <f>'16-A. PM sub Annex'!P84</f>
        <v>0</v>
      </c>
      <c r="O121" s="178">
        <f>'16-A. PM sub Annex'!Q84</f>
        <v>0</v>
      </c>
      <c r="P121" s="103">
        <f>'16-A. PM sub Annex'!R84</f>
        <v>0</v>
      </c>
      <c r="Q121" s="67"/>
      <c r="R121" s="679"/>
    </row>
    <row r="122" spans="1:18" ht="30" x14ac:dyDescent="0.2">
      <c r="A122" s="103" t="str">
        <f>'16-A. PM sub Annex'!B92</f>
        <v>16.1.3.2.1</v>
      </c>
      <c r="B122" s="103" t="str">
        <f>'16-A. PM sub Annex'!D92</f>
        <v>F.1.1.g</v>
      </c>
      <c r="C122" s="103" t="str">
        <f>'16-A. PM sub Annex'!E92</f>
        <v>Zonal Entomological units</v>
      </c>
      <c r="D122" s="2002" t="str">
        <f>'16-A. PM sub Annex'!F92</f>
        <v>NDCP</v>
      </c>
      <c r="E122" s="2002" t="str">
        <f>'16-A. PM sub Annex'!G92</f>
        <v>HRH&amp;HPIP/ NVBDCP – Malaria</v>
      </c>
      <c r="F122" s="2002">
        <f>'16-A. PM sub Annex'!H92</f>
        <v>0</v>
      </c>
      <c r="G122" s="2002">
        <f>'16-A. PM sub Annex'!I92</f>
        <v>0</v>
      </c>
      <c r="H122" s="2002">
        <f>'16-A. PM sub Annex'!J92</f>
        <v>0</v>
      </c>
      <c r="I122" s="2002">
        <f>'16-A. PM sub Annex'!K92</f>
        <v>0</v>
      </c>
      <c r="J122" s="2002">
        <f>'16-A. PM sub Annex'!L92</f>
        <v>0</v>
      </c>
      <c r="K122" s="2002">
        <f>'16-A. PM sub Annex'!M92</f>
        <v>0</v>
      </c>
      <c r="L122" s="2002">
        <f>'16-A. PM sub Annex'!N92</f>
        <v>0</v>
      </c>
      <c r="M122" s="178">
        <f>'16-A. PM sub Annex'!O92</f>
        <v>0</v>
      </c>
      <c r="N122" s="2002">
        <f>'16-A. PM sub Annex'!P92</f>
        <v>0</v>
      </c>
      <c r="O122" s="178">
        <f>'16-A. PM sub Annex'!Q92</f>
        <v>0</v>
      </c>
      <c r="P122" s="103">
        <f>'16-A. PM sub Annex'!R92</f>
        <v>0</v>
      </c>
      <c r="Q122" s="67"/>
      <c r="R122" s="679"/>
    </row>
    <row r="123" spans="1:18" ht="30" x14ac:dyDescent="0.2">
      <c r="A123" s="103" t="str">
        <f>'16-A. PM sub Annex'!B103</f>
        <v>16.1.3.3.9</v>
      </c>
      <c r="B123" s="103" t="str">
        <f>'16-A. PM sub Annex'!D103</f>
        <v>F.1.1.d</v>
      </c>
      <c r="C123" s="103" t="str">
        <f>'16-A. PM sub Annex'!E103</f>
        <v>Monitoring , Evaluation &amp; Supervision &amp; Epidemic Preparedness (Only Mobility Expenses)</v>
      </c>
      <c r="D123" s="2002" t="str">
        <f>'16-A. PM sub Annex'!F103</f>
        <v>NDCP</v>
      </c>
      <c r="E123" s="2002" t="str">
        <f>'16-A. PM sub Annex'!G103</f>
        <v>HRH&amp;HPIP/ NVBDCP – Malaria</v>
      </c>
      <c r="F123" s="2002">
        <f>'16-A. PM sub Annex'!H103</f>
        <v>0</v>
      </c>
      <c r="G123" s="2002">
        <f>'16-A. PM sub Annex'!I103</f>
        <v>0</v>
      </c>
      <c r="H123" s="2002">
        <f>'16-A. PM sub Annex'!J103</f>
        <v>0</v>
      </c>
      <c r="I123" s="2002">
        <f>'16-A. PM sub Annex'!K103</f>
        <v>0</v>
      </c>
      <c r="J123" s="2002">
        <f>'16-A. PM sub Annex'!L103</f>
        <v>0</v>
      </c>
      <c r="K123" s="2002">
        <f>'16-A. PM sub Annex'!M103</f>
        <v>0</v>
      </c>
      <c r="L123" s="2002">
        <f>'16-A. PM sub Annex'!N103</f>
        <v>0</v>
      </c>
      <c r="M123" s="178">
        <f>'16-A. PM sub Annex'!O103</f>
        <v>0</v>
      </c>
      <c r="N123" s="2002">
        <f>'16-A. PM sub Annex'!P103</f>
        <v>0</v>
      </c>
      <c r="O123" s="178">
        <f>'16-A. PM sub Annex'!Q103</f>
        <v>0</v>
      </c>
      <c r="P123" s="103">
        <f>'16-A. PM sub Annex'!R103</f>
        <v>0</v>
      </c>
      <c r="Q123" s="67"/>
      <c r="R123" s="679"/>
    </row>
    <row r="124" spans="1:18" ht="30" x14ac:dyDescent="0.2">
      <c r="A124" s="103" t="str">
        <f>'16-A. PM sub Annex'!B126</f>
        <v>16.1.4.1.6</v>
      </c>
      <c r="B124" s="103" t="str">
        <f>'16-A. PM sub Annex'!D126</f>
        <v>F.1.4.a</v>
      </c>
      <c r="C124" s="103" t="str">
        <f>'16-A. PM sub Annex'!E126</f>
        <v xml:space="preserve">contingency support </v>
      </c>
      <c r="D124" s="2002" t="str">
        <f>'16-A. PM sub Annex'!F126</f>
        <v>NDCP</v>
      </c>
      <c r="E124" s="2002" t="str">
        <f>'16-A. PM sub Annex'!G126</f>
        <v>HRH&amp;HPIP/ NVBDCP-Lymphatic Filariasis</v>
      </c>
      <c r="F124" s="2002">
        <f>'16-A. PM sub Annex'!H126</f>
        <v>0</v>
      </c>
      <c r="G124" s="2002">
        <f>'16-A. PM sub Annex'!I126</f>
        <v>0</v>
      </c>
      <c r="H124" s="2002">
        <f>'16-A. PM sub Annex'!J126</f>
        <v>0</v>
      </c>
      <c r="I124" s="2002">
        <f>'16-A. PM sub Annex'!K126</f>
        <v>0</v>
      </c>
      <c r="J124" s="2002">
        <f>'16-A. PM sub Annex'!L126</f>
        <v>0</v>
      </c>
      <c r="K124" s="2002">
        <f>'16-A. PM sub Annex'!M126</f>
        <v>0</v>
      </c>
      <c r="L124" s="2002">
        <f>'16-A. PM sub Annex'!N126</f>
        <v>0</v>
      </c>
      <c r="M124" s="178">
        <f>'16-A. PM sub Annex'!O126</f>
        <v>0</v>
      </c>
      <c r="N124" s="2002">
        <f>'16-A. PM sub Annex'!P126</f>
        <v>0</v>
      </c>
      <c r="O124" s="178">
        <f>'16-A. PM sub Annex'!Q126</f>
        <v>0</v>
      </c>
      <c r="P124" s="103">
        <f>'16-A. PM sub Annex'!R126</f>
        <v>0</v>
      </c>
      <c r="Q124" s="67"/>
      <c r="R124" s="679"/>
    </row>
    <row r="125" spans="1:18" ht="30" x14ac:dyDescent="0.2">
      <c r="A125" s="103" t="str">
        <f>'16-A. PM sub Annex'!B127</f>
        <v>16.1.4.1.7</v>
      </c>
      <c r="B125" s="103" t="str">
        <f>'16-A. PM sub Annex'!D127</f>
        <v>F.2.1.h</v>
      </c>
      <c r="C125" s="103" t="str">
        <f>'16-A. PM sub Annex'!E127</f>
        <v>GFATM Project: Programme Administration Costs (PA)</v>
      </c>
      <c r="D125" s="2002" t="str">
        <f>'16-A. PM sub Annex'!F127</f>
        <v>NDCP</v>
      </c>
      <c r="E125" s="2002" t="str">
        <f>'16-A. PM sub Annex'!G127</f>
        <v>HRH&amp;HPIP/ NVBDCP - GFATM</v>
      </c>
      <c r="F125" s="2002">
        <f>'16-A. PM sub Annex'!H127</f>
        <v>0</v>
      </c>
      <c r="G125" s="2002">
        <f>'16-A. PM sub Annex'!I127</f>
        <v>0</v>
      </c>
      <c r="H125" s="2002">
        <f>'16-A. PM sub Annex'!J127</f>
        <v>0</v>
      </c>
      <c r="I125" s="2002">
        <f>'16-A. PM sub Annex'!K127</f>
        <v>0</v>
      </c>
      <c r="J125" s="2002">
        <f>'16-A. PM sub Annex'!L127</f>
        <v>0</v>
      </c>
      <c r="K125" s="2002">
        <f>'16-A. PM sub Annex'!M127</f>
        <v>0</v>
      </c>
      <c r="L125" s="2002">
        <f>'16-A. PM sub Annex'!N127</f>
        <v>0</v>
      </c>
      <c r="M125" s="178">
        <f>'16-A. PM sub Annex'!O127</f>
        <v>0</v>
      </c>
      <c r="N125" s="2002">
        <f>'16-A. PM sub Annex'!P127</f>
        <v>0</v>
      </c>
      <c r="O125" s="178">
        <f>'16-A. PM sub Annex'!Q127</f>
        <v>0</v>
      </c>
      <c r="P125" s="103">
        <f>'16-A. PM sub Annex'!R127</f>
        <v>0</v>
      </c>
      <c r="Q125" s="67"/>
      <c r="R125" s="679"/>
    </row>
    <row r="126" spans="1:18" ht="30" x14ac:dyDescent="0.2">
      <c r="A126" s="103" t="str">
        <f>'16-A. PM sub Annex'!B135</f>
        <v>16.1.4.1.15</v>
      </c>
      <c r="B126" s="103">
        <f>'16-A. PM sub Annex'!D135</f>
        <v>0</v>
      </c>
      <c r="C126" s="103" t="str">
        <f>'16-A. PM sub Annex'!E135</f>
        <v>Programme Administrative Costs</v>
      </c>
      <c r="D126" s="2002" t="str">
        <f>'16-A. PM sub Annex'!F135</f>
        <v>NDCP</v>
      </c>
      <c r="E126" s="2002" t="str">
        <f>'16-A. PM sub Annex'!G135</f>
        <v>HRH&amp;HPIP/NVBDCP</v>
      </c>
      <c r="F126" s="2002">
        <f>'16-A. PM sub Annex'!H135</f>
        <v>0</v>
      </c>
      <c r="G126" s="2002">
        <f>'16-A. PM sub Annex'!I135</f>
        <v>0</v>
      </c>
      <c r="H126" s="2002">
        <f>'16-A. PM sub Annex'!J135</f>
        <v>0</v>
      </c>
      <c r="I126" s="2002">
        <f>'16-A. PM sub Annex'!K135</f>
        <v>0</v>
      </c>
      <c r="J126" s="2002">
        <f>'16-A. PM sub Annex'!L135</f>
        <v>0</v>
      </c>
      <c r="K126" s="2002">
        <f>'16-A. PM sub Annex'!M135</f>
        <v>0</v>
      </c>
      <c r="L126" s="2002">
        <f>'16-A. PM sub Annex'!N135</f>
        <v>0</v>
      </c>
      <c r="M126" s="178">
        <f>'16-A. PM sub Annex'!O135</f>
        <v>0</v>
      </c>
      <c r="N126" s="2002">
        <f>'16-A. PM sub Annex'!P135</f>
        <v>0</v>
      </c>
      <c r="O126" s="178">
        <f>'16-A. PM sub Annex'!Q135</f>
        <v>0</v>
      </c>
      <c r="P126" s="103">
        <f>'16-A. PM sub Annex'!R135</f>
        <v>0</v>
      </c>
      <c r="Q126" s="67"/>
      <c r="R126" s="679"/>
    </row>
    <row r="127" spans="1:18" ht="30" x14ac:dyDescent="0.2">
      <c r="A127" s="103" t="str">
        <f>'16-A. PM sub Annex'!B139</f>
        <v>16.1.4.2.3</v>
      </c>
      <c r="B127" s="103" t="str">
        <f>'16-A. PM sub Annex'!D139</f>
        <v>F.1.4.a</v>
      </c>
      <c r="C127" s="103" t="str">
        <f>'16-A. PM sub Annex'!E139</f>
        <v xml:space="preserve">contingency support </v>
      </c>
      <c r="D127" s="2002" t="str">
        <f>'16-A. PM sub Annex'!F139</f>
        <v>NDCP</v>
      </c>
      <c r="E127" s="2002" t="str">
        <f>'16-A. PM sub Annex'!G139</f>
        <v>HRH&amp;HPIP/ NVBDCP-Lymphatic Filariasis</v>
      </c>
      <c r="F127" s="2002">
        <f>'16-A. PM sub Annex'!H139</f>
        <v>0</v>
      </c>
      <c r="G127" s="2002">
        <f>'16-A. PM sub Annex'!I139</f>
        <v>0</v>
      </c>
      <c r="H127" s="2002">
        <f>'16-A. PM sub Annex'!J139</f>
        <v>0</v>
      </c>
      <c r="I127" s="2002">
        <f>'16-A. PM sub Annex'!K139</f>
        <v>0</v>
      </c>
      <c r="J127" s="2002">
        <f>'16-A. PM sub Annex'!L139</f>
        <v>0</v>
      </c>
      <c r="K127" s="2002">
        <f>'16-A. PM sub Annex'!M139</f>
        <v>0</v>
      </c>
      <c r="L127" s="2002">
        <f>'16-A. PM sub Annex'!N139</f>
        <v>0</v>
      </c>
      <c r="M127" s="178">
        <f>'16-A. PM sub Annex'!O139</f>
        <v>0</v>
      </c>
      <c r="N127" s="2002">
        <f>'16-A. PM sub Annex'!P139</f>
        <v>0</v>
      </c>
      <c r="O127" s="178">
        <f>'16-A. PM sub Annex'!Q139</f>
        <v>0</v>
      </c>
      <c r="P127" s="103">
        <f>'16-A. PM sub Annex'!R139</f>
        <v>0</v>
      </c>
      <c r="Q127" s="67"/>
      <c r="R127" s="679"/>
    </row>
    <row r="128" spans="1:18" ht="30" x14ac:dyDescent="0.2">
      <c r="A128" s="103" t="str">
        <f>'16-A. PM sub Annex'!B152</f>
        <v>16.1.5.1.3</v>
      </c>
      <c r="B128" s="103" t="str">
        <f>'16-A. PM sub Annex'!D152</f>
        <v>F.1.1.d</v>
      </c>
      <c r="C128" s="103" t="str">
        <f>'16-A. PM sub Annex'!E152</f>
        <v>Monitoring , Evaluation &amp; Supervision &amp; Epidemic Preparedness - Cost of NAMMIS</v>
      </c>
      <c r="D128" s="2002" t="str">
        <f>'16-A. PM sub Annex'!F152</f>
        <v>NDCP</v>
      </c>
      <c r="E128" s="2002" t="str">
        <f>'16-A. PM sub Annex'!G152</f>
        <v>HRH&amp;HPIP/ NVBDCP – Malaria</v>
      </c>
      <c r="F128" s="2002">
        <f>'16-A. PM sub Annex'!H152</f>
        <v>0</v>
      </c>
      <c r="G128" s="2002">
        <f>'16-A. PM sub Annex'!I152</f>
        <v>0</v>
      </c>
      <c r="H128" s="2002">
        <f>'16-A. PM sub Annex'!J152</f>
        <v>0</v>
      </c>
      <c r="I128" s="2002">
        <f>'16-A. PM sub Annex'!K152</f>
        <v>0</v>
      </c>
      <c r="J128" s="2002">
        <f>'16-A. PM sub Annex'!L152</f>
        <v>0</v>
      </c>
      <c r="K128" s="2002">
        <f>'16-A. PM sub Annex'!M152</f>
        <v>0</v>
      </c>
      <c r="L128" s="2002">
        <f>'16-A. PM sub Annex'!N152</f>
        <v>0</v>
      </c>
      <c r="M128" s="178">
        <f>'16-A. PM sub Annex'!O152</f>
        <v>0</v>
      </c>
      <c r="N128" s="2002">
        <f>'16-A. PM sub Annex'!P152</f>
        <v>0</v>
      </c>
      <c r="O128" s="178">
        <f>'16-A. PM sub Annex'!Q152</f>
        <v>0</v>
      </c>
      <c r="P128" s="103">
        <f>'16-A. PM sub Annex'!R152</f>
        <v>0</v>
      </c>
      <c r="Q128" s="67"/>
      <c r="R128" s="679"/>
    </row>
    <row r="129" spans="1:18" ht="30" x14ac:dyDescent="0.2">
      <c r="A129" s="103" t="str">
        <f>'16-A. PM sub Annex'!B155</f>
        <v>16.1.5.2.2</v>
      </c>
      <c r="B129" s="103" t="str">
        <f>'16-A. PM sub Annex'!D155</f>
        <v>F.2.1.b</v>
      </c>
      <c r="C129" s="103" t="str">
        <f>'16-A. PM sub Annex'!E155</f>
        <v>Travel related Cost (TRC) - GFATM</v>
      </c>
      <c r="D129" s="2002" t="str">
        <f>'16-A. PM sub Annex'!F155</f>
        <v>NDCP</v>
      </c>
      <c r="E129" s="2002" t="str">
        <f>'16-A. PM sub Annex'!G155</f>
        <v>HRH&amp;HPIP/ NVBDCP - GFATM</v>
      </c>
      <c r="F129" s="2002">
        <f>'16-A. PM sub Annex'!H155</f>
        <v>0</v>
      </c>
      <c r="G129" s="2002">
        <f>'16-A. PM sub Annex'!I155</f>
        <v>0</v>
      </c>
      <c r="H129" s="2002">
        <f>'16-A. PM sub Annex'!J155</f>
        <v>0</v>
      </c>
      <c r="I129" s="2002">
        <f>'16-A. PM sub Annex'!K155</f>
        <v>0</v>
      </c>
      <c r="J129" s="2002">
        <f>'16-A. PM sub Annex'!L155</f>
        <v>0</v>
      </c>
      <c r="K129" s="2002">
        <f>'16-A. PM sub Annex'!M155</f>
        <v>0</v>
      </c>
      <c r="L129" s="2002">
        <f>'16-A. PM sub Annex'!N155</f>
        <v>0</v>
      </c>
      <c r="M129" s="178">
        <f>'16-A. PM sub Annex'!O155</f>
        <v>0</v>
      </c>
      <c r="N129" s="2002">
        <f>'16-A. PM sub Annex'!P155</f>
        <v>0</v>
      </c>
      <c r="O129" s="178">
        <f>'16-A. PM sub Annex'!Q155</f>
        <v>0</v>
      </c>
      <c r="P129" s="103">
        <f>'16-A. PM sub Annex'!R155</f>
        <v>0</v>
      </c>
      <c r="Q129" s="67"/>
      <c r="R129" s="679"/>
    </row>
    <row r="130" spans="1:18" ht="30" x14ac:dyDescent="0.2">
      <c r="A130" s="103" t="str">
        <f>'16-A. PM sub Annex'!B162</f>
        <v>16.1.5.2.7</v>
      </c>
      <c r="B130" s="103">
        <f>'16-A. PM sub Annex'!D162</f>
        <v>0</v>
      </c>
      <c r="C130" s="103" t="str">
        <f>'16-A. PM sub Annex'!E162</f>
        <v>Maintenance cost of vehicles</v>
      </c>
      <c r="D130" s="2002" t="str">
        <f>'16-A. PM sub Annex'!F162</f>
        <v>NDCP</v>
      </c>
      <c r="E130" s="2002" t="str">
        <f>'16-A. PM sub Annex'!G162</f>
        <v>HRH&amp;HPIP/NVBDCP</v>
      </c>
      <c r="F130" s="2002">
        <f>'16-A. PM sub Annex'!H162</f>
        <v>0</v>
      </c>
      <c r="G130" s="2002">
        <f>'16-A. PM sub Annex'!I162</f>
        <v>0</v>
      </c>
      <c r="H130" s="2002">
        <f>'16-A. PM sub Annex'!J162</f>
        <v>0</v>
      </c>
      <c r="I130" s="2002">
        <f>'16-A. PM sub Annex'!K162</f>
        <v>0</v>
      </c>
      <c r="J130" s="2002">
        <f>'16-A. PM sub Annex'!L162</f>
        <v>0</v>
      </c>
      <c r="K130" s="2002">
        <f>'16-A. PM sub Annex'!M162</f>
        <v>0</v>
      </c>
      <c r="L130" s="2002">
        <f>'16-A. PM sub Annex'!N162</f>
        <v>0</v>
      </c>
      <c r="M130" s="178">
        <f>'16-A. PM sub Annex'!O162</f>
        <v>0</v>
      </c>
      <c r="N130" s="2002">
        <f>'16-A. PM sub Annex'!P162</f>
        <v>0</v>
      </c>
      <c r="O130" s="178">
        <f>'16-A. PM sub Annex'!Q162</f>
        <v>0</v>
      </c>
      <c r="P130" s="103">
        <f>'16-A. PM sub Annex'!R162</f>
        <v>0</v>
      </c>
      <c r="Q130" s="67"/>
      <c r="R130" s="679"/>
    </row>
    <row r="131" spans="1:18" ht="30" x14ac:dyDescent="0.2">
      <c r="A131" s="103" t="str">
        <f>'16-A. PM sub Annex'!B168</f>
        <v>16.1.5.3.7</v>
      </c>
      <c r="B131" s="103" t="str">
        <f>'16-A. PM sub Annex'!D168</f>
        <v>F.1.2.d</v>
      </c>
      <c r="C131" s="103" t="str">
        <f>'16-A. PM sub Annex'!E168</f>
        <v>Epidemic preparedness</v>
      </c>
      <c r="D131" s="2002" t="str">
        <f>'16-A. PM sub Annex'!F168</f>
        <v>NDCP</v>
      </c>
      <c r="E131" s="2002" t="str">
        <f>'16-A. PM sub Annex'!G168</f>
        <v>HRH&amp;HPIP/ NVBDCP-Dengue &amp; Chikungunya</v>
      </c>
      <c r="F131" s="2002">
        <f>'16-A. PM sub Annex'!H168</f>
        <v>0</v>
      </c>
      <c r="G131" s="2002">
        <f>'16-A. PM sub Annex'!I168</f>
        <v>0</v>
      </c>
      <c r="H131" s="2002">
        <f>'16-A. PM sub Annex'!J168</f>
        <v>0</v>
      </c>
      <c r="I131" s="2002">
        <f>'16-A. PM sub Annex'!K168</f>
        <v>0</v>
      </c>
      <c r="J131" s="2002">
        <f>'16-A. PM sub Annex'!L168</f>
        <v>0</v>
      </c>
      <c r="K131" s="2002">
        <f>'16-A. PM sub Annex'!M168</f>
        <v>0</v>
      </c>
      <c r="L131" s="2002">
        <f>'16-A. PM sub Annex'!N168</f>
        <v>0</v>
      </c>
      <c r="M131" s="178">
        <f>'16-A. PM sub Annex'!O168</f>
        <v>0</v>
      </c>
      <c r="N131" s="2002">
        <f>'16-A. PM sub Annex'!P168</f>
        <v>0</v>
      </c>
      <c r="O131" s="178">
        <f>'16-A. PM sub Annex'!Q168</f>
        <v>0</v>
      </c>
      <c r="P131" s="103">
        <f>'16-A. PM sub Annex'!R168</f>
        <v>0</v>
      </c>
      <c r="Q131" s="67"/>
      <c r="R131" s="679"/>
    </row>
    <row r="132" spans="1:18" ht="30" x14ac:dyDescent="0.2">
      <c r="A132" s="103" t="str">
        <f>'16-A. PM sub Annex'!B169</f>
        <v>16.1.5.3.8</v>
      </c>
      <c r="B132" s="103">
        <f>'16-A. PM sub Annex'!D169</f>
        <v>0</v>
      </c>
      <c r="C132" s="103" t="str">
        <f>'16-A. PM sub Annex'!E169</f>
        <v>Epidemic preparedness &amp; Response (Malaria)</v>
      </c>
      <c r="D132" s="2002" t="str">
        <f>'16-A. PM sub Annex'!F169</f>
        <v>NDCP</v>
      </c>
      <c r="E132" s="2002" t="str">
        <f>'16-A. PM sub Annex'!G169</f>
        <v>HRH&amp;HPIP/ NVBDCP-Malaria</v>
      </c>
      <c r="F132" s="2002">
        <f>'16-A. PM sub Annex'!H169</f>
        <v>0</v>
      </c>
      <c r="G132" s="2002">
        <f>'16-A. PM sub Annex'!I169</f>
        <v>0</v>
      </c>
      <c r="H132" s="2002">
        <f>'16-A. PM sub Annex'!J169</f>
        <v>0</v>
      </c>
      <c r="I132" s="2002">
        <f>'16-A. PM sub Annex'!K169</f>
        <v>0</v>
      </c>
      <c r="J132" s="2002">
        <f>'16-A. PM sub Annex'!L169</f>
        <v>0</v>
      </c>
      <c r="K132" s="2002">
        <f>'16-A. PM sub Annex'!M169</f>
        <v>0</v>
      </c>
      <c r="L132" s="2002">
        <f>'16-A. PM sub Annex'!N169</f>
        <v>0</v>
      </c>
      <c r="M132" s="178">
        <f>'16-A. PM sub Annex'!O169</f>
        <v>0</v>
      </c>
      <c r="N132" s="2002">
        <f>'16-A. PM sub Annex'!P169</f>
        <v>0</v>
      </c>
      <c r="O132" s="178">
        <f>'16-A. PM sub Annex'!Q169</f>
        <v>0</v>
      </c>
      <c r="P132" s="103">
        <f>'16-A. PM sub Annex'!R169</f>
        <v>0</v>
      </c>
      <c r="Q132" s="67"/>
      <c r="R132" s="679"/>
    </row>
    <row r="133" spans="1:18" ht="30" x14ac:dyDescent="0.2">
      <c r="A133" s="103" t="str">
        <f>'16-A. PM sub Annex'!B170</f>
        <v>16.1.5.3.9</v>
      </c>
      <c r="B133" s="103" t="str">
        <f>'16-A. PM sub Annex'!D170</f>
        <v>F.1.1.d</v>
      </c>
      <c r="C133" s="103" t="str">
        <f>'16-A. PM sub Annex'!E170</f>
        <v>Monitoring , Evaluation &amp; Supervision &amp; Epidemic Preparedness - Cost of NAMMIS</v>
      </c>
      <c r="D133" s="2002" t="str">
        <f>'16-A. PM sub Annex'!F170</f>
        <v>NDCP</v>
      </c>
      <c r="E133" s="2002" t="str">
        <f>'16-A. PM sub Annex'!G170</f>
        <v>HRH&amp;HPIP/ NVBDCP – Malaria</v>
      </c>
      <c r="F133" s="2002">
        <f>'16-A. PM sub Annex'!H170</f>
        <v>0</v>
      </c>
      <c r="G133" s="2002">
        <f>'16-A. PM sub Annex'!I170</f>
        <v>0</v>
      </c>
      <c r="H133" s="2002">
        <f>'16-A. PM sub Annex'!J170</f>
        <v>0</v>
      </c>
      <c r="I133" s="2002">
        <f>'16-A. PM sub Annex'!K170</f>
        <v>0</v>
      </c>
      <c r="J133" s="2002">
        <f>'16-A. PM sub Annex'!L170</f>
        <v>0</v>
      </c>
      <c r="K133" s="2002">
        <f>'16-A. PM sub Annex'!M170</f>
        <v>0</v>
      </c>
      <c r="L133" s="2002">
        <f>'16-A. PM sub Annex'!N170</f>
        <v>0</v>
      </c>
      <c r="M133" s="178">
        <f>'16-A. PM sub Annex'!O170</f>
        <v>0</v>
      </c>
      <c r="N133" s="2002">
        <f>'16-A. PM sub Annex'!P170</f>
        <v>0</v>
      </c>
      <c r="O133" s="178">
        <f>'16-A. PM sub Annex'!Q170</f>
        <v>0</v>
      </c>
      <c r="P133" s="103">
        <f>'16-A. PM sub Annex'!R170</f>
        <v>0</v>
      </c>
      <c r="Q133" s="67"/>
      <c r="R133" s="679"/>
    </row>
    <row r="134" spans="1:18" x14ac:dyDescent="0.2">
      <c r="Q134" s="2042"/>
      <c r="R134" s="2043"/>
    </row>
    <row r="135" spans="1:18" x14ac:dyDescent="0.2">
      <c r="Q135" s="2042"/>
      <c r="R135" s="2043"/>
    </row>
    <row r="136" spans="1:18" x14ac:dyDescent="0.2">
      <c r="A136" s="4074" t="s">
        <v>5688</v>
      </c>
      <c r="B136" s="4074"/>
      <c r="C136" s="4074"/>
      <c r="D136" s="724"/>
      <c r="E136" s="724"/>
      <c r="F136" s="724"/>
      <c r="G136" s="724"/>
      <c r="H136" s="528"/>
      <c r="I136" s="724"/>
      <c r="J136" s="528"/>
      <c r="K136" s="2032"/>
      <c r="L136" s="2032"/>
      <c r="M136" s="528"/>
      <c r="N136" s="2022"/>
      <c r="O136" s="1981"/>
      <c r="P136" s="1976"/>
      <c r="Q136" s="1989"/>
      <c r="R136" s="1990"/>
    </row>
    <row r="137" spans="1:18" x14ac:dyDescent="0.2">
      <c r="A137" s="1982" t="str">
        <f>'NUHM-Non Metro Abst'!A12</f>
        <v>U.1.1.1.2</v>
      </c>
      <c r="B137" s="1982"/>
      <c r="C137" s="1982" t="str">
        <f>'NUHM-Non Metro Abst'!C12</f>
        <v>Support for implementation of NVBDCP</v>
      </c>
      <c r="D137" s="2002"/>
      <c r="E137" s="1982" t="str">
        <f>'NUHM-Non Metro Abst'!D12</f>
        <v>NVBDCP</v>
      </c>
      <c r="F137" s="1982">
        <f>'NUHM-Non Metro Abst'!E12</f>
        <v>0</v>
      </c>
      <c r="G137" s="1982">
        <f>'NUHM-Non Metro Abst'!F12</f>
        <v>0</v>
      </c>
      <c r="H137" s="1982">
        <f>'NUHM-Non Metro Abst'!G12</f>
        <v>0</v>
      </c>
      <c r="I137" s="1982">
        <f>'NUHM-Non Metro Abst'!H12</f>
        <v>0</v>
      </c>
      <c r="J137" s="1982">
        <f>'NUHM-Non Metro Abst'!I12</f>
        <v>0</v>
      </c>
      <c r="K137" s="1982">
        <f>'NUHM-Non Metro Abst'!J12</f>
        <v>0</v>
      </c>
      <c r="L137" s="1982">
        <f>'NUHM-Non Metro Abst'!K12</f>
        <v>0</v>
      </c>
      <c r="M137" s="1982">
        <f>'NUHM-Non Metro Abst'!L12</f>
        <v>0</v>
      </c>
      <c r="N137" s="1982">
        <f>'NUHM-Non Metro Abst'!M12</f>
        <v>0</v>
      </c>
      <c r="O137" s="1982">
        <f>'NUHM-Non Metro Abst'!N12</f>
        <v>0</v>
      </c>
      <c r="P137" s="1982">
        <f>'NUHM-Non Metro Abst'!O12</f>
        <v>0</v>
      </c>
      <c r="Q137" s="68"/>
      <c r="R137" s="1991"/>
    </row>
    <row r="138" spans="1:18" x14ac:dyDescent="0.2">
      <c r="A138" s="4074" t="s">
        <v>5687</v>
      </c>
      <c r="B138" s="4074"/>
      <c r="C138" s="4074"/>
      <c r="D138" s="724"/>
      <c r="E138" s="724"/>
      <c r="F138" s="724"/>
      <c r="G138" s="724"/>
      <c r="H138" s="528"/>
      <c r="I138" s="724"/>
      <c r="J138" s="528"/>
      <c r="K138" s="2032"/>
      <c r="L138" s="2032"/>
      <c r="M138" s="528"/>
      <c r="N138" s="2022"/>
      <c r="O138" s="1981"/>
      <c r="P138" s="1976"/>
      <c r="Q138" s="1989"/>
      <c r="R138" s="1990"/>
    </row>
    <row r="139" spans="1:18" x14ac:dyDescent="0.2">
      <c r="A139" s="1982" t="str">
        <f>'NUHM Metro Abst'!A12</f>
        <v>U.1.1.1.2</v>
      </c>
      <c r="B139" s="1982"/>
      <c r="C139" s="1982" t="str">
        <f>'NUHM Metro Abst'!C12</f>
        <v>Support for implementation of NVBDCP</v>
      </c>
      <c r="D139" s="2002"/>
      <c r="E139" s="1982" t="str">
        <f>'NUHM Metro Abst'!D12</f>
        <v>NVBDCP</v>
      </c>
      <c r="F139" s="1982">
        <f>'NUHM Metro Abst'!E12</f>
        <v>0</v>
      </c>
      <c r="G139" s="1982">
        <f>'NUHM Metro Abst'!F12</f>
        <v>0</v>
      </c>
      <c r="H139" s="1982">
        <f>'NUHM Metro Abst'!G12</f>
        <v>0</v>
      </c>
      <c r="I139" s="1982">
        <f>'NUHM Metro Abst'!H12</f>
        <v>0</v>
      </c>
      <c r="J139" s="1982">
        <f>'NUHM Metro Abst'!I12</f>
        <v>0</v>
      </c>
      <c r="K139" s="1982">
        <f>'NUHM Metro Abst'!J12</f>
        <v>0</v>
      </c>
      <c r="L139" s="1982">
        <f>'NUHM Metro Abst'!K12</f>
        <v>0</v>
      </c>
      <c r="M139" s="1982">
        <f>'NUHM Metro Abst'!L12</f>
        <v>0</v>
      </c>
      <c r="N139" s="1982">
        <f>'NUHM Metro Abst'!M12</f>
        <v>0</v>
      </c>
      <c r="O139" s="1982">
        <f>'NUHM Metro Abst'!N12</f>
        <v>0</v>
      </c>
      <c r="P139" s="1982">
        <f>'NUHM Metro Abst'!O12</f>
        <v>0</v>
      </c>
      <c r="Q139" s="68"/>
      <c r="R139" s="68"/>
    </row>
  </sheetData>
  <sheetProtection sheet="1" formatCells="0" formatColumns="0" formatRows="0" autoFilter="0"/>
  <autoFilter ref="A5:M133"/>
  <mergeCells count="18">
    <mergeCell ref="A37:A42"/>
    <mergeCell ref="A44:A60"/>
    <mergeCell ref="A136:C136"/>
    <mergeCell ref="A138:C138"/>
    <mergeCell ref="Q4:R4"/>
    <mergeCell ref="E4:E5"/>
    <mergeCell ref="F4:J4"/>
    <mergeCell ref="K4:P4"/>
    <mergeCell ref="A62:A69"/>
    <mergeCell ref="A90:A97"/>
    <mergeCell ref="A99:A102"/>
    <mergeCell ref="A15:A21"/>
    <mergeCell ref="A22:A31"/>
    <mergeCell ref="A1:C1"/>
    <mergeCell ref="A4:A5"/>
    <mergeCell ref="B4:B5"/>
    <mergeCell ref="C4:C5"/>
    <mergeCell ref="D4:D5"/>
  </mergeCells>
  <pageMargins left="0.7" right="0.7" top="0.75" bottom="0.75" header="0.3" footer="0.3"/>
  <pageSetup orientation="portrait" horizontalDpi="4294967295" verticalDpi="4294967295"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theme="5" tint="0.79998168889431442"/>
  </sheetPr>
  <dimension ref="A1:R54"/>
  <sheetViews>
    <sheetView zoomScale="60" zoomScaleNormal="60" workbookViewId="0">
      <pane xSplit="3" ySplit="5" topLeftCell="D6" activePane="bottomRight" state="frozen"/>
      <selection activeCell="R108" sqref="R108"/>
      <selection pane="topRight" activeCell="R108" sqref="R108"/>
      <selection pane="bottomLeft" activeCell="R108" sqref="R108"/>
      <selection pane="bottomRight" activeCell="Q38" sqref="Q38:R48"/>
    </sheetView>
  </sheetViews>
  <sheetFormatPr defaultColWidth="11.140625" defaultRowHeight="15" x14ac:dyDescent="0.2"/>
  <cols>
    <col min="1" max="1" width="11.140625" style="835"/>
    <col min="2" max="2" width="17.7109375" style="835" hidden="1" customWidth="1"/>
    <col min="3" max="3" width="46.85546875" style="881" customWidth="1"/>
    <col min="4" max="4" width="9" style="835" hidden="1" customWidth="1"/>
    <col min="5" max="5" width="21.7109375" style="835" hidden="1" customWidth="1"/>
    <col min="6" max="6" width="19" style="835" hidden="1" customWidth="1"/>
    <col min="7" max="7" width="19.140625" style="835" hidden="1" customWidth="1"/>
    <col min="8" max="8" width="14.140625" style="956" hidden="1" customWidth="1"/>
    <col min="9" max="9" width="0" style="835" hidden="1" customWidth="1"/>
    <col min="10" max="10" width="15.7109375" style="956" hidden="1" customWidth="1"/>
    <col min="11" max="11" width="14.140625" style="835" hidden="1" customWidth="1"/>
    <col min="12" max="12" width="12.28515625" style="835" customWidth="1"/>
    <col min="13" max="13" width="14.85546875" style="956" hidden="1" customWidth="1"/>
    <col min="14" max="14" width="11.140625" style="835"/>
    <col min="15" max="15" width="11.140625" style="956"/>
    <col min="16" max="16" width="56.42578125" style="3351" hidden="1" customWidth="1"/>
    <col min="17" max="17" width="40.85546875" style="881" customWidth="1"/>
    <col min="18" max="18" width="11.140625" style="956"/>
    <col min="19" max="16384" width="11.140625" style="835"/>
  </cols>
  <sheetData>
    <row r="1" spans="1:18" x14ac:dyDescent="0.2">
      <c r="A1" s="4079" t="s">
        <v>2103</v>
      </c>
      <c r="B1" s="4079"/>
      <c r="C1" s="4079"/>
      <c r="D1" s="1857"/>
      <c r="F1" s="98" t="s">
        <v>3970</v>
      </c>
      <c r="G1" s="1858"/>
      <c r="H1" s="1858"/>
      <c r="I1" s="1857"/>
      <c r="J1" s="1858"/>
      <c r="K1" s="1857"/>
      <c r="L1" s="1857"/>
      <c r="M1" s="1858"/>
    </row>
    <row r="2" spans="1:18" x14ac:dyDescent="0.25">
      <c r="A2" s="1929" t="str">
        <f>HYPERLINK("#Index!F3", "Index Pg")</f>
        <v>Index Pg</v>
      </c>
      <c r="B2" s="1936"/>
      <c r="C2" s="831" t="str">
        <f>HYPERLINK("#'Budget Summary I'!A1:AL1", "Budget Summary I")</f>
        <v>Budget Summary I</v>
      </c>
      <c r="D2" s="2045"/>
      <c r="E2" s="1457" t="s">
        <v>4608</v>
      </c>
      <c r="F2" s="177">
        <f>R6+R11+R13+R17+R24+R27+R29+R32+R34+R37</f>
        <v>0</v>
      </c>
      <c r="G2" s="1103"/>
      <c r="H2" s="1103"/>
      <c r="I2" s="1104"/>
      <c r="J2" s="1103"/>
      <c r="K2" s="1104"/>
      <c r="L2" s="1104"/>
      <c r="M2" s="1103"/>
    </row>
    <row r="3" spans="1:18" s="836" customFormat="1" x14ac:dyDescent="0.25">
      <c r="A3" s="1935"/>
      <c r="B3" s="1936"/>
      <c r="C3" s="831" t="str">
        <f>HYPERLINK("#'Budget Summary II'!A3:B5", "Budget Summary II")</f>
        <v>Budget Summary II</v>
      </c>
      <c r="D3" s="2045"/>
      <c r="E3" s="1457" t="s">
        <v>4609</v>
      </c>
      <c r="F3" s="177">
        <f>O6+O11+O13+O17+O24+O27+O29+O32+O34+O37</f>
        <v>0</v>
      </c>
      <c r="I3" s="1104"/>
      <c r="L3" s="1104"/>
      <c r="M3" s="1103"/>
      <c r="O3" s="2037"/>
      <c r="P3" s="3356"/>
      <c r="Q3" s="2038"/>
      <c r="R3" s="2037"/>
    </row>
    <row r="4" spans="1:18" x14ac:dyDescent="0.2">
      <c r="A4" s="3823" t="s">
        <v>53</v>
      </c>
      <c r="B4" s="3823" t="s">
        <v>54</v>
      </c>
      <c r="C4" s="3823" t="s">
        <v>55</v>
      </c>
      <c r="D4" s="3823" t="s">
        <v>56</v>
      </c>
      <c r="E4" s="3823" t="s">
        <v>57</v>
      </c>
      <c r="F4" s="3822" t="s">
        <v>4629</v>
      </c>
      <c r="G4" s="3822"/>
      <c r="H4" s="3822"/>
      <c r="I4" s="3822"/>
      <c r="J4" s="3822"/>
      <c r="K4" s="3822" t="s">
        <v>4640</v>
      </c>
      <c r="L4" s="3822"/>
      <c r="M4" s="3822"/>
      <c r="N4" s="3822"/>
      <c r="O4" s="3822"/>
      <c r="P4" s="3822"/>
      <c r="Q4" s="3826" t="s">
        <v>4670</v>
      </c>
      <c r="R4" s="3826"/>
    </row>
    <row r="5" spans="1:18" ht="60"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897" t="s">
        <v>63</v>
      </c>
      <c r="Q5" s="899" t="s">
        <v>2540</v>
      </c>
      <c r="R5" s="900" t="s">
        <v>4671</v>
      </c>
    </row>
    <row r="6" spans="1:18" x14ac:dyDescent="0.2">
      <c r="A6" s="1877">
        <f>'1.SD Facility Based Annex'!A7</f>
        <v>1</v>
      </c>
      <c r="B6" s="1877"/>
      <c r="C6" s="1875" t="str">
        <f>'1.SD Facility Based Annex'!C7</f>
        <v>Service Delivery - Facility Based</v>
      </c>
      <c r="D6" s="1877"/>
      <c r="E6" s="1877"/>
      <c r="F6" s="1877"/>
      <c r="G6" s="1877"/>
      <c r="H6" s="969"/>
      <c r="I6" s="1877"/>
      <c r="J6" s="969"/>
      <c r="K6" s="1877"/>
      <c r="L6" s="1877"/>
      <c r="M6" s="969"/>
      <c r="N6" s="1886"/>
      <c r="O6" s="1887">
        <f>SUM(O7:O10)</f>
        <v>0</v>
      </c>
      <c r="P6" s="3353"/>
      <c r="Q6" s="1888"/>
      <c r="R6" s="1887">
        <f>SUM(R7:R10)</f>
        <v>0</v>
      </c>
    </row>
    <row r="7" spans="1:18" ht="30" x14ac:dyDescent="0.2">
      <c r="A7" s="2002" t="str">
        <f>+'1.SD Facility Based Annex'!A36</f>
        <v>1.1.5.4</v>
      </c>
      <c r="B7" s="2002" t="str">
        <f>+'1.SD Facility Based Annex'!B36</f>
        <v>G.1.1</v>
      </c>
      <c r="C7" s="103" t="str">
        <f>+'1.SD Facility Based Annex'!C36</f>
        <v>Case detection &amp; Management: Specific -plan for High Endemic Districts</v>
      </c>
      <c r="D7" s="2002" t="str">
        <f>+'1.SD Facility Based Annex'!D36</f>
        <v>NDCP</v>
      </c>
      <c r="E7" s="2002" t="str">
        <f>+'1.SD Facility Based Annex'!E36</f>
        <v>NLEP</v>
      </c>
      <c r="F7" s="2002">
        <f>+'1.SD Facility Based Annex'!F36</f>
        <v>0</v>
      </c>
      <c r="G7" s="2002">
        <f>+'1.SD Facility Based Annex'!G36</f>
        <v>0</v>
      </c>
      <c r="H7" s="2002">
        <f>+'1.SD Facility Based Annex'!H36</f>
        <v>0</v>
      </c>
      <c r="I7" s="2002">
        <f>+'1.SD Facility Based Annex'!I36</f>
        <v>0</v>
      </c>
      <c r="J7" s="2002">
        <f>+'1.SD Facility Based Annex'!J36</f>
        <v>0</v>
      </c>
      <c r="K7" s="2002">
        <f>+'1.SD Facility Based Annex'!K36</f>
        <v>0</v>
      </c>
      <c r="L7" s="2002">
        <f>+'1.SD Facility Based Annex'!L36</f>
        <v>0</v>
      </c>
      <c r="M7" s="178">
        <f>+'1.SD Facility Based Annex'!M36</f>
        <v>0</v>
      </c>
      <c r="N7" s="2002">
        <f>+'1.SD Facility Based Annex'!N36</f>
        <v>0</v>
      </c>
      <c r="O7" s="178">
        <f>+'1.SD Facility Based Annex'!O36</f>
        <v>0</v>
      </c>
      <c r="P7" s="3344">
        <f>+'1.SD Facility Based Annex'!P36</f>
        <v>0</v>
      </c>
      <c r="Q7" s="3377"/>
      <c r="R7" s="159"/>
    </row>
    <row r="8" spans="1:18" ht="30" x14ac:dyDescent="0.2">
      <c r="A8" s="2002" t="str">
        <f>+'1.SD Facility Based Annex'!A37</f>
        <v>1.1.5.5</v>
      </c>
      <c r="B8" s="2002" t="str">
        <f>+'1.SD Facility Based Annex'!B37</f>
        <v xml:space="preserve">G.1.2 </v>
      </c>
      <c r="C8" s="103" t="str">
        <f>+'1.SD Facility Based Annex'!C37</f>
        <v>Case detection &amp; Management: Services in Urban Areas</v>
      </c>
      <c r="D8" s="2002" t="str">
        <f>+'1.SD Facility Based Annex'!D37</f>
        <v>NDCP</v>
      </c>
      <c r="E8" s="2002" t="str">
        <f>+'1.SD Facility Based Annex'!E37</f>
        <v>NLEP</v>
      </c>
      <c r="F8" s="2002">
        <f>+'1.SD Facility Based Annex'!F37</f>
        <v>0</v>
      </c>
      <c r="G8" s="2002">
        <f>+'1.SD Facility Based Annex'!G37</f>
        <v>0</v>
      </c>
      <c r="H8" s="2002">
        <f>+'1.SD Facility Based Annex'!H37</f>
        <v>0</v>
      </c>
      <c r="I8" s="2002">
        <f>+'1.SD Facility Based Annex'!I37</f>
        <v>0</v>
      </c>
      <c r="J8" s="2002">
        <f>+'1.SD Facility Based Annex'!J37</f>
        <v>0</v>
      </c>
      <c r="K8" s="2002">
        <f>+'1.SD Facility Based Annex'!K37</f>
        <v>0</v>
      </c>
      <c r="L8" s="2002">
        <f>+'1.SD Facility Based Annex'!L37</f>
        <v>0</v>
      </c>
      <c r="M8" s="178">
        <f>+'1.SD Facility Based Annex'!M37</f>
        <v>0</v>
      </c>
      <c r="N8" s="2002">
        <f>+'1.SD Facility Based Annex'!N37</f>
        <v>0</v>
      </c>
      <c r="O8" s="178">
        <f>+'1.SD Facility Based Annex'!O37</f>
        <v>0</v>
      </c>
      <c r="P8" s="3344">
        <f>+'1.SD Facility Based Annex'!P37</f>
        <v>0</v>
      </c>
      <c r="Q8" s="67"/>
      <c r="R8" s="159"/>
    </row>
    <row r="9" spans="1:18" x14ac:dyDescent="0.2">
      <c r="A9" s="2002" t="str">
        <f>+'1.SD Facility Based Annex'!A38</f>
        <v>1.1.5.6</v>
      </c>
      <c r="B9" s="2002" t="str">
        <f>+'1.SD Facility Based Annex'!B38</f>
        <v>G.2.4</v>
      </c>
      <c r="C9" s="103" t="str">
        <f>+'1.SD Facility Based Annex'!C38</f>
        <v>Support to govt. institutions for RCS</v>
      </c>
      <c r="D9" s="2002" t="str">
        <f>+'1.SD Facility Based Annex'!D38</f>
        <v>NDCP</v>
      </c>
      <c r="E9" s="2002" t="str">
        <f>+'1.SD Facility Based Annex'!E38</f>
        <v>NLEP</v>
      </c>
      <c r="F9" s="2002">
        <f>+'1.SD Facility Based Annex'!F38</f>
        <v>0</v>
      </c>
      <c r="G9" s="2002">
        <f>+'1.SD Facility Based Annex'!G38</f>
        <v>0</v>
      </c>
      <c r="H9" s="2002">
        <f>+'1.SD Facility Based Annex'!H38</f>
        <v>0</v>
      </c>
      <c r="I9" s="2002">
        <f>+'1.SD Facility Based Annex'!I38</f>
        <v>0</v>
      </c>
      <c r="J9" s="2002">
        <f>+'1.SD Facility Based Annex'!J38</f>
        <v>0</v>
      </c>
      <c r="K9" s="2002">
        <f>+'1.SD Facility Based Annex'!K38</f>
        <v>0</v>
      </c>
      <c r="L9" s="2002">
        <f>+'1.SD Facility Based Annex'!L38</f>
        <v>0</v>
      </c>
      <c r="M9" s="178">
        <f>+'1.SD Facility Based Annex'!M38</f>
        <v>0</v>
      </c>
      <c r="N9" s="2002">
        <f>+'1.SD Facility Based Annex'!N38</f>
        <v>0</v>
      </c>
      <c r="O9" s="178">
        <f>+'1.SD Facility Based Annex'!O38</f>
        <v>0</v>
      </c>
      <c r="P9" s="3344">
        <f>+'1.SD Facility Based Annex'!P38</f>
        <v>0</v>
      </c>
      <c r="Q9" s="67"/>
      <c r="R9" s="159"/>
    </row>
    <row r="10" spans="1:18" x14ac:dyDescent="0.2">
      <c r="A10" s="2002" t="str">
        <f>+'1.SD Facility Based Annex'!A79</f>
        <v>1.2.3.1</v>
      </c>
      <c r="B10" s="2002" t="str">
        <f>+'1.SD Facility Based Annex'!B79</f>
        <v>G.2.3</v>
      </c>
      <c r="C10" s="103" t="str">
        <f>+'1.SD Facility Based Annex'!C79</f>
        <v>Welfare  allowance to patients for RCS</v>
      </c>
      <c r="D10" s="2002" t="str">
        <f>+'1.SD Facility Based Annex'!D79</f>
        <v>NDCP</v>
      </c>
      <c r="E10" s="2002" t="str">
        <f>+'1.SD Facility Based Annex'!E79</f>
        <v>NLEP</v>
      </c>
      <c r="F10" s="2002">
        <f>+'1.SD Facility Based Annex'!F79</f>
        <v>0</v>
      </c>
      <c r="G10" s="2002">
        <f>+'1.SD Facility Based Annex'!G79</f>
        <v>0</v>
      </c>
      <c r="H10" s="2002">
        <f>+'1.SD Facility Based Annex'!H79</f>
        <v>0</v>
      </c>
      <c r="I10" s="2002">
        <f>+'1.SD Facility Based Annex'!I79</f>
        <v>0</v>
      </c>
      <c r="J10" s="2002">
        <f>+'1.SD Facility Based Annex'!J79</f>
        <v>0</v>
      </c>
      <c r="K10" s="2002">
        <f>+'1.SD Facility Based Annex'!K79</f>
        <v>0</v>
      </c>
      <c r="L10" s="2002">
        <f>+'1.SD Facility Based Annex'!L79</f>
        <v>0</v>
      </c>
      <c r="M10" s="178">
        <f>+'1.SD Facility Based Annex'!M79</f>
        <v>0</v>
      </c>
      <c r="N10" s="2002">
        <f>+'1.SD Facility Based Annex'!N79</f>
        <v>0</v>
      </c>
      <c r="O10" s="178">
        <f>+'1.SD Facility Based Annex'!O79</f>
        <v>0</v>
      </c>
      <c r="P10" s="3344">
        <f>+'1.SD Facility Based Annex'!P79</f>
        <v>0</v>
      </c>
      <c r="Q10" s="3378"/>
      <c r="R10" s="159"/>
    </row>
    <row r="11" spans="1:18" x14ac:dyDescent="0.2">
      <c r="A11" s="1842">
        <f>'2.SD Community Based Annex'!A7</f>
        <v>2</v>
      </c>
      <c r="B11" s="1842"/>
      <c r="C11" s="356" t="str">
        <f>'2.SD Community Based Annex'!C7</f>
        <v>Service Delivery - Community Based</v>
      </c>
      <c r="D11" s="1842"/>
      <c r="E11" s="1842"/>
      <c r="F11" s="1842"/>
      <c r="G11" s="1842"/>
      <c r="H11" s="969"/>
      <c r="I11" s="1842"/>
      <c r="J11" s="969"/>
      <c r="K11" s="1842"/>
      <c r="L11" s="1842"/>
      <c r="M11" s="969"/>
      <c r="N11" s="1886"/>
      <c r="O11" s="1887">
        <f>O12</f>
        <v>0</v>
      </c>
      <c r="P11" s="3353"/>
      <c r="Q11" s="1908"/>
      <c r="R11" s="1909">
        <f>R12</f>
        <v>0</v>
      </c>
    </row>
    <row r="12" spans="1:18" x14ac:dyDescent="0.2">
      <c r="A12" s="2002" t="str">
        <f>'2.SD Community Based Annex'!A48</f>
        <v>2.3.2.2</v>
      </c>
      <c r="B12" s="2002" t="str">
        <f>'2.SD Community Based Annex'!B48</f>
        <v>G.2.5</v>
      </c>
      <c r="C12" s="103" t="str">
        <f>'2.SD Community Based Annex'!C48</f>
        <v>DPMR: At camps</v>
      </c>
      <c r="D12" s="2002" t="str">
        <f>'2.SD Community Based Annex'!D48</f>
        <v>NDCP</v>
      </c>
      <c r="E12" s="2002" t="str">
        <f>'2.SD Community Based Annex'!E48</f>
        <v>NLEP</v>
      </c>
      <c r="F12" s="2002">
        <f>'2.SD Community Based Annex'!F48</f>
        <v>0</v>
      </c>
      <c r="G12" s="2002">
        <f>'2.SD Community Based Annex'!G48</f>
        <v>0</v>
      </c>
      <c r="H12" s="2002">
        <f>'2.SD Community Based Annex'!H48</f>
        <v>0</v>
      </c>
      <c r="I12" s="2002">
        <f>'2.SD Community Based Annex'!I48</f>
        <v>0</v>
      </c>
      <c r="J12" s="2002">
        <f>'2.SD Community Based Annex'!J48</f>
        <v>0</v>
      </c>
      <c r="K12" s="2002">
        <f>'2.SD Community Based Annex'!K48</f>
        <v>0</v>
      </c>
      <c r="L12" s="2002">
        <f>'2.SD Community Based Annex'!L48</f>
        <v>0</v>
      </c>
      <c r="M12" s="178">
        <f>'2.SD Community Based Annex'!M48</f>
        <v>0</v>
      </c>
      <c r="N12" s="2002">
        <f>'2.SD Community Based Annex'!N48</f>
        <v>0</v>
      </c>
      <c r="O12" s="178">
        <f>'2.SD Community Based Annex'!O48</f>
        <v>0</v>
      </c>
      <c r="P12" s="3344">
        <f>'2.SD Community Based Annex'!P48</f>
        <v>0</v>
      </c>
      <c r="Q12" s="67"/>
      <c r="R12" s="159"/>
    </row>
    <row r="13" spans="1:18" x14ac:dyDescent="0.2">
      <c r="A13" s="1842">
        <f>'3.Community Intervention Annexn'!A7</f>
        <v>3</v>
      </c>
      <c r="B13" s="1842"/>
      <c r="C13" s="356" t="str">
        <f>'3.Community Intervention Annexn'!C7</f>
        <v>Community Interventions</v>
      </c>
      <c r="D13" s="1842"/>
      <c r="E13" s="1842"/>
      <c r="F13" s="1842"/>
      <c r="G13" s="1842"/>
      <c r="H13" s="969"/>
      <c r="I13" s="1842"/>
      <c r="J13" s="969"/>
      <c r="K13" s="1842"/>
      <c r="L13" s="1842"/>
      <c r="M13" s="969"/>
      <c r="N13" s="1886"/>
      <c r="O13" s="1887">
        <f>SUM(O14:O16)</f>
        <v>0</v>
      </c>
      <c r="P13" s="3353"/>
      <c r="Q13" s="1908"/>
      <c r="R13" s="1909">
        <f>SUM(R14:R16)</f>
        <v>0</v>
      </c>
    </row>
    <row r="14" spans="1:18" ht="75" x14ac:dyDescent="0.2">
      <c r="A14" s="4080" t="str">
        <f>'3.Community Intervention Annexn'!A20</f>
        <v>3.1.1.3.2</v>
      </c>
      <c r="B14" s="2002" t="str">
        <f>'3-A. CI Sub-Annex'!C48</f>
        <v>G.1.3.b.i</v>
      </c>
      <c r="C14" s="103" t="str">
        <f>'3-A. CI Sub-Annex'!D48</f>
        <v>Incentive for ASHA/AWW/Volunteer/etc for detection of Leprosy (Rs 250 for detection of an early case before onset of any visible deformity, Rs 200 for detection of new case with visible deformity in hands, feet or eye)</v>
      </c>
      <c r="D14" s="2002" t="str">
        <f>'3-A. CI Sub-Annex'!E48</f>
        <v>NDCP</v>
      </c>
      <c r="E14" s="2002" t="str">
        <f>'3-A. CI Sub-Annex'!F48</f>
        <v>NLEP/NHSRC-CP</v>
      </c>
      <c r="F14" s="2002">
        <f>'3-A. CI Sub-Annex'!G48</f>
        <v>0</v>
      </c>
      <c r="G14" s="2002">
        <f>'3-A. CI Sub-Annex'!H48</f>
        <v>0</v>
      </c>
      <c r="H14" s="2002">
        <f>'3-A. CI Sub-Annex'!I48</f>
        <v>0</v>
      </c>
      <c r="I14" s="2002">
        <f>'3-A. CI Sub-Annex'!J48</f>
        <v>0</v>
      </c>
      <c r="J14" s="2002">
        <f>'3-A. CI Sub-Annex'!K48</f>
        <v>0</v>
      </c>
      <c r="K14" s="2002">
        <f>'3-A. CI Sub-Annex'!L48</f>
        <v>0</v>
      </c>
      <c r="L14" s="2002">
        <f>'3-A. CI Sub-Annex'!M48</f>
        <v>0</v>
      </c>
      <c r="M14" s="178">
        <f>'3-A. CI Sub-Annex'!N48</f>
        <v>0</v>
      </c>
      <c r="N14" s="2002">
        <f>'3-A. CI Sub-Annex'!O48</f>
        <v>0</v>
      </c>
      <c r="O14" s="178">
        <f>'3-A. CI Sub-Annex'!P48</f>
        <v>0</v>
      </c>
      <c r="P14" s="3344">
        <f>'3-A. CI Sub-Annex'!Q48</f>
        <v>0</v>
      </c>
      <c r="Q14" s="3378"/>
      <c r="R14" s="159"/>
    </row>
    <row r="15" spans="1:18" ht="30" x14ac:dyDescent="0.2">
      <c r="A15" s="4081"/>
      <c r="B15" s="2002" t="str">
        <f>'3-A. CI Sub-Annex'!C49</f>
        <v>G.1.3.b.ii</v>
      </c>
      <c r="C15" s="103" t="str">
        <f>'3-A. CI Sub-Annex'!D49</f>
        <v>ASHA Incentive for Treatment completion of PB cases (@ Rs 400)</v>
      </c>
      <c r="D15" s="2002" t="str">
        <f>'3-A. CI Sub-Annex'!E49</f>
        <v>NDCP</v>
      </c>
      <c r="E15" s="2002" t="str">
        <f>'3-A. CI Sub-Annex'!F49</f>
        <v>NLEP/NHSRC-CP</v>
      </c>
      <c r="F15" s="2002">
        <f>'3-A. CI Sub-Annex'!G49</f>
        <v>0</v>
      </c>
      <c r="G15" s="2002">
        <f>'3-A. CI Sub-Annex'!H49</f>
        <v>0</v>
      </c>
      <c r="H15" s="2002">
        <f>'3-A. CI Sub-Annex'!I49</f>
        <v>0</v>
      </c>
      <c r="I15" s="2002">
        <f>'3-A. CI Sub-Annex'!J49</f>
        <v>0</v>
      </c>
      <c r="J15" s="2002">
        <f>'3-A. CI Sub-Annex'!K49</f>
        <v>0</v>
      </c>
      <c r="K15" s="2002">
        <f>'3-A. CI Sub-Annex'!L49</f>
        <v>0</v>
      </c>
      <c r="L15" s="2002">
        <f>'3-A. CI Sub-Annex'!M49</f>
        <v>0</v>
      </c>
      <c r="M15" s="178">
        <f>'3-A. CI Sub-Annex'!N49</f>
        <v>0</v>
      </c>
      <c r="N15" s="2002">
        <f>'3-A. CI Sub-Annex'!O49</f>
        <v>0</v>
      </c>
      <c r="O15" s="178">
        <f>'3-A. CI Sub-Annex'!P49</f>
        <v>0</v>
      </c>
      <c r="P15" s="3344">
        <f>'3-A. CI Sub-Annex'!Q49</f>
        <v>0</v>
      </c>
      <c r="Q15" s="3378"/>
      <c r="R15" s="159"/>
    </row>
    <row r="16" spans="1:18" ht="30" x14ac:dyDescent="0.2">
      <c r="A16" s="4082"/>
      <c r="B16" s="2002" t="str">
        <f>'3-A. CI Sub-Annex'!C50</f>
        <v>G.1.3.b.iii</v>
      </c>
      <c r="C16" s="103" t="str">
        <f>'3-A. CI Sub-Annex'!D50</f>
        <v>ASHA Incentive for Treatment completion of MB cases (@ Rs 500)</v>
      </c>
      <c r="D16" s="2002" t="str">
        <f>'3-A. CI Sub-Annex'!E50</f>
        <v>NDCP</v>
      </c>
      <c r="E16" s="2002" t="str">
        <f>'3-A. CI Sub-Annex'!F50</f>
        <v>NLEP/NHSRC-CP</v>
      </c>
      <c r="F16" s="2002">
        <f>'3-A. CI Sub-Annex'!G50</f>
        <v>0</v>
      </c>
      <c r="G16" s="2002">
        <f>'3-A. CI Sub-Annex'!H50</f>
        <v>0</v>
      </c>
      <c r="H16" s="2002">
        <f>'3-A. CI Sub-Annex'!I50</f>
        <v>0</v>
      </c>
      <c r="I16" s="2002">
        <f>'3-A. CI Sub-Annex'!J50</f>
        <v>0</v>
      </c>
      <c r="J16" s="2002">
        <f>'3-A. CI Sub-Annex'!K50</f>
        <v>0</v>
      </c>
      <c r="K16" s="2002">
        <f>'3-A. CI Sub-Annex'!L50</f>
        <v>0</v>
      </c>
      <c r="L16" s="2002">
        <f>'3-A. CI Sub-Annex'!M50</f>
        <v>0</v>
      </c>
      <c r="M16" s="178">
        <f>'3-A. CI Sub-Annex'!N50</f>
        <v>0</v>
      </c>
      <c r="N16" s="2002">
        <f>'3-A. CI Sub-Annex'!O50</f>
        <v>0</v>
      </c>
      <c r="O16" s="178">
        <f>'3-A. CI Sub-Annex'!P50</f>
        <v>0</v>
      </c>
      <c r="P16" s="3344">
        <f>'3-A. CI Sub-Annex'!Q50</f>
        <v>0</v>
      </c>
      <c r="Q16" s="3378"/>
      <c r="R16" s="159"/>
    </row>
    <row r="17" spans="1:18" x14ac:dyDescent="0.2">
      <c r="A17" s="1900">
        <f>'6.Procurement Annex'!A7</f>
        <v>6</v>
      </c>
      <c r="B17" s="1900"/>
      <c r="C17" s="1898" t="str">
        <f>'6.Procurement Annex'!C7</f>
        <v>Procurement</v>
      </c>
      <c r="D17" s="1900"/>
      <c r="E17" s="1900"/>
      <c r="F17" s="1900"/>
      <c r="G17" s="1900"/>
      <c r="H17" s="969"/>
      <c r="I17" s="1900"/>
      <c r="J17" s="969"/>
      <c r="K17" s="1900"/>
      <c r="L17" s="1900"/>
      <c r="M17" s="969"/>
      <c r="N17" s="1886"/>
      <c r="O17" s="1887">
        <f>SUM(O18:O23)</f>
        <v>0</v>
      </c>
      <c r="P17" s="3353"/>
      <c r="Q17" s="1908"/>
      <c r="R17" s="1909">
        <f>SUM(R18:R23)</f>
        <v>0</v>
      </c>
    </row>
    <row r="18" spans="1:18" x14ac:dyDescent="0.2">
      <c r="A18" s="4080" t="str">
        <f>'6.Procurement Annex'!A32</f>
        <v>6.1.4.3</v>
      </c>
      <c r="B18" s="2002" t="str">
        <f>+'6-A. Proc. Sub-Annex'!C84</f>
        <v>G.1.4</v>
      </c>
      <c r="C18" s="103" t="str">
        <f>+'6-A. Proc. Sub-Annex'!D84</f>
        <v>Equipment</v>
      </c>
      <c r="D18" s="2002" t="str">
        <f>+'6-A. Proc. Sub-Annex'!E84</f>
        <v>NDCP</v>
      </c>
      <c r="E18" s="2002" t="str">
        <f>+'6-A. Proc. Sub-Annex'!F84</f>
        <v>NLEP</v>
      </c>
      <c r="F18" s="2002">
        <f>+'6-A. Proc. Sub-Annex'!G84</f>
        <v>0</v>
      </c>
      <c r="G18" s="2002">
        <f>+'6-A. Proc. Sub-Annex'!H84</f>
        <v>0</v>
      </c>
      <c r="H18" s="2002">
        <f>+'6-A. Proc. Sub-Annex'!I84</f>
        <v>0</v>
      </c>
      <c r="I18" s="2002">
        <f>+'6-A. Proc. Sub-Annex'!J84</f>
        <v>0</v>
      </c>
      <c r="J18" s="2002">
        <f>+'6-A. Proc. Sub-Annex'!K84</f>
        <v>0</v>
      </c>
      <c r="K18" s="2002">
        <f>+'6-A. Proc. Sub-Annex'!L84</f>
        <v>0</v>
      </c>
      <c r="L18" s="2002">
        <f>+'6-A. Proc. Sub-Annex'!M84</f>
        <v>0</v>
      </c>
      <c r="M18" s="178">
        <f>+'6-A. Proc. Sub-Annex'!N84</f>
        <v>0</v>
      </c>
      <c r="N18" s="2002">
        <f>+'6-A. Proc. Sub-Annex'!O84</f>
        <v>0</v>
      </c>
      <c r="O18" s="178">
        <f>+'6-A. Proc. Sub-Annex'!P84</f>
        <v>0</v>
      </c>
      <c r="P18" s="3344">
        <f>+'6-A. Proc. Sub-Annex'!Q84</f>
        <v>0</v>
      </c>
      <c r="Q18" s="3378"/>
      <c r="R18" s="159"/>
    </row>
    <row r="19" spans="1:18" x14ac:dyDescent="0.2">
      <c r="A19" s="4081"/>
      <c r="B19" s="2002" t="str">
        <f>+'6-A. Proc. Sub-Annex'!C85</f>
        <v>G.2.1</v>
      </c>
      <c r="C19" s="103" t="str">
        <f>+'6-A. Proc. Sub-Annex'!D85</f>
        <v>MCR</v>
      </c>
      <c r="D19" s="2002" t="str">
        <f>+'6-A. Proc. Sub-Annex'!E85</f>
        <v>NDCP</v>
      </c>
      <c r="E19" s="2002" t="str">
        <f>+'6-A. Proc. Sub-Annex'!F85</f>
        <v>NLEP</v>
      </c>
      <c r="F19" s="2002">
        <f>+'6-A. Proc. Sub-Annex'!G85</f>
        <v>0</v>
      </c>
      <c r="G19" s="2002">
        <f>+'6-A. Proc. Sub-Annex'!H85</f>
        <v>0</v>
      </c>
      <c r="H19" s="2002">
        <f>+'6-A. Proc. Sub-Annex'!I85</f>
        <v>0</v>
      </c>
      <c r="I19" s="2002">
        <f>+'6-A. Proc. Sub-Annex'!J85</f>
        <v>0</v>
      </c>
      <c r="J19" s="2002">
        <f>+'6-A. Proc. Sub-Annex'!K85</f>
        <v>0</v>
      </c>
      <c r="K19" s="2002">
        <f>+'6-A. Proc. Sub-Annex'!L85</f>
        <v>0</v>
      </c>
      <c r="L19" s="2002">
        <f>+'6-A. Proc. Sub-Annex'!M85</f>
        <v>0</v>
      </c>
      <c r="M19" s="178">
        <f>+'6-A. Proc. Sub-Annex'!N85</f>
        <v>0</v>
      </c>
      <c r="N19" s="2002">
        <f>+'6-A. Proc. Sub-Annex'!O85</f>
        <v>0</v>
      </c>
      <c r="O19" s="178">
        <f>+'6-A. Proc. Sub-Annex'!P85</f>
        <v>0</v>
      </c>
      <c r="P19" s="3344">
        <f>+'6-A. Proc. Sub-Annex'!Q85</f>
        <v>0</v>
      </c>
      <c r="Q19" s="3378"/>
      <c r="R19" s="159"/>
    </row>
    <row r="20" spans="1:18" x14ac:dyDescent="0.2">
      <c r="A20" s="4081"/>
      <c r="B20" s="2002" t="str">
        <f>+'6-A. Proc. Sub-Annex'!C86</f>
        <v>G.2.2</v>
      </c>
      <c r="C20" s="103" t="str">
        <f>+'6-A. Proc. Sub-Annex'!D86</f>
        <v>Aids/Appliance</v>
      </c>
      <c r="D20" s="2002" t="str">
        <f>+'6-A. Proc. Sub-Annex'!E86</f>
        <v>NDCP</v>
      </c>
      <c r="E20" s="2002" t="str">
        <f>+'6-A. Proc. Sub-Annex'!F86</f>
        <v>NLEP</v>
      </c>
      <c r="F20" s="2002">
        <f>+'6-A. Proc. Sub-Annex'!G86</f>
        <v>0</v>
      </c>
      <c r="G20" s="2002">
        <f>+'6-A. Proc. Sub-Annex'!H86</f>
        <v>0</v>
      </c>
      <c r="H20" s="2002">
        <f>+'6-A. Proc. Sub-Annex'!I86</f>
        <v>0</v>
      </c>
      <c r="I20" s="2002">
        <f>+'6-A. Proc. Sub-Annex'!J86</f>
        <v>0</v>
      </c>
      <c r="J20" s="2002">
        <f>+'6-A. Proc. Sub-Annex'!K86</f>
        <v>0</v>
      </c>
      <c r="K20" s="2002">
        <f>+'6-A. Proc. Sub-Annex'!L86</f>
        <v>0</v>
      </c>
      <c r="L20" s="2002">
        <f>+'6-A. Proc. Sub-Annex'!M86</f>
        <v>0</v>
      </c>
      <c r="M20" s="178">
        <f>+'6-A. Proc. Sub-Annex'!N86</f>
        <v>0</v>
      </c>
      <c r="N20" s="2002">
        <f>+'6-A. Proc. Sub-Annex'!O86</f>
        <v>0</v>
      </c>
      <c r="O20" s="178">
        <f>+'6-A. Proc. Sub-Annex'!P86</f>
        <v>0</v>
      </c>
      <c r="P20" s="3344">
        <f>+'6-A. Proc. Sub-Annex'!Q86</f>
        <v>0</v>
      </c>
      <c r="Q20" s="3379"/>
      <c r="R20" s="159"/>
    </row>
    <row r="21" spans="1:18" x14ac:dyDescent="0.2">
      <c r="A21" s="4082"/>
      <c r="B21" s="2002">
        <f>+'6-A. Proc. Sub-Annex'!C87</f>
        <v>0</v>
      </c>
      <c r="C21" s="103" t="str">
        <f>+'6-A. Proc. Sub-Annex'!D87</f>
        <v>Any other equipment (please specify)</v>
      </c>
      <c r="D21" s="2002" t="str">
        <f>+'6-A. Proc. Sub-Annex'!E87</f>
        <v>NDCP</v>
      </c>
      <c r="E21" s="2002" t="str">
        <f>+'6-A. Proc. Sub-Annex'!F87</f>
        <v>NLEP</v>
      </c>
      <c r="F21" s="2002">
        <f>+'6-A. Proc. Sub-Annex'!G87</f>
        <v>0</v>
      </c>
      <c r="G21" s="2002">
        <f>+'6-A. Proc. Sub-Annex'!H87</f>
        <v>0</v>
      </c>
      <c r="H21" s="2002">
        <f>+'6-A. Proc. Sub-Annex'!I87</f>
        <v>0</v>
      </c>
      <c r="I21" s="2002">
        <f>+'6-A. Proc. Sub-Annex'!J87</f>
        <v>0</v>
      </c>
      <c r="J21" s="2002">
        <f>+'6-A. Proc. Sub-Annex'!K87</f>
        <v>0</v>
      </c>
      <c r="K21" s="2002">
        <f>+'6-A. Proc. Sub-Annex'!L87</f>
        <v>0</v>
      </c>
      <c r="L21" s="2002">
        <f>+'6-A. Proc. Sub-Annex'!M87</f>
        <v>0</v>
      </c>
      <c r="M21" s="178">
        <f>+'6-A. Proc. Sub-Annex'!N87</f>
        <v>0</v>
      </c>
      <c r="N21" s="2002">
        <f>+'6-A. Proc. Sub-Annex'!O87</f>
        <v>0</v>
      </c>
      <c r="O21" s="178">
        <f>+'6-A. Proc. Sub-Annex'!P87</f>
        <v>0</v>
      </c>
      <c r="P21" s="3344">
        <f>+'6-A. Proc. Sub-Annex'!Q87</f>
        <v>0</v>
      </c>
      <c r="Q21" s="3380"/>
      <c r="R21" s="159"/>
    </row>
    <row r="22" spans="1:18" x14ac:dyDescent="0.2">
      <c r="A22" s="4080" t="str">
        <f>'6.Procurement Annex'!A73</f>
        <v>6.2.3.2</v>
      </c>
      <c r="B22" s="2002" t="str">
        <f>+'6-A. Proc. Sub-Annex'!C233</f>
        <v>G.1.4</v>
      </c>
      <c r="C22" s="103" t="str">
        <f>+'6-A. Proc. Sub-Annex'!D233</f>
        <v>Supportive drugs, lab. Reagents</v>
      </c>
      <c r="D22" s="2002" t="str">
        <f>+'6-A. Proc. Sub-Annex'!E233</f>
        <v>NDCP</v>
      </c>
      <c r="E22" s="2002" t="str">
        <f>+'6-A. Proc. Sub-Annex'!F233</f>
        <v>NLEP</v>
      </c>
      <c r="F22" s="2002">
        <f>+'6-A. Proc. Sub-Annex'!G233</f>
        <v>0</v>
      </c>
      <c r="G22" s="2002">
        <f>+'6-A. Proc. Sub-Annex'!H233</f>
        <v>0</v>
      </c>
      <c r="H22" s="2002">
        <f>+'6-A. Proc. Sub-Annex'!I233</f>
        <v>0</v>
      </c>
      <c r="I22" s="2002">
        <f>+'6-A. Proc. Sub-Annex'!J233</f>
        <v>0</v>
      </c>
      <c r="J22" s="2002">
        <f>+'6-A. Proc. Sub-Annex'!K233</f>
        <v>0</v>
      </c>
      <c r="K22" s="2002">
        <f>+'6-A. Proc. Sub-Annex'!L233</f>
        <v>0</v>
      </c>
      <c r="L22" s="2002">
        <f>+'6-A. Proc. Sub-Annex'!M233</f>
        <v>0</v>
      </c>
      <c r="M22" s="178">
        <f>+'6-A. Proc. Sub-Annex'!N233</f>
        <v>0</v>
      </c>
      <c r="N22" s="2002">
        <f>+'6-A. Proc. Sub-Annex'!O233</f>
        <v>0</v>
      </c>
      <c r="O22" s="178">
        <f>+'6-A. Proc. Sub-Annex'!P233</f>
        <v>0</v>
      </c>
      <c r="P22" s="3344">
        <f>+'6-A. Proc. Sub-Annex'!Q233</f>
        <v>0</v>
      </c>
      <c r="Q22" s="67"/>
      <c r="R22" s="159"/>
    </row>
    <row r="23" spans="1:18" x14ac:dyDescent="0.2">
      <c r="A23" s="4082"/>
      <c r="B23" s="2002"/>
      <c r="C23" s="103" t="str">
        <f>+'6-A. Proc. Sub-Annex'!D234</f>
        <v>Any other drugs &amp; supplies (please specify)</v>
      </c>
      <c r="D23" s="2002" t="str">
        <f>+'6-A. Proc. Sub-Annex'!E234</f>
        <v>NDCP</v>
      </c>
      <c r="E23" s="2002" t="str">
        <f>+'6-A. Proc. Sub-Annex'!F234</f>
        <v>NLEP</v>
      </c>
      <c r="F23" s="2002">
        <f>+'6-A. Proc. Sub-Annex'!G234</f>
        <v>0</v>
      </c>
      <c r="G23" s="2002">
        <f>+'6-A. Proc. Sub-Annex'!H234</f>
        <v>0</v>
      </c>
      <c r="H23" s="2002">
        <f>+'6-A. Proc. Sub-Annex'!I234</f>
        <v>0</v>
      </c>
      <c r="I23" s="2002">
        <f>+'6-A. Proc. Sub-Annex'!J234</f>
        <v>0</v>
      </c>
      <c r="J23" s="2002">
        <f>+'6-A. Proc. Sub-Annex'!K234</f>
        <v>0</v>
      </c>
      <c r="K23" s="2002">
        <f>+'6-A. Proc. Sub-Annex'!L234</f>
        <v>0</v>
      </c>
      <c r="L23" s="2002">
        <f>+'6-A. Proc. Sub-Annex'!M234</f>
        <v>0</v>
      </c>
      <c r="M23" s="178">
        <f>+'6-A. Proc. Sub-Annex'!N234</f>
        <v>0</v>
      </c>
      <c r="N23" s="2002">
        <f>+'6-A. Proc. Sub-Annex'!O234</f>
        <v>0</v>
      </c>
      <c r="O23" s="178">
        <f>+'6-A. Proc. Sub-Annex'!P234</f>
        <v>0</v>
      </c>
      <c r="P23" s="3344">
        <f>+'6-A. Proc. Sub-Annex'!Q234</f>
        <v>0</v>
      </c>
      <c r="Q23" s="67"/>
      <c r="R23" s="159"/>
    </row>
    <row r="24" spans="1:18" x14ac:dyDescent="0.2">
      <c r="A24" s="1842">
        <f>'9.Training Annex'!A7</f>
        <v>9</v>
      </c>
      <c r="B24" s="1842"/>
      <c r="C24" s="356" t="str">
        <f>'9.Training Annex'!C7</f>
        <v>Training and Capacity Building</v>
      </c>
      <c r="D24" s="1842"/>
      <c r="E24" s="1842"/>
      <c r="F24" s="1842"/>
      <c r="G24" s="1842"/>
      <c r="H24" s="969"/>
      <c r="I24" s="1842"/>
      <c r="J24" s="969"/>
      <c r="K24" s="1842"/>
      <c r="L24" s="1842"/>
      <c r="M24" s="969"/>
      <c r="N24" s="1886"/>
      <c r="O24" s="1887">
        <f>SUM(O25:O26)</f>
        <v>0</v>
      </c>
      <c r="P24" s="3353"/>
      <c r="Q24" s="1908"/>
      <c r="R24" s="1909">
        <f>SUM(R25:R26)</f>
        <v>0</v>
      </c>
    </row>
    <row r="25" spans="1:18" x14ac:dyDescent="0.2">
      <c r="A25" s="2002" t="str">
        <f>'9.Training Annex'!A49</f>
        <v>9.2.3.3</v>
      </c>
      <c r="B25" s="2002" t="str">
        <f>'9-A.Training Sub-Annex'!C229</f>
        <v>G.3.1</v>
      </c>
      <c r="C25" s="103" t="str">
        <f>+'9-A.Training Sub-Annex'!D229</f>
        <v>Capacity building under NLEP</v>
      </c>
      <c r="D25" s="2002" t="str">
        <f>+'9-A.Training Sub-Annex'!E229</f>
        <v>NDCP</v>
      </c>
      <c r="E25" s="2002" t="str">
        <f>+'9-A.Training Sub-Annex'!F229</f>
        <v>NLEP</v>
      </c>
      <c r="F25" s="2002">
        <f>+'9-A.Training Sub-Annex'!G229</f>
        <v>0</v>
      </c>
      <c r="G25" s="2002">
        <f>+'9-A.Training Sub-Annex'!H229</f>
        <v>0</v>
      </c>
      <c r="H25" s="2002">
        <f>+'9-A.Training Sub-Annex'!I229</f>
        <v>0</v>
      </c>
      <c r="I25" s="2002">
        <f>+'9-A.Training Sub-Annex'!J229</f>
        <v>0</v>
      </c>
      <c r="J25" s="2002">
        <f>+'9-A.Training Sub-Annex'!K229</f>
        <v>0</v>
      </c>
      <c r="K25" s="2002">
        <f>+'9-A.Training Sub-Annex'!L229</f>
        <v>0</v>
      </c>
      <c r="L25" s="2002">
        <f>+'9-A.Training Sub-Annex'!M229</f>
        <v>0</v>
      </c>
      <c r="M25" s="178">
        <f>+'9-A.Training Sub-Annex'!N229</f>
        <v>0</v>
      </c>
      <c r="N25" s="2002">
        <f>+'9-A.Training Sub-Annex'!O229</f>
        <v>0</v>
      </c>
      <c r="O25" s="178">
        <f>+'9-A.Training Sub-Annex'!P229</f>
        <v>0</v>
      </c>
      <c r="P25" s="3344">
        <f>+'9-A.Training Sub-Annex'!Q229</f>
        <v>0</v>
      </c>
      <c r="Q25" s="3381"/>
      <c r="R25" s="159"/>
    </row>
    <row r="26" spans="1:18" x14ac:dyDescent="0.2">
      <c r="A26" s="2002"/>
      <c r="B26" s="2002">
        <f>'9-A.Training Sub-Annex'!C230</f>
        <v>0</v>
      </c>
      <c r="C26" s="103" t="str">
        <f>+'9-A.Training Sub-Annex'!D230</f>
        <v>Any other (please specify)</v>
      </c>
      <c r="D26" s="2002" t="str">
        <f>+'9-A.Training Sub-Annex'!E230</f>
        <v>NDCP</v>
      </c>
      <c r="E26" s="2002" t="str">
        <f>+'9-A.Training Sub-Annex'!F230</f>
        <v>NLEP</v>
      </c>
      <c r="F26" s="2002">
        <f>+'9-A.Training Sub-Annex'!G230</f>
        <v>0</v>
      </c>
      <c r="G26" s="2002">
        <f>+'9-A.Training Sub-Annex'!H230</f>
        <v>0</v>
      </c>
      <c r="H26" s="2002">
        <f>+'9-A.Training Sub-Annex'!I230</f>
        <v>0</v>
      </c>
      <c r="I26" s="2002">
        <f>+'9-A.Training Sub-Annex'!J230</f>
        <v>0</v>
      </c>
      <c r="J26" s="2002">
        <f>+'9-A.Training Sub-Annex'!K230</f>
        <v>0</v>
      </c>
      <c r="K26" s="2002">
        <f>+'9-A.Training Sub-Annex'!L230</f>
        <v>0</v>
      </c>
      <c r="L26" s="2002">
        <f>+'9-A.Training Sub-Annex'!M230</f>
        <v>0</v>
      </c>
      <c r="M26" s="178">
        <f>+'9-A.Training Sub-Annex'!N230</f>
        <v>0</v>
      </c>
      <c r="N26" s="2002">
        <f>+'9-A.Training Sub-Annex'!O230</f>
        <v>0</v>
      </c>
      <c r="O26" s="178">
        <f>+'9-A.Training Sub-Annex'!P230</f>
        <v>0</v>
      </c>
      <c r="P26" s="3344">
        <f>+'9-A.Training Sub-Annex'!Q230</f>
        <v>0</v>
      </c>
      <c r="Q26" s="3381"/>
      <c r="R26" s="159"/>
    </row>
    <row r="27" spans="1:18" x14ac:dyDescent="0.2">
      <c r="A27" s="1842">
        <f>'10.Review Research &amp; Surveillen'!A7</f>
        <v>10</v>
      </c>
      <c r="B27" s="1842"/>
      <c r="C27" s="356" t="str">
        <f>'10.Review Research &amp; Surveillen'!C7</f>
        <v>Reviews, Research, Surveys and Surveillance</v>
      </c>
      <c r="D27" s="1842"/>
      <c r="E27" s="1842"/>
      <c r="F27" s="1842"/>
      <c r="G27" s="1842"/>
      <c r="H27" s="969"/>
      <c r="I27" s="1842"/>
      <c r="J27" s="969"/>
      <c r="K27" s="1842"/>
      <c r="L27" s="1842"/>
      <c r="M27" s="969"/>
      <c r="N27" s="1886"/>
      <c r="O27" s="1887">
        <f>O28</f>
        <v>0</v>
      </c>
      <c r="P27" s="3353"/>
      <c r="Q27" s="1908"/>
      <c r="R27" s="1909">
        <f>R28</f>
        <v>0</v>
      </c>
    </row>
    <row r="28" spans="1:18" x14ac:dyDescent="0.2">
      <c r="A28" s="2002" t="str">
        <f>'10.Review Research &amp; Surveillen'!A57</f>
        <v>10.5.2</v>
      </c>
      <c r="B28" s="2002">
        <f>'10.Review Research &amp; Surveillen'!B57</f>
        <v>0</v>
      </c>
      <c r="C28" s="103" t="str">
        <f>'10.Review Research &amp; Surveillen'!C57</f>
        <v>Sub-national Disease Free Certification: Leprosy</v>
      </c>
      <c r="D28" s="2002" t="str">
        <f>'10.Review Research &amp; Surveillen'!D57</f>
        <v>NDCP</v>
      </c>
      <c r="E28" s="2002" t="str">
        <f>'10.Review Research &amp; Surveillen'!E57</f>
        <v>NLEP</v>
      </c>
      <c r="F28" s="2002">
        <f>'10.Review Research &amp; Surveillen'!F57</f>
        <v>0</v>
      </c>
      <c r="G28" s="2002">
        <f>'10.Review Research &amp; Surveillen'!G57</f>
        <v>0</v>
      </c>
      <c r="H28" s="2002">
        <f>'10.Review Research &amp; Surveillen'!H57</f>
        <v>0</v>
      </c>
      <c r="I28" s="2002">
        <f>'10.Review Research &amp; Surveillen'!I57</f>
        <v>0</v>
      </c>
      <c r="J28" s="2002">
        <f>'10.Review Research &amp; Surveillen'!J57</f>
        <v>0</v>
      </c>
      <c r="K28" s="2002">
        <f>'10.Review Research &amp; Surveillen'!K57</f>
        <v>0</v>
      </c>
      <c r="L28" s="2002">
        <f>'10.Review Research &amp; Surveillen'!L57</f>
        <v>0</v>
      </c>
      <c r="M28" s="178">
        <f>'10.Review Research &amp; Surveillen'!M57</f>
        <v>0</v>
      </c>
      <c r="N28" s="2002">
        <f>'10.Review Research &amp; Surveillen'!N57</f>
        <v>0</v>
      </c>
      <c r="O28" s="178">
        <f>'10.Review Research &amp; Surveillen'!O57</f>
        <v>0</v>
      </c>
      <c r="P28" s="3344">
        <f>'10.Review Research &amp; Surveillen'!P57</f>
        <v>0</v>
      </c>
      <c r="Q28" s="67"/>
      <c r="R28" s="159"/>
    </row>
    <row r="29" spans="1:18" x14ac:dyDescent="0.2">
      <c r="A29" s="1900">
        <f>'11.IEC-BCC Annex'!A7</f>
        <v>11</v>
      </c>
      <c r="B29" s="1900"/>
      <c r="C29" s="1898" t="str">
        <f>'11.IEC-BCC Annex'!C7</f>
        <v>IEC/BCC</v>
      </c>
      <c r="D29" s="1900"/>
      <c r="E29" s="1900"/>
      <c r="F29" s="1900"/>
      <c r="G29" s="1900"/>
      <c r="H29" s="969"/>
      <c r="I29" s="1900"/>
      <c r="J29" s="969"/>
      <c r="K29" s="1900"/>
      <c r="L29" s="1900"/>
      <c r="M29" s="969"/>
      <c r="N29" s="1886"/>
      <c r="O29" s="1887">
        <f>SUM(O30:O31)</f>
        <v>0</v>
      </c>
      <c r="P29" s="3353"/>
      <c r="Q29" s="1908"/>
      <c r="R29" s="1909">
        <f>SUM(R30:R31)</f>
        <v>0</v>
      </c>
    </row>
    <row r="30" spans="1:18" ht="30" x14ac:dyDescent="0.2">
      <c r="A30" s="4080" t="str">
        <f>'11.IEC-BCC Annex'!A26</f>
        <v>11.3.2</v>
      </c>
      <c r="B30" s="2002" t="str">
        <f>+'11-A. IEC Sub-Annex'!C67</f>
        <v>B.10.6.10</v>
      </c>
      <c r="C30" s="103" t="str">
        <f>+'11-A. IEC Sub-Annex'!D67</f>
        <v>IEC/BCC: Mass media, Outdoor media, Rural media, Advocacy media for NLEP</v>
      </c>
      <c r="D30" s="2002" t="str">
        <f>+'11-A. IEC Sub-Annex'!E67</f>
        <v>NDCP</v>
      </c>
      <c r="E30" s="2002" t="str">
        <f>+'11-A. IEC Sub-Annex'!F67</f>
        <v>NLEP</v>
      </c>
      <c r="F30" s="2002">
        <f>+'11-A. IEC Sub-Annex'!G67</f>
        <v>0</v>
      </c>
      <c r="G30" s="2002">
        <f>+'11-A. IEC Sub-Annex'!H67</f>
        <v>0</v>
      </c>
      <c r="H30" s="2002">
        <f>+'11-A. IEC Sub-Annex'!I67</f>
        <v>0</v>
      </c>
      <c r="I30" s="2002">
        <f>+'11-A. IEC Sub-Annex'!J67</f>
        <v>0</v>
      </c>
      <c r="J30" s="2002">
        <f>+'11-A. IEC Sub-Annex'!K67</f>
        <v>0</v>
      </c>
      <c r="K30" s="2002">
        <f>+'11-A. IEC Sub-Annex'!L67</f>
        <v>0</v>
      </c>
      <c r="L30" s="2002">
        <f>+'11-A. IEC Sub-Annex'!M67</f>
        <v>0</v>
      </c>
      <c r="M30" s="178">
        <f>+'11-A. IEC Sub-Annex'!N67</f>
        <v>0</v>
      </c>
      <c r="N30" s="2002">
        <f>+'11-A. IEC Sub-Annex'!O67</f>
        <v>0</v>
      </c>
      <c r="O30" s="178">
        <f>+'11-A. IEC Sub-Annex'!P67</f>
        <v>0</v>
      </c>
      <c r="P30" s="3344">
        <f>+'11-A. IEC Sub-Annex'!Q67</f>
        <v>0</v>
      </c>
      <c r="Q30" s="3382"/>
      <c r="R30" s="159"/>
    </row>
    <row r="31" spans="1:18" x14ac:dyDescent="0.2">
      <c r="A31" s="4082"/>
      <c r="B31" s="2002"/>
      <c r="C31" s="103" t="str">
        <f>+'11-A. IEC Sub-Annex'!D68</f>
        <v>Any other IEC/BCC activities (please specify)</v>
      </c>
      <c r="D31" s="2002" t="str">
        <f>+'11-A. IEC Sub-Annex'!E68</f>
        <v>NDCP</v>
      </c>
      <c r="E31" s="2002" t="str">
        <f>+'11-A. IEC Sub-Annex'!F68</f>
        <v>NLEP</v>
      </c>
      <c r="F31" s="2002">
        <f>+'11-A. IEC Sub-Annex'!G68</f>
        <v>0</v>
      </c>
      <c r="G31" s="2002">
        <f>+'11-A. IEC Sub-Annex'!H68</f>
        <v>0</v>
      </c>
      <c r="H31" s="2002">
        <f>+'11-A. IEC Sub-Annex'!I68</f>
        <v>0</v>
      </c>
      <c r="I31" s="2002">
        <f>+'11-A. IEC Sub-Annex'!J68</f>
        <v>0</v>
      </c>
      <c r="J31" s="2002">
        <f>+'11-A. IEC Sub-Annex'!K68</f>
        <v>0</v>
      </c>
      <c r="K31" s="2002">
        <f>+'11-A. IEC Sub-Annex'!L68</f>
        <v>0</v>
      </c>
      <c r="L31" s="2002">
        <f>+'11-A. IEC Sub-Annex'!M68</f>
        <v>0</v>
      </c>
      <c r="M31" s="178">
        <f>+'11-A. IEC Sub-Annex'!N68</f>
        <v>0</v>
      </c>
      <c r="N31" s="2002">
        <f>+'11-A. IEC Sub-Annex'!O68</f>
        <v>0</v>
      </c>
      <c r="O31" s="178">
        <f>+'11-A. IEC Sub-Annex'!P68</f>
        <v>0</v>
      </c>
      <c r="P31" s="3344">
        <f>+'11-A. IEC Sub-Annex'!Q68</f>
        <v>0</v>
      </c>
      <c r="Q31" s="67"/>
      <c r="R31" s="159"/>
    </row>
    <row r="32" spans="1:18" x14ac:dyDescent="0.2">
      <c r="A32" s="1900">
        <f>'12.Printing Annex'!A7</f>
        <v>12</v>
      </c>
      <c r="B32" s="1900"/>
      <c r="C32" s="1898" t="str">
        <f>'12.Printing Annex'!C7</f>
        <v>Printing</v>
      </c>
      <c r="D32" s="1900"/>
      <c r="E32" s="1900"/>
      <c r="F32" s="1900"/>
      <c r="G32" s="1900"/>
      <c r="H32" s="969"/>
      <c r="I32" s="1900"/>
      <c r="J32" s="969"/>
      <c r="K32" s="1900"/>
      <c r="L32" s="1900"/>
      <c r="M32" s="969"/>
      <c r="N32" s="1886"/>
      <c r="O32" s="1887">
        <f>O33</f>
        <v>0</v>
      </c>
      <c r="P32" s="3353"/>
      <c r="Q32" s="1908"/>
      <c r="R32" s="1909">
        <f>R33</f>
        <v>0</v>
      </c>
    </row>
    <row r="33" spans="1:18" x14ac:dyDescent="0.2">
      <c r="A33" s="2002" t="str">
        <f>'12.Printing Annex'!A27</f>
        <v>12.3.2</v>
      </c>
      <c r="B33" s="2002" t="str">
        <f>+'12-A. Print Sub-Annex'!C83</f>
        <v>G.1.4</v>
      </c>
      <c r="C33" s="103" t="str">
        <f>+'12-A. Print Sub-Annex'!D83</f>
        <v>Printing works</v>
      </c>
      <c r="D33" s="2002" t="str">
        <f>+'12-A. Print Sub-Annex'!E83</f>
        <v>NDCP</v>
      </c>
      <c r="E33" s="2002" t="str">
        <f>+'12-A. Print Sub-Annex'!F83</f>
        <v>NLEP</v>
      </c>
      <c r="F33" s="2002">
        <f>+'12-A. Print Sub-Annex'!G83</f>
        <v>0</v>
      </c>
      <c r="G33" s="2002">
        <f>+'12-A. Print Sub-Annex'!H83</f>
        <v>0</v>
      </c>
      <c r="H33" s="2002">
        <f>+'12-A. Print Sub-Annex'!I83</f>
        <v>0</v>
      </c>
      <c r="I33" s="2002">
        <f>+'12-A. Print Sub-Annex'!J83</f>
        <v>0</v>
      </c>
      <c r="J33" s="2002">
        <f>+'12-A. Print Sub-Annex'!K83</f>
        <v>0</v>
      </c>
      <c r="K33" s="2002">
        <f>+'12-A. Print Sub-Annex'!L83</f>
        <v>0</v>
      </c>
      <c r="L33" s="2002">
        <f>+'12-A. Print Sub-Annex'!M83</f>
        <v>0</v>
      </c>
      <c r="M33" s="178">
        <f>+'12-A. Print Sub-Annex'!N83</f>
        <v>0</v>
      </c>
      <c r="N33" s="2002">
        <f>+'12-A. Print Sub-Annex'!O83</f>
        <v>0</v>
      </c>
      <c r="O33" s="178">
        <f>+'12-A. Print Sub-Annex'!P83</f>
        <v>0</v>
      </c>
      <c r="P33" s="3344">
        <f>+'12-A. Print Sub-Annex'!Q83</f>
        <v>0</v>
      </c>
      <c r="Q33" s="67"/>
      <c r="R33" s="159"/>
    </row>
    <row r="34" spans="1:18" x14ac:dyDescent="0.2">
      <c r="A34" s="1900">
        <f>'15.PPP Annex'!A7</f>
        <v>15</v>
      </c>
      <c r="B34" s="1900"/>
      <c r="C34" s="1898" t="str">
        <f>'15.PPP Annex'!C7</f>
        <v>PPP</v>
      </c>
      <c r="D34" s="1900"/>
      <c r="E34" s="1900"/>
      <c r="F34" s="1900"/>
      <c r="G34" s="1900"/>
      <c r="H34" s="969"/>
      <c r="I34" s="1900"/>
      <c r="J34" s="969"/>
      <c r="K34" s="1900"/>
      <c r="L34" s="1900"/>
      <c r="M34" s="969"/>
      <c r="N34" s="1886"/>
      <c r="O34" s="1887">
        <f>SUM(O35:O36)</f>
        <v>0</v>
      </c>
      <c r="P34" s="3353"/>
      <c r="Q34" s="1908"/>
      <c r="R34" s="1909">
        <f>SUM(R35:R36)</f>
        <v>0</v>
      </c>
    </row>
    <row r="35" spans="1:18" x14ac:dyDescent="0.2">
      <c r="A35" s="2002" t="str">
        <f>+'15.PPP Annex'!A24</f>
        <v>15.3.2.1</v>
      </c>
      <c r="B35" s="2002" t="str">
        <f>+'15.PPP Annex'!B24</f>
        <v>15.4.1/ G.1.5</v>
      </c>
      <c r="C35" s="103" t="str">
        <f>+'15.PPP Annex'!C24</f>
        <v>NGO -  Scheme</v>
      </c>
      <c r="D35" s="2002" t="str">
        <f>+'15.PPP Annex'!D24</f>
        <v>NDCP</v>
      </c>
      <c r="E35" s="2002" t="str">
        <f>+'15.PPP Annex'!E24</f>
        <v>NLEP</v>
      </c>
      <c r="F35" s="2002">
        <f>+'15.PPP Annex'!F24</f>
        <v>0</v>
      </c>
      <c r="G35" s="2002">
        <f>+'15.PPP Annex'!G24</f>
        <v>0</v>
      </c>
      <c r="H35" s="2002">
        <f>+'15.PPP Annex'!H24</f>
        <v>0</v>
      </c>
      <c r="I35" s="2002">
        <f>+'15.PPP Annex'!I24</f>
        <v>0</v>
      </c>
      <c r="J35" s="2002">
        <f>+'15.PPP Annex'!J24</f>
        <v>0</v>
      </c>
      <c r="K35" s="2002">
        <f>+'15.PPP Annex'!K24</f>
        <v>0</v>
      </c>
      <c r="L35" s="2002">
        <f>+'15.PPP Annex'!L24</f>
        <v>0</v>
      </c>
      <c r="M35" s="178">
        <f>+'15.PPP Annex'!M24</f>
        <v>0</v>
      </c>
      <c r="N35" s="2002">
        <f>+'15.PPP Annex'!N24</f>
        <v>0</v>
      </c>
      <c r="O35" s="178">
        <f>+'15.PPP Annex'!O24</f>
        <v>0</v>
      </c>
      <c r="P35" s="3344">
        <f>+'15.PPP Annex'!P24</f>
        <v>0</v>
      </c>
      <c r="Q35" s="67"/>
      <c r="R35" s="159"/>
    </row>
    <row r="36" spans="1:18" x14ac:dyDescent="0.2">
      <c r="A36" s="2002" t="str">
        <f>+'15.PPP Annex'!A25</f>
        <v>15.3.2.2</v>
      </c>
      <c r="B36" s="2002"/>
      <c r="C36" s="103" t="str">
        <f>+'15.PPP Annex'!C25</f>
        <v>Any other (please specify)</v>
      </c>
      <c r="D36" s="2002" t="str">
        <f>+'15.PPP Annex'!D25</f>
        <v>NDCP</v>
      </c>
      <c r="E36" s="2002" t="str">
        <f>+'15.PPP Annex'!E25</f>
        <v>NLEP</v>
      </c>
      <c r="F36" s="2002">
        <f>+'15.PPP Annex'!F25</f>
        <v>0</v>
      </c>
      <c r="G36" s="2002">
        <f>+'15.PPP Annex'!G25</f>
        <v>0</v>
      </c>
      <c r="H36" s="2002">
        <f>+'15.PPP Annex'!H25</f>
        <v>0</v>
      </c>
      <c r="I36" s="2002">
        <f>+'15.PPP Annex'!I25</f>
        <v>0</v>
      </c>
      <c r="J36" s="2002">
        <f>+'15.PPP Annex'!J25</f>
        <v>0</v>
      </c>
      <c r="K36" s="2002">
        <f>+'15.PPP Annex'!K25</f>
        <v>0</v>
      </c>
      <c r="L36" s="2002">
        <f>+'15.PPP Annex'!L25</f>
        <v>0</v>
      </c>
      <c r="M36" s="178">
        <f>+'15.PPP Annex'!M25</f>
        <v>0</v>
      </c>
      <c r="N36" s="2002">
        <f>+'15.PPP Annex'!N25</f>
        <v>0</v>
      </c>
      <c r="O36" s="178">
        <f>+'15.PPP Annex'!O25</f>
        <v>0</v>
      </c>
      <c r="P36" s="3344">
        <f>+'15.PPP Annex'!P25</f>
        <v>0</v>
      </c>
      <c r="Q36" s="67"/>
      <c r="R36" s="159"/>
    </row>
    <row r="37" spans="1:18" x14ac:dyDescent="0.2">
      <c r="A37" s="1901">
        <f>'16.PM Annex'!A7</f>
        <v>16</v>
      </c>
      <c r="B37" s="1901"/>
      <c r="C37" s="1883" t="str">
        <f>'16.PM Annex'!C7</f>
        <v>Programme Management</v>
      </c>
      <c r="D37" s="1901"/>
      <c r="E37" s="1901"/>
      <c r="F37" s="1901"/>
      <c r="G37" s="1901"/>
      <c r="H37" s="969"/>
      <c r="I37" s="1901"/>
      <c r="J37" s="969"/>
      <c r="K37" s="1901"/>
      <c r="L37" s="1901"/>
      <c r="M37" s="969"/>
      <c r="N37" s="1886"/>
      <c r="O37" s="1887">
        <f>SUM(O38:O48)</f>
        <v>0</v>
      </c>
      <c r="P37" s="3353"/>
      <c r="Q37" s="1908"/>
      <c r="R37" s="1909">
        <f>SUM(R38:R48)</f>
        <v>0</v>
      </c>
    </row>
    <row r="38" spans="1:18" x14ac:dyDescent="0.2">
      <c r="A38" s="2002" t="str">
        <f>'16-A. PM sub Annex'!B41</f>
        <v>16.1.2.1.20</v>
      </c>
      <c r="B38" s="2002" t="str">
        <f>'16-A. PM sub Annex'!D41</f>
        <v xml:space="preserve">G.4.2 </v>
      </c>
      <c r="C38" s="103" t="str">
        <f>'16-A. PM sub Annex'!E41</f>
        <v xml:space="preserve">NLEP Review Meetings </v>
      </c>
      <c r="D38" s="2002" t="str">
        <f>'16-A. PM sub Annex'!F41</f>
        <v>NDCP</v>
      </c>
      <c r="E38" s="2002" t="str">
        <f>'16-A. PM sub Annex'!G41</f>
        <v>HRH&amp;HPIP/NLEP</v>
      </c>
      <c r="F38" s="2002">
        <f>'16-A. PM sub Annex'!H41</f>
        <v>0</v>
      </c>
      <c r="G38" s="2002">
        <f>'16-A. PM sub Annex'!I41</f>
        <v>0</v>
      </c>
      <c r="H38" s="2002">
        <f>'16-A. PM sub Annex'!J41</f>
        <v>0</v>
      </c>
      <c r="I38" s="2002">
        <f>'16-A. PM sub Annex'!K41</f>
        <v>0</v>
      </c>
      <c r="J38" s="2002">
        <f>'16-A. PM sub Annex'!L41</f>
        <v>0</v>
      </c>
      <c r="K38" s="2002">
        <f>'16-A. PM sub Annex'!M41</f>
        <v>0</v>
      </c>
      <c r="L38" s="2002">
        <f>'16-A. PM sub Annex'!N41</f>
        <v>0</v>
      </c>
      <c r="M38" s="178">
        <f>'16-A. PM sub Annex'!O41</f>
        <v>0</v>
      </c>
      <c r="N38" s="2002">
        <f>'16-A. PM sub Annex'!P41</f>
        <v>0</v>
      </c>
      <c r="O38" s="178">
        <f>'16-A. PM sub Annex'!Q41</f>
        <v>0</v>
      </c>
      <c r="P38" s="3344">
        <f>'16-A. PM sub Annex'!R41</f>
        <v>0</v>
      </c>
      <c r="Q38" s="3385"/>
      <c r="R38" s="675"/>
    </row>
    <row r="39" spans="1:18" x14ac:dyDescent="0.2">
      <c r="A39" s="2002" t="str">
        <f>'16-A. PM sub Annex'!B80</f>
        <v>16.1.3.1.11</v>
      </c>
      <c r="B39" s="2002" t="str">
        <f>'16-A. PM sub Annex'!D80</f>
        <v>G.4.1.a</v>
      </c>
      <c r="C39" s="103" t="str">
        <f>'16-A. PM sub Annex'!E80</f>
        <v>Travel expenses - Contractual Staff at State level</v>
      </c>
      <c r="D39" s="2002" t="str">
        <f>'16-A. PM sub Annex'!F80</f>
        <v>NDCP</v>
      </c>
      <c r="E39" s="2002" t="str">
        <f>'16-A. PM sub Annex'!G80</f>
        <v>HRH&amp;HPIP/NLEP</v>
      </c>
      <c r="F39" s="2002">
        <f>'16-A. PM sub Annex'!H80</f>
        <v>0</v>
      </c>
      <c r="G39" s="2002">
        <f>'16-A. PM sub Annex'!I80</f>
        <v>0</v>
      </c>
      <c r="H39" s="2002">
        <f>'16-A. PM sub Annex'!J80</f>
        <v>0</v>
      </c>
      <c r="I39" s="2002">
        <f>'16-A. PM sub Annex'!K80</f>
        <v>0</v>
      </c>
      <c r="J39" s="2002">
        <f>'16-A. PM sub Annex'!L80</f>
        <v>0</v>
      </c>
      <c r="K39" s="2002">
        <f>'16-A. PM sub Annex'!M80</f>
        <v>0</v>
      </c>
      <c r="L39" s="2002">
        <f>'16-A. PM sub Annex'!N80</f>
        <v>0</v>
      </c>
      <c r="M39" s="178">
        <f>'16-A. PM sub Annex'!O80</f>
        <v>0</v>
      </c>
      <c r="N39" s="2002">
        <f>'16-A. PM sub Annex'!P80</f>
        <v>0</v>
      </c>
      <c r="O39" s="178">
        <f>'16-A. PM sub Annex'!Q80</f>
        <v>0</v>
      </c>
      <c r="P39" s="3344">
        <f>'16-A. PM sub Annex'!R80</f>
        <v>0</v>
      </c>
      <c r="Q39" s="3385"/>
      <c r="R39" s="675"/>
    </row>
    <row r="40" spans="1:18" x14ac:dyDescent="0.2">
      <c r="A40" s="2002" t="str">
        <f>'16-A. PM sub Annex'!B81</f>
        <v>16.1.3.1.12</v>
      </c>
      <c r="B40" s="2002" t="str">
        <f>'16-A. PM sub Annex'!D81</f>
        <v>G.4.5.a</v>
      </c>
      <c r="C40" s="103" t="str">
        <f>'16-A. PM sub Annex'!E81</f>
        <v>Mobility Support: State Cell</v>
      </c>
      <c r="D40" s="2002" t="str">
        <f>'16-A. PM sub Annex'!F81</f>
        <v>NDCP</v>
      </c>
      <c r="E40" s="2002" t="str">
        <f>'16-A. PM sub Annex'!G81</f>
        <v>HRH&amp;HPIP/NLEP</v>
      </c>
      <c r="F40" s="2002">
        <f>'16-A. PM sub Annex'!H81</f>
        <v>0</v>
      </c>
      <c r="G40" s="2002">
        <f>'16-A. PM sub Annex'!I81</f>
        <v>0</v>
      </c>
      <c r="H40" s="2002">
        <f>'16-A. PM sub Annex'!J81</f>
        <v>0</v>
      </c>
      <c r="I40" s="2002">
        <f>'16-A. PM sub Annex'!K81</f>
        <v>0</v>
      </c>
      <c r="J40" s="2002">
        <f>'16-A. PM sub Annex'!L81</f>
        <v>0</v>
      </c>
      <c r="K40" s="2002">
        <f>'16-A. PM sub Annex'!M81</f>
        <v>0</v>
      </c>
      <c r="L40" s="2002">
        <f>'16-A. PM sub Annex'!N81</f>
        <v>0</v>
      </c>
      <c r="M40" s="178">
        <f>'16-A. PM sub Annex'!O81</f>
        <v>0</v>
      </c>
      <c r="N40" s="2002">
        <f>'16-A. PM sub Annex'!P81</f>
        <v>0</v>
      </c>
      <c r="O40" s="178">
        <f>'16-A. PM sub Annex'!Q81</f>
        <v>0</v>
      </c>
      <c r="P40" s="3344">
        <f>'16-A. PM sub Annex'!R81</f>
        <v>0</v>
      </c>
      <c r="Q40" s="3385"/>
      <c r="R40" s="675"/>
    </row>
    <row r="41" spans="1:18" x14ac:dyDescent="0.2">
      <c r="A41" s="2002" t="str">
        <f>'16-A. PM sub Annex'!B104</f>
        <v>16.1.3.3.10</v>
      </c>
      <c r="B41" s="2002" t="str">
        <f>'16-A. PM sub Annex'!D104</f>
        <v>G.4.1.b</v>
      </c>
      <c r="C41" s="103" t="str">
        <f>'16-A. PM sub Annex'!E104</f>
        <v>Travel expenses - Contractual Staff at District level</v>
      </c>
      <c r="D41" s="2002" t="str">
        <f>'16-A. PM sub Annex'!F104</f>
        <v>NDCP</v>
      </c>
      <c r="E41" s="2002" t="str">
        <f>'16-A. PM sub Annex'!G104</f>
        <v>HRH&amp;HPIP/NLEP</v>
      </c>
      <c r="F41" s="2002">
        <f>'16-A. PM sub Annex'!H104</f>
        <v>0</v>
      </c>
      <c r="G41" s="2002">
        <f>'16-A. PM sub Annex'!I104</f>
        <v>0</v>
      </c>
      <c r="H41" s="2002">
        <f>'16-A. PM sub Annex'!J104</f>
        <v>0</v>
      </c>
      <c r="I41" s="2002">
        <f>'16-A. PM sub Annex'!K104</f>
        <v>0</v>
      </c>
      <c r="J41" s="2002">
        <f>'16-A. PM sub Annex'!L104</f>
        <v>0</v>
      </c>
      <c r="K41" s="2002">
        <f>'16-A. PM sub Annex'!M104</f>
        <v>0</v>
      </c>
      <c r="L41" s="2002">
        <f>'16-A. PM sub Annex'!N104</f>
        <v>0</v>
      </c>
      <c r="M41" s="178">
        <f>'16-A. PM sub Annex'!O104</f>
        <v>0</v>
      </c>
      <c r="N41" s="2002">
        <f>'16-A. PM sub Annex'!P104</f>
        <v>0</v>
      </c>
      <c r="O41" s="178">
        <f>'16-A. PM sub Annex'!Q104</f>
        <v>0</v>
      </c>
      <c r="P41" s="3344">
        <f>'16-A. PM sub Annex'!R104</f>
        <v>0</v>
      </c>
      <c r="Q41" s="3385"/>
      <c r="R41" s="675"/>
    </row>
    <row r="42" spans="1:18" x14ac:dyDescent="0.2">
      <c r="A42" s="2002" t="str">
        <f>'16-A. PM sub Annex'!B105</f>
        <v>16.1.3.3.11</v>
      </c>
      <c r="B42" s="2002" t="str">
        <f>'16-A. PM sub Annex'!D105</f>
        <v>G.4.5.b</v>
      </c>
      <c r="C42" s="103" t="str">
        <f>'16-A. PM sub Annex'!E105</f>
        <v>Mobility Support: District Cell</v>
      </c>
      <c r="D42" s="2002" t="str">
        <f>'16-A. PM sub Annex'!F105</f>
        <v>NDCP</v>
      </c>
      <c r="E42" s="2002" t="str">
        <f>'16-A. PM sub Annex'!G105</f>
        <v>HRH&amp;HPIP/NLEP</v>
      </c>
      <c r="F42" s="2002">
        <f>'16-A. PM sub Annex'!H105</f>
        <v>0</v>
      </c>
      <c r="G42" s="2002">
        <f>'16-A. PM sub Annex'!I105</f>
        <v>0</v>
      </c>
      <c r="H42" s="2002">
        <f>'16-A. PM sub Annex'!J105</f>
        <v>0</v>
      </c>
      <c r="I42" s="2002">
        <f>'16-A. PM sub Annex'!K105</f>
        <v>0</v>
      </c>
      <c r="J42" s="2002">
        <f>'16-A. PM sub Annex'!L105</f>
        <v>0</v>
      </c>
      <c r="K42" s="2002">
        <f>'16-A. PM sub Annex'!M105</f>
        <v>0</v>
      </c>
      <c r="L42" s="2002">
        <f>'16-A. PM sub Annex'!N105</f>
        <v>0</v>
      </c>
      <c r="M42" s="178">
        <f>'16-A. PM sub Annex'!O105</f>
        <v>0</v>
      </c>
      <c r="N42" s="2002">
        <f>'16-A. PM sub Annex'!P105</f>
        <v>0</v>
      </c>
      <c r="O42" s="178">
        <f>'16-A. PM sub Annex'!Q105</f>
        <v>0</v>
      </c>
      <c r="P42" s="3344">
        <f>'16-A. PM sub Annex'!R105</f>
        <v>0</v>
      </c>
      <c r="Q42" s="3385"/>
      <c r="R42" s="675"/>
    </row>
    <row r="43" spans="1:18" x14ac:dyDescent="0.2">
      <c r="A43" s="2002" t="str">
        <f>'16-A. PM sub Annex'!B118</f>
        <v>16.1.3.5.1</v>
      </c>
      <c r="B43" s="2002" t="str">
        <f>'16-A. PM sub Annex'!D118</f>
        <v>G.5</v>
      </c>
      <c r="C43" s="103" t="str">
        <f>'16-A. PM sub Annex'!E118</f>
        <v>Others: travel expenses  for regular staff.</v>
      </c>
      <c r="D43" s="2002" t="str">
        <f>'16-A. PM sub Annex'!F118</f>
        <v>NDCP</v>
      </c>
      <c r="E43" s="2002" t="str">
        <f>'16-A. PM sub Annex'!G118</f>
        <v>HRH&amp;HPIP/NLEP</v>
      </c>
      <c r="F43" s="2002">
        <f>'16-A. PM sub Annex'!H118</f>
        <v>0</v>
      </c>
      <c r="G43" s="2002">
        <f>'16-A. PM sub Annex'!I118</f>
        <v>0</v>
      </c>
      <c r="H43" s="2002">
        <f>'16-A. PM sub Annex'!J118</f>
        <v>0</v>
      </c>
      <c r="I43" s="2002">
        <f>'16-A. PM sub Annex'!K118</f>
        <v>0</v>
      </c>
      <c r="J43" s="2002">
        <f>'16-A. PM sub Annex'!L118</f>
        <v>0</v>
      </c>
      <c r="K43" s="2002">
        <f>'16-A. PM sub Annex'!M118</f>
        <v>0</v>
      </c>
      <c r="L43" s="2002">
        <f>'16-A. PM sub Annex'!N118</f>
        <v>0</v>
      </c>
      <c r="M43" s="178">
        <f>'16-A. PM sub Annex'!O118</f>
        <v>0</v>
      </c>
      <c r="N43" s="2002">
        <f>'16-A. PM sub Annex'!P118</f>
        <v>0</v>
      </c>
      <c r="O43" s="178">
        <f>'16-A. PM sub Annex'!Q118</f>
        <v>0</v>
      </c>
      <c r="P43" s="3344">
        <f>'16-A. PM sub Annex'!R118</f>
        <v>0</v>
      </c>
      <c r="Q43" s="3385"/>
      <c r="R43" s="675"/>
    </row>
    <row r="44" spans="1:18" x14ac:dyDescent="0.2">
      <c r="A44" s="2002" t="str">
        <f>'16-A. PM sub Annex'!B128</f>
        <v>16.1.4.1.8</v>
      </c>
      <c r="B44" s="2002" t="str">
        <f>'16-A. PM sub Annex'!D128</f>
        <v>G.4.3.a</v>
      </c>
      <c r="C44" s="103" t="str">
        <f>'16-A. PM sub Annex'!E128</f>
        <v>Office operation &amp; Maintenance - State Cell</v>
      </c>
      <c r="D44" s="2002" t="str">
        <f>'16-A. PM sub Annex'!F128</f>
        <v>NDCP</v>
      </c>
      <c r="E44" s="2002" t="str">
        <f>'16-A. PM sub Annex'!G128</f>
        <v>HRH&amp;HPIP/NLEP</v>
      </c>
      <c r="F44" s="2002">
        <f>'16-A. PM sub Annex'!H128</f>
        <v>0</v>
      </c>
      <c r="G44" s="2002">
        <f>'16-A. PM sub Annex'!I128</f>
        <v>0</v>
      </c>
      <c r="H44" s="2002">
        <f>'16-A. PM sub Annex'!J128</f>
        <v>0</v>
      </c>
      <c r="I44" s="2002">
        <f>'16-A. PM sub Annex'!K128</f>
        <v>0</v>
      </c>
      <c r="J44" s="2002">
        <f>'16-A. PM sub Annex'!L128</f>
        <v>0</v>
      </c>
      <c r="K44" s="2002">
        <f>'16-A. PM sub Annex'!M128</f>
        <v>0</v>
      </c>
      <c r="L44" s="2002">
        <f>'16-A. PM sub Annex'!N128</f>
        <v>0</v>
      </c>
      <c r="M44" s="178">
        <f>'16-A. PM sub Annex'!O128</f>
        <v>0</v>
      </c>
      <c r="N44" s="2002">
        <f>'16-A. PM sub Annex'!P128</f>
        <v>0</v>
      </c>
      <c r="O44" s="178">
        <f>'16-A. PM sub Annex'!Q128</f>
        <v>0</v>
      </c>
      <c r="P44" s="3344">
        <f>'16-A. PM sub Annex'!R128</f>
        <v>0</v>
      </c>
      <c r="Q44" s="3385"/>
      <c r="R44" s="675"/>
    </row>
    <row r="45" spans="1:18" x14ac:dyDescent="0.2">
      <c r="A45" s="2002" t="str">
        <f>'16-A. PM sub Annex'!B129</f>
        <v>16.1.4.1.9</v>
      </c>
      <c r="B45" s="2002" t="str">
        <f>'16-A. PM sub Annex'!D129</f>
        <v>G.4.4.a</v>
      </c>
      <c r="C45" s="103" t="str">
        <f>'16-A. PM sub Annex'!E129</f>
        <v>State Cell - Consumables</v>
      </c>
      <c r="D45" s="2002" t="str">
        <f>'16-A. PM sub Annex'!F129</f>
        <v>NDCP</v>
      </c>
      <c r="E45" s="2002" t="str">
        <f>'16-A. PM sub Annex'!G129</f>
        <v>HRH&amp;HPIP/NLEP</v>
      </c>
      <c r="F45" s="2002">
        <f>'16-A. PM sub Annex'!H129</f>
        <v>0</v>
      </c>
      <c r="G45" s="2002">
        <f>'16-A. PM sub Annex'!I129</f>
        <v>0</v>
      </c>
      <c r="H45" s="2002">
        <f>'16-A. PM sub Annex'!J129</f>
        <v>0</v>
      </c>
      <c r="I45" s="2002">
        <f>'16-A. PM sub Annex'!K129</f>
        <v>0</v>
      </c>
      <c r="J45" s="2002">
        <f>'16-A. PM sub Annex'!L129</f>
        <v>0</v>
      </c>
      <c r="K45" s="2002">
        <f>'16-A. PM sub Annex'!M129</f>
        <v>0</v>
      </c>
      <c r="L45" s="2002">
        <f>'16-A. PM sub Annex'!N129</f>
        <v>0</v>
      </c>
      <c r="M45" s="178">
        <f>'16-A. PM sub Annex'!O129</f>
        <v>0</v>
      </c>
      <c r="N45" s="2002">
        <f>'16-A. PM sub Annex'!P129</f>
        <v>0</v>
      </c>
      <c r="O45" s="178">
        <f>'16-A. PM sub Annex'!Q129</f>
        <v>0</v>
      </c>
      <c r="P45" s="3344">
        <f>'16-A. PM sub Annex'!R129</f>
        <v>0</v>
      </c>
      <c r="Q45" s="3385"/>
      <c r="R45" s="675"/>
    </row>
    <row r="46" spans="1:18" x14ac:dyDescent="0.2">
      <c r="A46" s="2002" t="str">
        <f>'16-A. PM sub Annex'!B140</f>
        <v>16.1.4.2.4</v>
      </c>
      <c r="B46" s="2002" t="str">
        <f>'16-A. PM sub Annex'!D140</f>
        <v>G.4.3.b</v>
      </c>
      <c r="C46" s="103" t="str">
        <f>'16-A. PM sub Annex'!E140</f>
        <v>Office operation &amp; Maintenance - District Cell</v>
      </c>
      <c r="D46" s="2002" t="str">
        <f>'16-A. PM sub Annex'!F140</f>
        <v>NDCP</v>
      </c>
      <c r="E46" s="2002" t="str">
        <f>'16-A. PM sub Annex'!G140</f>
        <v>HRH&amp;HPIP/NLEP</v>
      </c>
      <c r="F46" s="2002">
        <f>'16-A. PM sub Annex'!H140</f>
        <v>0</v>
      </c>
      <c r="G46" s="2002">
        <f>'16-A. PM sub Annex'!I140</f>
        <v>0</v>
      </c>
      <c r="H46" s="2002">
        <f>'16-A. PM sub Annex'!J140</f>
        <v>0</v>
      </c>
      <c r="I46" s="2002">
        <f>'16-A. PM sub Annex'!K140</f>
        <v>0</v>
      </c>
      <c r="J46" s="2002">
        <f>'16-A. PM sub Annex'!L140</f>
        <v>0</v>
      </c>
      <c r="K46" s="2002">
        <f>'16-A. PM sub Annex'!M140</f>
        <v>0</v>
      </c>
      <c r="L46" s="2002">
        <f>'16-A. PM sub Annex'!N140</f>
        <v>0</v>
      </c>
      <c r="M46" s="178">
        <f>'16-A. PM sub Annex'!O140</f>
        <v>0</v>
      </c>
      <c r="N46" s="2002">
        <f>'16-A. PM sub Annex'!P140</f>
        <v>0</v>
      </c>
      <c r="O46" s="178">
        <f>'16-A. PM sub Annex'!Q140</f>
        <v>0</v>
      </c>
      <c r="P46" s="3344">
        <f>'16-A. PM sub Annex'!R140</f>
        <v>0</v>
      </c>
      <c r="Q46" s="3385"/>
      <c r="R46" s="675"/>
    </row>
    <row r="47" spans="1:18" x14ac:dyDescent="0.2">
      <c r="A47" s="2002" t="str">
        <f>'16-A. PM sub Annex'!B141</f>
        <v>16.1.4.2.5</v>
      </c>
      <c r="B47" s="2002" t="str">
        <f>'16-A. PM sub Annex'!D141</f>
        <v>G.4.4.b</v>
      </c>
      <c r="C47" s="103" t="str">
        <f>'16-A. PM sub Annex'!E141</f>
        <v>District Cell - Consumables</v>
      </c>
      <c r="D47" s="2002" t="str">
        <f>'16-A. PM sub Annex'!F141</f>
        <v>NDCP</v>
      </c>
      <c r="E47" s="2002" t="str">
        <f>'16-A. PM sub Annex'!G141</f>
        <v>HRH&amp;HPIP/NLEP</v>
      </c>
      <c r="F47" s="2002">
        <f>'16-A. PM sub Annex'!H141</f>
        <v>0</v>
      </c>
      <c r="G47" s="2002">
        <f>'16-A. PM sub Annex'!I141</f>
        <v>0</v>
      </c>
      <c r="H47" s="2002">
        <f>'16-A. PM sub Annex'!J141</f>
        <v>0</v>
      </c>
      <c r="I47" s="2002">
        <f>'16-A. PM sub Annex'!K141</f>
        <v>0</v>
      </c>
      <c r="J47" s="2002">
        <f>'16-A. PM sub Annex'!L141</f>
        <v>0</v>
      </c>
      <c r="K47" s="2002">
        <f>'16-A. PM sub Annex'!M141</f>
        <v>0</v>
      </c>
      <c r="L47" s="2002">
        <f>'16-A. PM sub Annex'!N141</f>
        <v>0</v>
      </c>
      <c r="M47" s="178">
        <f>'16-A. PM sub Annex'!O141</f>
        <v>0</v>
      </c>
      <c r="N47" s="2002">
        <f>'16-A. PM sub Annex'!P141</f>
        <v>0</v>
      </c>
      <c r="O47" s="178">
        <f>'16-A. PM sub Annex'!Q141</f>
        <v>0</v>
      </c>
      <c r="P47" s="3344">
        <f>'16-A. PM sub Annex'!R141</f>
        <v>0</v>
      </c>
      <c r="Q47" s="3385"/>
      <c r="R47" s="675"/>
    </row>
    <row r="48" spans="1:18" x14ac:dyDescent="0.2">
      <c r="A48" s="2002" t="str">
        <f>'16-A. PM sub Annex'!B156</f>
        <v>16.1.5.2.3</v>
      </c>
      <c r="B48" s="2002" t="str">
        <f>'16-A. PM sub Annex'!D156</f>
        <v>G.4.3.c</v>
      </c>
      <c r="C48" s="103" t="str">
        <f>'16-A. PM sub Annex'!E156</f>
        <v>Office equipment maintenance State</v>
      </c>
      <c r="D48" s="2002" t="str">
        <f>'16-A. PM sub Annex'!F156</f>
        <v>NDCP</v>
      </c>
      <c r="E48" s="2002" t="str">
        <f>'16-A. PM sub Annex'!G156</f>
        <v>HRH&amp;HPIP/NLEP</v>
      </c>
      <c r="F48" s="2002">
        <f>'16-A. PM sub Annex'!H156</f>
        <v>0</v>
      </c>
      <c r="G48" s="2002">
        <f>'16-A. PM sub Annex'!I156</f>
        <v>0</v>
      </c>
      <c r="H48" s="2002">
        <f>'16-A. PM sub Annex'!J156</f>
        <v>0</v>
      </c>
      <c r="I48" s="2002">
        <f>'16-A. PM sub Annex'!K156</f>
        <v>0</v>
      </c>
      <c r="J48" s="2002">
        <f>'16-A. PM sub Annex'!L156</f>
        <v>0</v>
      </c>
      <c r="K48" s="2002">
        <f>'16-A. PM sub Annex'!M156</f>
        <v>0</v>
      </c>
      <c r="L48" s="2002">
        <f>'16-A. PM sub Annex'!N156</f>
        <v>0</v>
      </c>
      <c r="M48" s="178">
        <f>'16-A. PM sub Annex'!O156</f>
        <v>0</v>
      </c>
      <c r="N48" s="2002">
        <f>'16-A. PM sub Annex'!P156</f>
        <v>0</v>
      </c>
      <c r="O48" s="178">
        <f>'16-A. PM sub Annex'!Q156</f>
        <v>0</v>
      </c>
      <c r="P48" s="3344">
        <f>'16-A. PM sub Annex'!R156</f>
        <v>0</v>
      </c>
      <c r="Q48" s="3385"/>
      <c r="R48" s="675"/>
    </row>
    <row r="49" spans="1:18" x14ac:dyDescent="0.2">
      <c r="Q49" s="2042"/>
      <c r="R49" s="2046"/>
    </row>
    <row r="50" spans="1:18" x14ac:dyDescent="0.2">
      <c r="Q50" s="2042"/>
      <c r="R50" s="2046"/>
    </row>
    <row r="51" spans="1:18" s="1963" customFormat="1" x14ac:dyDescent="0.2">
      <c r="A51" s="4074" t="s">
        <v>5688</v>
      </c>
      <c r="B51" s="4074"/>
      <c r="C51" s="4074"/>
      <c r="D51" s="724"/>
      <c r="E51" s="724"/>
      <c r="F51" s="724"/>
      <c r="G51" s="724"/>
      <c r="H51" s="528"/>
      <c r="I51" s="724"/>
      <c r="J51" s="528"/>
      <c r="K51" s="2032"/>
      <c r="L51" s="2032"/>
      <c r="M51" s="528"/>
      <c r="N51" s="2022"/>
      <c r="O51" s="1981"/>
      <c r="P51" s="2120"/>
      <c r="Q51" s="1989"/>
      <c r="R51" s="1990"/>
    </row>
    <row r="52" spans="1:18" s="1963" customFormat="1" x14ac:dyDescent="0.2">
      <c r="A52" s="1982" t="str">
        <f>'NUHM-Non Metro Abst'!A13</f>
        <v>U.1.1.1.3</v>
      </c>
      <c r="B52" s="1982">
        <f>'NUHM-Non Metro Abst'!B13</f>
        <v>0</v>
      </c>
      <c r="C52" s="1982" t="str">
        <f>'NUHM-Non Metro Abst'!C13</f>
        <v>Support for implementation of NLEP</v>
      </c>
      <c r="D52" s="2002"/>
      <c r="E52" s="1982" t="str">
        <f>'NUHM-Non Metro Abst'!D13</f>
        <v>NLEP</v>
      </c>
      <c r="F52" s="1982">
        <f>'NUHM-Non Metro Abst'!E13</f>
        <v>0</v>
      </c>
      <c r="G52" s="1982">
        <f>'NUHM-Non Metro Abst'!F13</f>
        <v>0</v>
      </c>
      <c r="H52" s="1982">
        <f>'NUHM-Non Metro Abst'!G13</f>
        <v>0</v>
      </c>
      <c r="I52" s="1982">
        <f>'NUHM-Non Metro Abst'!H13</f>
        <v>0</v>
      </c>
      <c r="J52" s="1982">
        <f>'NUHM-Non Metro Abst'!I13</f>
        <v>0</v>
      </c>
      <c r="K52" s="1982">
        <f>'NUHM-Non Metro Abst'!J13</f>
        <v>0</v>
      </c>
      <c r="L52" s="1982">
        <f>'NUHM-Non Metro Abst'!K13</f>
        <v>0</v>
      </c>
      <c r="M52" s="1982">
        <f>'NUHM-Non Metro Abst'!L13</f>
        <v>0</v>
      </c>
      <c r="N52" s="1982">
        <f>'NUHM-Non Metro Abst'!M13</f>
        <v>0</v>
      </c>
      <c r="O52" s="1982">
        <f>'NUHM-Non Metro Abst'!N13</f>
        <v>0</v>
      </c>
      <c r="P52" s="3344">
        <f>'NUHM-Non Metro Abst'!O13</f>
        <v>0</v>
      </c>
      <c r="Q52" s="68"/>
      <c r="R52" s="1991"/>
    </row>
    <row r="53" spans="1:18" s="1963" customFormat="1" x14ac:dyDescent="0.2">
      <c r="A53" s="4074" t="s">
        <v>5687</v>
      </c>
      <c r="B53" s="4074"/>
      <c r="C53" s="4074"/>
      <c r="D53" s="724"/>
      <c r="E53" s="724"/>
      <c r="F53" s="724"/>
      <c r="G53" s="724"/>
      <c r="H53" s="724"/>
      <c r="I53" s="724"/>
      <c r="J53" s="724"/>
      <c r="K53" s="724"/>
      <c r="L53" s="724"/>
      <c r="M53" s="724"/>
      <c r="N53" s="724"/>
      <c r="O53" s="724"/>
      <c r="P53" s="724"/>
      <c r="Q53" s="1989"/>
      <c r="R53" s="1990"/>
    </row>
    <row r="54" spans="1:18" s="1963" customFormat="1" x14ac:dyDescent="0.2">
      <c r="A54" s="1982" t="str">
        <f>'NUHM Metro Abst'!A13</f>
        <v>U.1.1.1.3</v>
      </c>
      <c r="B54" s="1982">
        <f>'NUHM Metro Abst'!B13</f>
        <v>0</v>
      </c>
      <c r="C54" s="1982" t="str">
        <f>'NUHM Metro Abst'!C13</f>
        <v>Support for implementation of NLEP</v>
      </c>
      <c r="D54" s="2002"/>
      <c r="E54" s="1982" t="str">
        <f>'NUHM Metro Abst'!D13</f>
        <v>NLEP</v>
      </c>
      <c r="F54" s="1982">
        <f>'NUHM Metro Abst'!E13</f>
        <v>0</v>
      </c>
      <c r="G54" s="1982">
        <f>'NUHM Metro Abst'!F13</f>
        <v>0</v>
      </c>
      <c r="H54" s="1982">
        <f>'NUHM Metro Abst'!G13</f>
        <v>0</v>
      </c>
      <c r="I54" s="1982">
        <f>'NUHM Metro Abst'!H13</f>
        <v>0</v>
      </c>
      <c r="J54" s="1982">
        <f>'NUHM Metro Abst'!I13</f>
        <v>0</v>
      </c>
      <c r="K54" s="1982">
        <f>'NUHM Metro Abst'!J13</f>
        <v>0</v>
      </c>
      <c r="L54" s="1982">
        <f>'NUHM Metro Abst'!K13</f>
        <v>0</v>
      </c>
      <c r="M54" s="1982">
        <f>'NUHM Metro Abst'!L13</f>
        <v>0</v>
      </c>
      <c r="N54" s="1982">
        <f>'NUHM Metro Abst'!M13</f>
        <v>0</v>
      </c>
      <c r="O54" s="1982">
        <f>'NUHM Metro Abst'!N13</f>
        <v>0</v>
      </c>
      <c r="P54" s="3344">
        <f>'NUHM Metro Abst'!O13</f>
        <v>0</v>
      </c>
      <c r="Q54" s="68"/>
      <c r="R54" s="68"/>
    </row>
  </sheetData>
  <sheetProtection formatCells="0" formatColumns="0" formatRows="0" autoFilter="0"/>
  <autoFilter ref="A5:M48"/>
  <mergeCells count="15">
    <mergeCell ref="Q4:R4"/>
    <mergeCell ref="E4:E5"/>
    <mergeCell ref="F4:J4"/>
    <mergeCell ref="K4:P4"/>
    <mergeCell ref="D4:D5"/>
    <mergeCell ref="A53:C53"/>
    <mergeCell ref="A1:C1"/>
    <mergeCell ref="A4:A5"/>
    <mergeCell ref="B4:B5"/>
    <mergeCell ref="C4:C5"/>
    <mergeCell ref="A14:A16"/>
    <mergeCell ref="A18:A21"/>
    <mergeCell ref="A22:A23"/>
    <mergeCell ref="A30:A31"/>
    <mergeCell ref="A51:C51"/>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5" tint="0.79998168889431442"/>
  </sheetPr>
  <dimension ref="A1:R69"/>
  <sheetViews>
    <sheetView zoomScale="70" zoomScaleNormal="70" workbookViewId="0">
      <pane xSplit="3" ySplit="5" topLeftCell="D57" activePane="bottomRight" state="frozen"/>
      <selection activeCell="R108" sqref="R108"/>
      <selection pane="topRight" activeCell="R108" sqref="R108"/>
      <selection pane="bottomLeft" activeCell="R108" sqref="R108"/>
      <selection pane="bottomRight" activeCell="Q69" sqref="Q69:R69"/>
    </sheetView>
  </sheetViews>
  <sheetFormatPr defaultColWidth="9.140625" defaultRowHeight="15" x14ac:dyDescent="0.2"/>
  <cols>
    <col min="1" max="1" width="10.85546875" style="881" bestFit="1" customWidth="1"/>
    <col min="2" max="2" width="16" style="881" hidden="1" customWidth="1"/>
    <col min="3" max="3" width="46.85546875" style="881" bestFit="1" customWidth="1"/>
    <col min="4" max="4" width="5.5703125" style="835" hidden="1" customWidth="1"/>
    <col min="5" max="5" width="16.42578125" style="835" hidden="1" customWidth="1"/>
    <col min="6" max="6" width="20.7109375" style="835" hidden="1" customWidth="1"/>
    <col min="7" max="7" width="16.5703125" style="835" hidden="1" customWidth="1"/>
    <col min="8" max="8" width="16" style="956" hidden="1" customWidth="1"/>
    <col min="9" max="9" width="8.140625" style="835" hidden="1" customWidth="1"/>
    <col min="10" max="10" width="12.140625" style="956" hidden="1" customWidth="1"/>
    <col min="11" max="11" width="11.5703125" style="881" hidden="1" customWidth="1"/>
    <col min="12" max="12" width="12" style="881" customWidth="1"/>
    <col min="13" max="13" width="13" style="956" hidden="1" customWidth="1"/>
    <col min="14" max="14" width="9.140625" style="835"/>
    <col min="15" max="15" width="15.28515625" style="835" customWidth="1"/>
    <col min="16" max="16" width="38.28515625" style="835" hidden="1" customWidth="1"/>
    <col min="17" max="17" width="39.85546875" style="835" customWidth="1"/>
    <col min="18" max="18" width="13" style="956" customWidth="1"/>
    <col min="19" max="16384" width="9.140625" style="835"/>
  </cols>
  <sheetData>
    <row r="1" spans="1:18" x14ac:dyDescent="0.2">
      <c r="A1" s="4083" t="s">
        <v>4785</v>
      </c>
      <c r="B1" s="4079"/>
      <c r="C1" s="4079"/>
      <c r="D1" s="1857"/>
      <c r="E1" s="1857"/>
      <c r="F1" s="98" t="s">
        <v>4685</v>
      </c>
      <c r="G1" s="1858"/>
      <c r="H1" s="1858"/>
      <c r="I1" s="1858"/>
      <c r="J1" s="1858"/>
      <c r="K1" s="2047"/>
      <c r="L1" s="2047"/>
      <c r="M1" s="1858"/>
      <c r="R1" s="835"/>
    </row>
    <row r="2" spans="1:18" x14ac:dyDescent="0.25">
      <c r="A2" s="1859" t="str">
        <f>HYPERLINK("#Index!F3", "Index Pg")</f>
        <v>Index Pg</v>
      </c>
      <c r="B2" s="1864"/>
      <c r="C2" s="831" t="str">
        <f>HYPERLINK("#'Budget Summary I'!A1:AL1", "Budget Summary I")</f>
        <v>Budget Summary I</v>
      </c>
      <c r="D2" s="2048"/>
      <c r="E2" s="1460" t="s">
        <v>4608</v>
      </c>
      <c r="F2" s="177">
        <f>R6+R10+R12+R18+R20+R29+R32+R36+R40+R44+R47+R51+R56</f>
        <v>0</v>
      </c>
      <c r="G2" s="1103"/>
      <c r="H2" s="1103"/>
      <c r="I2" s="1103"/>
      <c r="J2" s="1103"/>
      <c r="K2" s="2049"/>
      <c r="L2" s="2049"/>
      <c r="M2" s="1103"/>
      <c r="R2" s="835"/>
    </row>
    <row r="3" spans="1:18" s="2050" customFormat="1" x14ac:dyDescent="0.25">
      <c r="A3" s="1863"/>
      <c r="B3" s="1864"/>
      <c r="C3" s="831" t="str">
        <f>HYPERLINK("#'Budget Summary II'!A3:B5", "Budget Summary II")</f>
        <v>Budget Summary II</v>
      </c>
      <c r="D3" s="2048"/>
      <c r="E3" s="1460" t="s">
        <v>4609</v>
      </c>
      <c r="F3" s="177">
        <f>O6+O10+O12+O18+O20+O29+O32+O36+O40+O44+O47+O51+O56</f>
        <v>3301.2784799999999</v>
      </c>
      <c r="G3" s="1103"/>
      <c r="H3" s="1103"/>
      <c r="I3" s="1103"/>
      <c r="J3" s="1103"/>
      <c r="K3" s="2049"/>
      <c r="M3" s="1103"/>
    </row>
    <row r="4" spans="1:18" x14ac:dyDescent="0.2">
      <c r="A4" s="3823" t="s">
        <v>53</v>
      </c>
      <c r="B4" s="3823" t="s">
        <v>54</v>
      </c>
      <c r="C4" s="3823" t="s">
        <v>55</v>
      </c>
      <c r="D4" s="3823" t="s">
        <v>56</v>
      </c>
      <c r="E4" s="3823" t="s">
        <v>57</v>
      </c>
      <c r="F4" s="3822" t="s">
        <v>4629</v>
      </c>
      <c r="G4" s="3822"/>
      <c r="H4" s="3822"/>
      <c r="I4" s="3822"/>
      <c r="J4" s="3822"/>
      <c r="K4" s="3822" t="s">
        <v>4640</v>
      </c>
      <c r="L4" s="3822"/>
      <c r="M4" s="3822"/>
      <c r="N4" s="3822"/>
      <c r="O4" s="3822"/>
      <c r="P4" s="3822"/>
      <c r="Q4" s="3826" t="s">
        <v>4670</v>
      </c>
      <c r="R4" s="3826"/>
    </row>
    <row r="5" spans="1:18" ht="60"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897" t="s">
        <v>63</v>
      </c>
      <c r="Q5" s="899" t="s">
        <v>2540</v>
      </c>
      <c r="R5" s="900" t="s">
        <v>4671</v>
      </c>
    </row>
    <row r="6" spans="1:18" x14ac:dyDescent="0.2">
      <c r="A6" s="1875">
        <f>'1.SD Facility Based Annex'!A7</f>
        <v>1</v>
      </c>
      <c r="B6" s="1875"/>
      <c r="C6" s="1875" t="str">
        <f>'1.SD Facility Based Annex'!C7</f>
        <v>Service Delivery - Facility Based</v>
      </c>
      <c r="D6" s="1877"/>
      <c r="E6" s="1877"/>
      <c r="F6" s="1877"/>
      <c r="G6" s="1877"/>
      <c r="H6" s="969"/>
      <c r="I6" s="1877"/>
      <c r="J6" s="969"/>
      <c r="K6" s="1875"/>
      <c r="L6" s="1875"/>
      <c r="M6" s="969"/>
      <c r="N6" s="969"/>
      <c r="O6" s="969">
        <f>SUM(O7:O9)</f>
        <v>0</v>
      </c>
      <c r="P6" s="969"/>
      <c r="Q6" s="969"/>
      <c r="R6" s="969">
        <f>SUM(R7:R9)</f>
        <v>0</v>
      </c>
    </row>
    <row r="7" spans="1:18" s="836" customFormat="1" ht="30" x14ac:dyDescent="0.2">
      <c r="A7" s="1880" t="str">
        <f>'1.SD Facility Based Annex'!A39</f>
        <v>1.1.5.7</v>
      </c>
      <c r="B7" s="949">
        <f>'1.SD Facility Based Annex'!B39</f>
        <v>0</v>
      </c>
      <c r="C7" s="1884" t="str">
        <f>'1.SD Facility Based Annex'!C39</f>
        <v>Diagnosis and Management under Latent TB Infection Management</v>
      </c>
      <c r="D7" s="1880" t="str">
        <f>'1.SD Facility Based Annex'!D39</f>
        <v>NDCP</v>
      </c>
      <c r="E7" s="1880" t="str">
        <f>'1.SD Facility Based Annex'!E39</f>
        <v>NTEP</v>
      </c>
      <c r="F7" s="2051">
        <f>'1.SD Facility Based Annex'!F39</f>
        <v>0</v>
      </c>
      <c r="G7" s="2051">
        <f>'1.SD Facility Based Annex'!G39</f>
        <v>0</v>
      </c>
      <c r="H7" s="2051">
        <f>'1.SD Facility Based Annex'!H39</f>
        <v>0</v>
      </c>
      <c r="I7" s="2051">
        <f>'1.SD Facility Based Annex'!I39</f>
        <v>0</v>
      </c>
      <c r="J7" s="2051">
        <f>'1.SD Facility Based Annex'!J39</f>
        <v>0</v>
      </c>
      <c r="K7" s="2051">
        <f>'1.SD Facility Based Annex'!K39</f>
        <v>0</v>
      </c>
      <c r="L7" s="2051">
        <f>'1.SD Facility Based Annex'!L39</f>
        <v>0</v>
      </c>
      <c r="M7" s="939">
        <f>'1.SD Facility Based Annex'!M39</f>
        <v>0</v>
      </c>
      <c r="N7" s="2051">
        <f>'1.SD Facility Based Annex'!N39</f>
        <v>0</v>
      </c>
      <c r="O7" s="939">
        <f>'1.SD Facility Based Annex'!O39</f>
        <v>0</v>
      </c>
      <c r="P7" s="2051">
        <f>'1.SD Facility Based Annex'!P39</f>
        <v>0</v>
      </c>
      <c r="Q7" s="1912"/>
      <c r="R7" s="677"/>
    </row>
    <row r="8" spans="1:18" ht="30" x14ac:dyDescent="0.2">
      <c r="A8" s="2052" t="str">
        <f>'1.SD Facility Based Annex'!A80</f>
        <v>1.2.3.2</v>
      </c>
      <c r="B8" s="2052" t="str">
        <f>'1.SD Facility Based Annex'!B80</f>
        <v xml:space="preserve">H.3.5 </v>
      </c>
      <c r="C8" s="1570" t="str">
        <f>'1.SD Facility Based Annex'!C80</f>
        <v>TB Patient Nutritional Support under Nikshay Poshan Yojana</v>
      </c>
      <c r="D8" s="2052" t="str">
        <f>'1.SD Facility Based Annex'!D80</f>
        <v>NDCP</v>
      </c>
      <c r="E8" s="2052" t="str">
        <f>'1.SD Facility Based Annex'!E80</f>
        <v>NTEP</v>
      </c>
      <c r="F8" s="2053">
        <f>'1.SD Facility Based Annex'!F80</f>
        <v>0</v>
      </c>
      <c r="G8" s="2053">
        <f>'1.SD Facility Based Annex'!G80</f>
        <v>0</v>
      </c>
      <c r="H8" s="2053">
        <f>'1.SD Facility Based Annex'!H80</f>
        <v>0</v>
      </c>
      <c r="I8" s="2053">
        <f>'1.SD Facility Based Annex'!I80</f>
        <v>0</v>
      </c>
      <c r="J8" s="2053">
        <f>'1.SD Facility Based Annex'!J80</f>
        <v>0</v>
      </c>
      <c r="K8" s="2053">
        <f>'1.SD Facility Based Annex'!K80</f>
        <v>0</v>
      </c>
      <c r="L8" s="2053">
        <f>'1.SD Facility Based Annex'!L80</f>
        <v>0</v>
      </c>
      <c r="M8" s="178">
        <f>'1.SD Facility Based Annex'!M80</f>
        <v>0</v>
      </c>
      <c r="N8" s="2053">
        <f>'1.SD Facility Based Annex'!N80</f>
        <v>0</v>
      </c>
      <c r="O8" s="178">
        <f>'1.SD Facility Based Annex'!O80</f>
        <v>0</v>
      </c>
      <c r="P8" s="2053">
        <f>'1.SD Facility Based Annex'!P80</f>
        <v>0</v>
      </c>
      <c r="Q8" s="1912"/>
      <c r="R8" s="1445"/>
    </row>
    <row r="9" spans="1:18" ht="30" x14ac:dyDescent="0.2">
      <c r="A9" s="2052" t="str">
        <f>'1.SD Facility Based Annex'!A96</f>
        <v>1.3.1.12</v>
      </c>
      <c r="B9" s="2052" t="str">
        <f>'1.SD Facility Based Annex'!B96</f>
        <v>H.5</v>
      </c>
      <c r="C9" s="1570" t="str">
        <f>'1.SD Facility Based Annex'!C96</f>
        <v>Maintenance of office equipment for DTC, DRTB centre and Labs (under NTEP)</v>
      </c>
      <c r="D9" s="2052" t="str">
        <f>'1.SD Facility Based Annex'!D96</f>
        <v>NDCP</v>
      </c>
      <c r="E9" s="2052" t="str">
        <f>'1.SD Facility Based Annex'!E96</f>
        <v>NTEP</v>
      </c>
      <c r="F9" s="2053">
        <f>'1.SD Facility Based Annex'!F96</f>
        <v>0</v>
      </c>
      <c r="G9" s="2053">
        <f>'1.SD Facility Based Annex'!G96</f>
        <v>0</v>
      </c>
      <c r="H9" s="2053">
        <f>'1.SD Facility Based Annex'!H96</f>
        <v>0</v>
      </c>
      <c r="I9" s="2053">
        <f>'1.SD Facility Based Annex'!I96</f>
        <v>0</v>
      </c>
      <c r="J9" s="2053">
        <f>'1.SD Facility Based Annex'!J96</f>
        <v>0</v>
      </c>
      <c r="K9" s="2053">
        <f>'1.SD Facility Based Annex'!K96</f>
        <v>0</v>
      </c>
      <c r="L9" s="2053">
        <f>'1.SD Facility Based Annex'!L96</f>
        <v>0</v>
      </c>
      <c r="M9" s="178">
        <f>'1.SD Facility Based Annex'!M96</f>
        <v>0</v>
      </c>
      <c r="N9" s="2053">
        <f>'1.SD Facility Based Annex'!N96</f>
        <v>0</v>
      </c>
      <c r="O9" s="178">
        <f>'1.SD Facility Based Annex'!O96</f>
        <v>0</v>
      </c>
      <c r="P9" s="2053">
        <f>'1.SD Facility Based Annex'!P96</f>
        <v>0</v>
      </c>
      <c r="Q9" s="1912"/>
      <c r="R9" s="1445"/>
    </row>
    <row r="10" spans="1:18" x14ac:dyDescent="0.2">
      <c r="A10" s="356">
        <f>'2.SD Community Based Annex'!A7</f>
        <v>2</v>
      </c>
      <c r="B10" s="356"/>
      <c r="C10" s="356" t="str">
        <f>'2.SD Community Based Annex'!C7</f>
        <v>Service Delivery - Community Based</v>
      </c>
      <c r="D10" s="1842"/>
      <c r="E10" s="1842"/>
      <c r="F10" s="1842"/>
      <c r="G10" s="1842"/>
      <c r="H10" s="969"/>
      <c r="I10" s="1842"/>
      <c r="J10" s="969"/>
      <c r="K10" s="356"/>
      <c r="L10" s="356"/>
      <c r="M10" s="969"/>
      <c r="N10" s="969"/>
      <c r="O10" s="969">
        <f>O11</f>
        <v>0</v>
      </c>
      <c r="P10" s="969"/>
      <c r="Q10" s="132"/>
      <c r="R10" s="132">
        <f>R11</f>
        <v>0</v>
      </c>
    </row>
    <row r="11" spans="1:18" ht="30" x14ac:dyDescent="0.2">
      <c r="A11" s="2052" t="str">
        <f>'2.SD Community Based Annex'!A54</f>
        <v>2.3.2.8</v>
      </c>
      <c r="B11" s="2052">
        <f>'2.SD Community Based Annex'!B54</f>
        <v>0</v>
      </c>
      <c r="C11" s="1570" t="str">
        <f>'2.SD Community Based Annex'!C54</f>
        <v>Screening, referral linkages and follow-up under Latent TB Infection Management</v>
      </c>
      <c r="D11" s="2052" t="str">
        <f>'2.SD Community Based Annex'!D54</f>
        <v>NDCP</v>
      </c>
      <c r="E11" s="2052" t="str">
        <f>'2.SD Community Based Annex'!E54</f>
        <v>NTEP</v>
      </c>
      <c r="F11" s="2053">
        <f>'2.SD Community Based Annex'!F54</f>
        <v>0</v>
      </c>
      <c r="G11" s="2053">
        <f>'2.SD Community Based Annex'!G54</f>
        <v>0</v>
      </c>
      <c r="H11" s="2053">
        <f>'2.SD Community Based Annex'!H54</f>
        <v>0</v>
      </c>
      <c r="I11" s="2053">
        <f>'2.SD Community Based Annex'!I54</f>
        <v>0</v>
      </c>
      <c r="J11" s="2053">
        <f>'2.SD Community Based Annex'!J54</f>
        <v>0</v>
      </c>
      <c r="K11" s="2053">
        <f>'2.SD Community Based Annex'!K54</f>
        <v>0</v>
      </c>
      <c r="L11" s="2053">
        <f>'2.SD Community Based Annex'!L54</f>
        <v>0</v>
      </c>
      <c r="M11" s="178">
        <f>'2.SD Community Based Annex'!M54</f>
        <v>0</v>
      </c>
      <c r="N11" s="2053">
        <f>'2.SD Community Based Annex'!N54</f>
        <v>0</v>
      </c>
      <c r="O11" s="178">
        <f>'2.SD Community Based Annex'!O54</f>
        <v>0</v>
      </c>
      <c r="P11" s="2053">
        <f>'2.SD Community Based Annex'!P54</f>
        <v>0</v>
      </c>
      <c r="Q11" s="1912"/>
      <c r="R11" s="2046"/>
    </row>
    <row r="12" spans="1:18" x14ac:dyDescent="0.2">
      <c r="A12" s="356">
        <f>'3.Community Intervention Annexn'!A7</f>
        <v>3</v>
      </c>
      <c r="B12" s="356"/>
      <c r="C12" s="356" t="str">
        <f>'3.Community Intervention Annexn'!C7</f>
        <v>Community Interventions</v>
      </c>
      <c r="D12" s="1842"/>
      <c r="E12" s="1842"/>
      <c r="F12" s="1842"/>
      <c r="G12" s="1842"/>
      <c r="H12" s="969"/>
      <c r="I12" s="1842"/>
      <c r="J12" s="969"/>
      <c r="K12" s="356"/>
      <c r="L12" s="356"/>
      <c r="M12" s="969"/>
      <c r="N12" s="969"/>
      <c r="O12" s="969">
        <f>SUM(O13:O17)</f>
        <v>0</v>
      </c>
      <c r="P12" s="969"/>
      <c r="Q12" s="132"/>
      <c r="R12" s="132">
        <f>SUM(R13:R17)</f>
        <v>0</v>
      </c>
    </row>
    <row r="13" spans="1:18" ht="30" x14ac:dyDescent="0.2">
      <c r="A13" s="2052" t="str">
        <f>'3.Community Intervention Annexn'!A41</f>
        <v>3.2.3.1.1</v>
      </c>
      <c r="B13" s="2052" t="str">
        <f>'3-A. CI Sub-Annex'!C107</f>
        <v>H.3.1</v>
      </c>
      <c r="C13" s="1570" t="str">
        <f>'3-A. CI Sub-Annex'!D107</f>
        <v>Treatment Supporter Honorarium (Rs 1000)</v>
      </c>
      <c r="D13" s="2052" t="str">
        <f>'3-A. CI Sub-Annex'!E107</f>
        <v>NDCP</v>
      </c>
      <c r="E13" s="2052" t="str">
        <f>'3-A. CI Sub-Annex'!F107</f>
        <v>NTEP</v>
      </c>
      <c r="F13" s="2052">
        <f>'3-A. CI Sub-Annex'!G107</f>
        <v>0</v>
      </c>
      <c r="G13" s="2052">
        <f>'3-A. CI Sub-Annex'!H107</f>
        <v>0</v>
      </c>
      <c r="H13" s="2052">
        <f>'3-A. CI Sub-Annex'!I107</f>
        <v>0</v>
      </c>
      <c r="I13" s="2052">
        <f>'3-A. CI Sub-Annex'!J107</f>
        <v>0</v>
      </c>
      <c r="J13" s="2052">
        <f>'3-A. CI Sub-Annex'!K107</f>
        <v>0</v>
      </c>
      <c r="K13" s="2052">
        <f>'3-A. CI Sub-Annex'!L107</f>
        <v>0</v>
      </c>
      <c r="L13" s="2052">
        <f>'3-A. CI Sub-Annex'!M107</f>
        <v>0</v>
      </c>
      <c r="M13" s="178">
        <f>'3-A. CI Sub-Annex'!N107</f>
        <v>0</v>
      </c>
      <c r="N13" s="2052">
        <f>'3-A. CI Sub-Annex'!O107</f>
        <v>0</v>
      </c>
      <c r="O13" s="178">
        <f>'3-A. CI Sub-Annex'!P107</f>
        <v>0</v>
      </c>
      <c r="P13" s="2052">
        <f>'3-A. CI Sub-Annex'!Q107</f>
        <v>0</v>
      </c>
      <c r="Q13" s="1912"/>
      <c r="R13" s="2046"/>
    </row>
    <row r="14" spans="1:18" ht="30" x14ac:dyDescent="0.2">
      <c r="A14" s="2052" t="str">
        <f>'3.Community Intervention Annexn'!A42</f>
        <v>3.2.3.1.2</v>
      </c>
      <c r="B14" s="2052" t="str">
        <f>'3-A. CI Sub-Annex'!C108</f>
        <v>H.3.4</v>
      </c>
      <c r="C14" s="1570" t="str">
        <f>'3-A. CI Sub-Annex'!D108</f>
        <v>Treatment Supporter Honorarium (Rs 5000)</v>
      </c>
      <c r="D14" s="2052" t="str">
        <f>'3-A. CI Sub-Annex'!E108</f>
        <v>NDCP</v>
      </c>
      <c r="E14" s="2052" t="str">
        <f>'3-A. CI Sub-Annex'!F108</f>
        <v>NTEP</v>
      </c>
      <c r="F14" s="2052">
        <f>'3-A. CI Sub-Annex'!G108</f>
        <v>0</v>
      </c>
      <c r="G14" s="2052">
        <f>'3-A. CI Sub-Annex'!H108</f>
        <v>0</v>
      </c>
      <c r="H14" s="2052">
        <f>'3-A. CI Sub-Annex'!I108</f>
        <v>0</v>
      </c>
      <c r="I14" s="2052">
        <f>'3-A. CI Sub-Annex'!J108</f>
        <v>0</v>
      </c>
      <c r="J14" s="2052">
        <f>'3-A. CI Sub-Annex'!K108</f>
        <v>0</v>
      </c>
      <c r="K14" s="2052">
        <f>'3-A. CI Sub-Annex'!L108</f>
        <v>0</v>
      </c>
      <c r="L14" s="2052">
        <f>'3-A. CI Sub-Annex'!M108</f>
        <v>0</v>
      </c>
      <c r="M14" s="178">
        <f>'3-A. CI Sub-Annex'!N108</f>
        <v>0</v>
      </c>
      <c r="N14" s="2052">
        <f>'3-A. CI Sub-Annex'!O108</f>
        <v>0</v>
      </c>
      <c r="O14" s="178">
        <f>'3-A. CI Sub-Annex'!P108</f>
        <v>0</v>
      </c>
      <c r="P14" s="2052">
        <f>'3-A. CI Sub-Annex'!Q108</f>
        <v>0</v>
      </c>
      <c r="Q14" s="3363"/>
      <c r="R14" s="2046"/>
    </row>
    <row r="15" spans="1:18" ht="30" x14ac:dyDescent="0.2">
      <c r="A15" s="2052" t="str">
        <f>'3.Community Intervention Annexn'!A43</f>
        <v>3.2.3.1.3</v>
      </c>
      <c r="B15" s="2052">
        <f>'3-A. CI Sub-Annex'!C109</f>
        <v>0</v>
      </c>
      <c r="C15" s="1570" t="str">
        <f>'3-A. CI Sub-Annex'!D109</f>
        <v>Incentive for informant (Rs 500)</v>
      </c>
      <c r="D15" s="2052" t="str">
        <f>'3-A. CI Sub-Annex'!E109</f>
        <v>NDCP</v>
      </c>
      <c r="E15" s="2052" t="str">
        <f>'3-A. CI Sub-Annex'!F109</f>
        <v>NTEP</v>
      </c>
      <c r="F15" s="2052">
        <f>'3-A. CI Sub-Annex'!G109</f>
        <v>0</v>
      </c>
      <c r="G15" s="2052">
        <f>'3-A. CI Sub-Annex'!H109</f>
        <v>0</v>
      </c>
      <c r="H15" s="2052">
        <f>'3-A. CI Sub-Annex'!I109</f>
        <v>0</v>
      </c>
      <c r="I15" s="2052">
        <f>'3-A. CI Sub-Annex'!J109</f>
        <v>0</v>
      </c>
      <c r="J15" s="2052">
        <f>'3-A. CI Sub-Annex'!K109</f>
        <v>0</v>
      </c>
      <c r="K15" s="2052">
        <f>'3-A. CI Sub-Annex'!L109</f>
        <v>0</v>
      </c>
      <c r="L15" s="2052">
        <f>'3-A. CI Sub-Annex'!M109</f>
        <v>0</v>
      </c>
      <c r="M15" s="178">
        <f>'3-A. CI Sub-Annex'!N109</f>
        <v>0</v>
      </c>
      <c r="N15" s="2052">
        <f>'3-A. CI Sub-Annex'!O109</f>
        <v>0</v>
      </c>
      <c r="O15" s="178">
        <f>'3-A. CI Sub-Annex'!P109</f>
        <v>0</v>
      </c>
      <c r="P15" s="2052">
        <f>'3-A. CI Sub-Annex'!Q109</f>
        <v>0</v>
      </c>
      <c r="Q15" s="3363"/>
      <c r="R15" s="2046"/>
    </row>
    <row r="16" spans="1:18" ht="30" x14ac:dyDescent="0.2">
      <c r="A16" s="2052" t="str">
        <f>'3.Community Intervention Annexn'!A44</f>
        <v>3.2.3.1.4</v>
      </c>
      <c r="B16" s="2052">
        <f>'3-A. CI Sub-Annex'!C110</f>
        <v>0</v>
      </c>
      <c r="C16" s="1570" t="str">
        <f>'3-A. CI Sub-Annex'!D110</f>
        <v>State/District TB Forums</v>
      </c>
      <c r="D16" s="2052" t="str">
        <f>'3-A. CI Sub-Annex'!E110</f>
        <v>NDCP</v>
      </c>
      <c r="E16" s="2052" t="str">
        <f>'3-A. CI Sub-Annex'!F110</f>
        <v>NTEP</v>
      </c>
      <c r="F16" s="2052">
        <f>'3-A. CI Sub-Annex'!G110</f>
        <v>0</v>
      </c>
      <c r="G16" s="2052">
        <f>'3-A. CI Sub-Annex'!H110</f>
        <v>0</v>
      </c>
      <c r="H16" s="2052">
        <f>'3-A. CI Sub-Annex'!I110</f>
        <v>0</v>
      </c>
      <c r="I16" s="2052">
        <f>'3-A. CI Sub-Annex'!J110</f>
        <v>0</v>
      </c>
      <c r="J16" s="2052">
        <f>'3-A. CI Sub-Annex'!K110</f>
        <v>0</v>
      </c>
      <c r="K16" s="2052">
        <f>'3-A. CI Sub-Annex'!L110</f>
        <v>0</v>
      </c>
      <c r="L16" s="2052">
        <f>'3-A. CI Sub-Annex'!M110</f>
        <v>0</v>
      </c>
      <c r="M16" s="178">
        <f>'3-A. CI Sub-Annex'!N110</f>
        <v>0</v>
      </c>
      <c r="N16" s="2052">
        <f>'3-A. CI Sub-Annex'!O110</f>
        <v>0</v>
      </c>
      <c r="O16" s="178">
        <f>'3-A. CI Sub-Annex'!P110</f>
        <v>0</v>
      </c>
      <c r="P16" s="2052">
        <f>'3-A. CI Sub-Annex'!Q110</f>
        <v>0</v>
      </c>
      <c r="Q16" s="3363"/>
      <c r="R16" s="2046"/>
    </row>
    <row r="17" spans="1:18" ht="30" x14ac:dyDescent="0.2">
      <c r="A17" s="2052"/>
      <c r="B17" s="2052">
        <f>'3-A. CI Sub-Annex'!C111</f>
        <v>0</v>
      </c>
      <c r="C17" s="1570" t="str">
        <f>'3-A. CI Sub-Annex'!D111</f>
        <v>Community engagement activities</v>
      </c>
      <c r="D17" s="2052" t="str">
        <f>'3-A. CI Sub-Annex'!E111</f>
        <v>NDCP</v>
      </c>
      <c r="E17" s="2052" t="str">
        <f>'3-A. CI Sub-Annex'!F111</f>
        <v>NTEP</v>
      </c>
      <c r="F17" s="2052">
        <f>'3-A. CI Sub-Annex'!G111</f>
        <v>0</v>
      </c>
      <c r="G17" s="2052">
        <f>'3-A. CI Sub-Annex'!H111</f>
        <v>0</v>
      </c>
      <c r="H17" s="2052">
        <f>'3-A. CI Sub-Annex'!I111</f>
        <v>0</v>
      </c>
      <c r="I17" s="2052">
        <f>'3-A. CI Sub-Annex'!J111</f>
        <v>0</v>
      </c>
      <c r="J17" s="2052">
        <f>'3-A. CI Sub-Annex'!K111</f>
        <v>0</v>
      </c>
      <c r="K17" s="2052">
        <f>'3-A. CI Sub-Annex'!L111</f>
        <v>0</v>
      </c>
      <c r="L17" s="2052">
        <f>'3-A. CI Sub-Annex'!M111</f>
        <v>0</v>
      </c>
      <c r="M17" s="178">
        <f>'3-A. CI Sub-Annex'!N111</f>
        <v>0</v>
      </c>
      <c r="N17" s="2052">
        <f>'3-A. CI Sub-Annex'!O111</f>
        <v>0</v>
      </c>
      <c r="O17" s="178">
        <f>'3-A. CI Sub-Annex'!P111</f>
        <v>0</v>
      </c>
      <c r="P17" s="2052">
        <f>'3-A. CI Sub-Annex'!Q111</f>
        <v>0</v>
      </c>
      <c r="Q17" s="3363"/>
      <c r="R17" s="2046"/>
    </row>
    <row r="18" spans="1:18" x14ac:dyDescent="0.2">
      <c r="A18" s="1997">
        <f>'5.Infrastructure Annex'!A7</f>
        <v>5</v>
      </c>
      <c r="B18" s="1997"/>
      <c r="C18" s="1997" t="str">
        <f>'5.Infrastructure Annex'!C7</f>
        <v>Infrastructure</v>
      </c>
      <c r="D18" s="1996"/>
      <c r="E18" s="1996"/>
      <c r="F18" s="1996"/>
      <c r="G18" s="1996"/>
      <c r="H18" s="969"/>
      <c r="I18" s="1996"/>
      <c r="J18" s="969"/>
      <c r="K18" s="1997"/>
      <c r="L18" s="1997"/>
      <c r="M18" s="969"/>
      <c r="N18" s="969"/>
      <c r="O18" s="969">
        <f>O19</f>
        <v>0</v>
      </c>
      <c r="P18" s="969"/>
      <c r="Q18" s="132"/>
      <c r="R18" s="132">
        <f>R19</f>
        <v>0</v>
      </c>
    </row>
    <row r="19" spans="1:18" ht="30" x14ac:dyDescent="0.2">
      <c r="A19" s="979" t="str">
        <f>'5.Infrastructure Annex'!A94</f>
        <v>5.3.14</v>
      </c>
      <c r="B19" s="979"/>
      <c r="C19" s="2040" t="str">
        <f>'5.Infrastructure Annex'!C94</f>
        <v>Civil Works under NTEP</v>
      </c>
      <c r="D19" s="979" t="str">
        <f>'5.Infrastructure Annex'!D94</f>
        <v>NDCP</v>
      </c>
      <c r="E19" s="979" t="str">
        <f>'5.Infrastructure Annex'!E94</f>
        <v>NTEP</v>
      </c>
      <c r="F19" s="2054">
        <f>'5.Infrastructure Annex'!F94</f>
        <v>0</v>
      </c>
      <c r="G19" s="2054">
        <f>'5.Infrastructure Annex'!G94</f>
        <v>0</v>
      </c>
      <c r="H19" s="2054">
        <f>'5.Infrastructure Annex'!H94</f>
        <v>0</v>
      </c>
      <c r="I19" s="2054">
        <f>'5.Infrastructure Annex'!I94</f>
        <v>0</v>
      </c>
      <c r="J19" s="2054">
        <f>'5.Infrastructure Annex'!J94</f>
        <v>0</v>
      </c>
      <c r="K19" s="2054">
        <f>'5.Infrastructure Annex'!K94</f>
        <v>0</v>
      </c>
      <c r="L19" s="2054">
        <f>'5.Infrastructure Annex'!L94</f>
        <v>0</v>
      </c>
      <c r="M19" s="178">
        <f>'5.Infrastructure Annex'!M94</f>
        <v>0</v>
      </c>
      <c r="N19" s="2054">
        <f>'5.Infrastructure Annex'!N94</f>
        <v>0</v>
      </c>
      <c r="O19" s="178">
        <f>'5.Infrastructure Annex'!O94</f>
        <v>0</v>
      </c>
      <c r="P19" s="2054">
        <f>'5.Infrastructure Annex'!P94</f>
        <v>0</v>
      </c>
      <c r="Q19" s="2042"/>
      <c r="R19" s="2046"/>
    </row>
    <row r="20" spans="1:18" x14ac:dyDescent="0.2">
      <c r="A20" s="1997">
        <f>'6.Procurement Annex'!A7</f>
        <v>6</v>
      </c>
      <c r="B20" s="1997"/>
      <c r="C20" s="1997" t="str">
        <f>'6.Procurement Annex'!C7</f>
        <v>Procurement</v>
      </c>
      <c r="D20" s="1996"/>
      <c r="E20" s="1996"/>
      <c r="F20" s="1996"/>
      <c r="G20" s="1996"/>
      <c r="H20" s="969"/>
      <c r="I20" s="1996"/>
      <c r="J20" s="969"/>
      <c r="K20" s="1997"/>
      <c r="L20" s="1997"/>
      <c r="M20" s="969"/>
      <c r="N20" s="969"/>
      <c r="O20" s="969">
        <f>SUM(O21:O28)</f>
        <v>3301.2784799999999</v>
      </c>
      <c r="P20" s="969"/>
      <c r="Q20" s="132"/>
      <c r="R20" s="132">
        <f>SUM(R21:R28)</f>
        <v>0</v>
      </c>
    </row>
    <row r="21" spans="1:18" ht="30" x14ac:dyDescent="0.2">
      <c r="A21" s="4080" t="str">
        <f>'6.Procurement Annex'!A49</f>
        <v>6.1.6.3</v>
      </c>
      <c r="B21" s="2002" t="str">
        <f>'6-A. Proc. Sub-Annex'!C89</f>
        <v>H.17</v>
      </c>
      <c r="C21" s="103" t="str">
        <f>'6-A. Proc. Sub-Annex'!D89</f>
        <v>Procurement of Equipment</v>
      </c>
      <c r="D21" s="2002" t="str">
        <f>'6-A. Proc. Sub-Annex'!E89</f>
        <v>NDCP</v>
      </c>
      <c r="E21" s="2002" t="str">
        <f>'6-A. Proc. Sub-Annex'!F89</f>
        <v>NTEP</v>
      </c>
      <c r="F21" s="2055">
        <f>'6-A. Proc. Sub-Annex'!G89</f>
        <v>0</v>
      </c>
      <c r="G21" s="2055">
        <f>'6-A. Proc. Sub-Annex'!H89</f>
        <v>0</v>
      </c>
      <c r="H21" s="2055">
        <f>'6-A. Proc. Sub-Annex'!I89</f>
        <v>0</v>
      </c>
      <c r="I21" s="2055">
        <f>'6-A. Proc. Sub-Annex'!J89</f>
        <v>0</v>
      </c>
      <c r="J21" s="2055">
        <f>'6-A. Proc. Sub-Annex'!K89</f>
        <v>0</v>
      </c>
      <c r="K21" s="2055">
        <f>'6-A. Proc. Sub-Annex'!L89</f>
        <v>0</v>
      </c>
      <c r="L21" s="2055">
        <f>'6-A. Proc. Sub-Annex'!M89</f>
        <v>0</v>
      </c>
      <c r="M21" s="178">
        <f>'6-A. Proc. Sub-Annex'!N89</f>
        <v>0</v>
      </c>
      <c r="N21" s="2055">
        <f>'6-A. Proc. Sub-Annex'!O89</f>
        <v>0</v>
      </c>
      <c r="O21" s="178">
        <f>'6-A. Proc. Sub-Annex'!P89</f>
        <v>0</v>
      </c>
      <c r="P21" s="2055">
        <f>'6-A. Proc. Sub-Annex'!Q89</f>
        <v>0</v>
      </c>
      <c r="Q21" s="3342"/>
      <c r="R21" s="159"/>
    </row>
    <row r="22" spans="1:18" ht="30" x14ac:dyDescent="0.2">
      <c r="A22" s="4081"/>
      <c r="B22" s="2002" t="str">
        <f>'6-A. Proc. Sub-Annex'!C139</f>
        <v>H.5</v>
      </c>
      <c r="C22" s="103" t="str">
        <f>'6-A. Proc. Sub-Annex'!D139</f>
        <v>Equipment Maintenance</v>
      </c>
      <c r="D22" s="2002" t="str">
        <f>'6-A. Proc. Sub-Annex'!E139</f>
        <v>NDCP</v>
      </c>
      <c r="E22" s="2002" t="str">
        <f>'6-A. Proc. Sub-Annex'!F139</f>
        <v>NTEP</v>
      </c>
      <c r="F22" s="2055">
        <f>'6-A. Proc. Sub-Annex'!G139</f>
        <v>0</v>
      </c>
      <c r="G22" s="2055">
        <f>'6-A. Proc. Sub-Annex'!H139</f>
        <v>0</v>
      </c>
      <c r="H22" s="2055">
        <f>'6-A. Proc. Sub-Annex'!I139</f>
        <v>0</v>
      </c>
      <c r="I22" s="2055">
        <f>'6-A. Proc. Sub-Annex'!J139</f>
        <v>0</v>
      </c>
      <c r="J22" s="2055">
        <f>'6-A. Proc. Sub-Annex'!K139</f>
        <v>0</v>
      </c>
      <c r="K22" s="2055">
        <f>'6-A. Proc. Sub-Annex'!L139</f>
        <v>0</v>
      </c>
      <c r="L22" s="2055">
        <f>'6-A. Proc. Sub-Annex'!M139</f>
        <v>0</v>
      </c>
      <c r="M22" s="178">
        <f>'6-A. Proc. Sub-Annex'!N139</f>
        <v>0</v>
      </c>
      <c r="N22" s="2055">
        <f>'6-A. Proc. Sub-Annex'!O139</f>
        <v>0</v>
      </c>
      <c r="O22" s="178">
        <f>'6-A. Proc. Sub-Annex'!P139</f>
        <v>0</v>
      </c>
      <c r="P22" s="2055">
        <f>'6-A. Proc. Sub-Annex'!Q139</f>
        <v>0</v>
      </c>
      <c r="Q22" s="3342"/>
      <c r="R22" s="159"/>
    </row>
    <row r="23" spans="1:18" ht="300" x14ac:dyDescent="0.2">
      <c r="A23" s="4082"/>
      <c r="B23" s="2002" t="str">
        <f>'6-A. Proc. Sub-Annex'!C236</f>
        <v>H.2</v>
      </c>
      <c r="C23" s="103" t="str">
        <f>'6-A. Proc. Sub-Annex'!D236</f>
        <v>Laboratory Materials</v>
      </c>
      <c r="D23" s="2002" t="str">
        <f>'6-A. Proc. Sub-Annex'!E236</f>
        <v>NDCP</v>
      </c>
      <c r="E23" s="2002" t="str">
        <f>'6-A. Proc. Sub-Annex'!F236</f>
        <v>NTEP</v>
      </c>
      <c r="F23" s="2055">
        <f>'6-A. Proc. Sub-Annex'!G236</f>
        <v>0</v>
      </c>
      <c r="G23" s="2055">
        <f>'6-A. Proc. Sub-Annex'!H236</f>
        <v>0</v>
      </c>
      <c r="H23" s="2055">
        <f>'6-A. Proc. Sub-Annex'!I236</f>
        <v>0</v>
      </c>
      <c r="I23" s="2055">
        <f>'6-A. Proc. Sub-Annex'!J236</f>
        <v>0</v>
      </c>
      <c r="J23" s="2055">
        <f>'6-A. Proc. Sub-Annex'!K236</f>
        <v>0</v>
      </c>
      <c r="K23" s="2055" t="str">
        <f>'6-A. Proc. Sub-Annex'!L236</f>
        <v>Cost per district</v>
      </c>
      <c r="L23" s="2055">
        <f>'6-A. Proc. Sub-Annex'!M236</f>
        <v>7592796</v>
      </c>
      <c r="M23" s="178">
        <f>'6-A. Proc. Sub-Annex'!N236</f>
        <v>75.927959999999999</v>
      </c>
      <c r="N23" s="2055">
        <f>'6-A. Proc. Sub-Annex'!O236</f>
        <v>38</v>
      </c>
      <c r="O23" s="178">
        <f>'6-A. Proc. Sub-Annex'!P236</f>
        <v>2885.2624799999999</v>
      </c>
      <c r="P23" s="2055" t="str">
        <f>'6-A. Proc. Sub-Annex'!Q236</f>
        <v>Ongoing activity
As per the DO.Lr.No.Z-28015/109/2021-TB from Deputy Director (TB),  CTD, Govt.of India Dated:22nd April 2021, it is instructed to procure the Laboratory items for NTEP which was supported by the CTD, should be procured by the respective states and propose the same in upcoming supplementary PIP of 2021-22. Hence the following is proposed: 
Procurement of Lab Consumables - LPA, Liquid Culture, DST 7 MGIT @ Rs. 14.34 Cr, CBNAAT Tests @ Rs. 17.90 Cr, totalling to Rs. 32.24 Cr. 
In ROP 2021-22, Rs. 3.39 Cr has been approved, hence the rest Rs. 28.58 Cr is proposed in the supplementary PIP 2021-22.</v>
      </c>
      <c r="Q23" s="3342"/>
      <c r="R23" s="159"/>
    </row>
    <row r="24" spans="1:18" ht="90" x14ac:dyDescent="0.2">
      <c r="A24" s="4080" t="str">
        <f>'6.Procurement Annex'!A74</f>
        <v>6.2.3.3</v>
      </c>
      <c r="B24" s="2002" t="str">
        <f>'6-A. Proc. Sub-Annex'!C237</f>
        <v>H.15</v>
      </c>
      <c r="C24" s="103" t="str">
        <f>'6-A. Proc. Sub-Annex'!D237</f>
        <v>Procurement of Drugs</v>
      </c>
      <c r="D24" s="2002" t="str">
        <f>'6-A. Proc. Sub-Annex'!E237</f>
        <v>NDCP</v>
      </c>
      <c r="E24" s="2002" t="str">
        <f>'6-A. Proc. Sub-Annex'!F237</f>
        <v>NTEP</v>
      </c>
      <c r="F24" s="2055">
        <f>'6-A. Proc. Sub-Annex'!G237</f>
        <v>0</v>
      </c>
      <c r="G24" s="2055">
        <f>'6-A. Proc. Sub-Annex'!H237</f>
        <v>0</v>
      </c>
      <c r="H24" s="2055">
        <f>'6-A. Proc. Sub-Annex'!I237</f>
        <v>0</v>
      </c>
      <c r="I24" s="2055">
        <f>'6-A. Proc. Sub-Annex'!J237</f>
        <v>0</v>
      </c>
      <c r="J24" s="2055">
        <f>'6-A. Proc. Sub-Annex'!K237</f>
        <v>0</v>
      </c>
      <c r="K24" s="2055" t="str">
        <f>'6-A. Proc. Sub-Annex'!L237</f>
        <v>Cost per patient</v>
      </c>
      <c r="L24" s="2055">
        <f>'6-A. Proc. Sub-Annex'!M237</f>
        <v>2700</v>
      </c>
      <c r="M24" s="178">
        <f>'6-A. Proc. Sub-Annex'!N237</f>
        <v>2.7E-2</v>
      </c>
      <c r="N24" s="2055">
        <f>'6-A. Proc. Sub-Annex'!O237</f>
        <v>15408</v>
      </c>
      <c r="O24" s="178">
        <f>'6-A. Proc. Sub-Annex'!P237</f>
        <v>416.01600000000002</v>
      </c>
      <c r="P24" s="2055" t="str">
        <f>'6-A. Proc. Sub-Annex'!Q237</f>
        <v xml:space="preserve">Procurement of Isoniazid and Rifapentine - 12 Doses - Once per week (3HP) 15,408 patients in 6 Districts - Kanniyakumari, Thiruvallur, Thiruvanamalai (State), Pudukottai, Chennai and Kancehpuram (JEET). </v>
      </c>
      <c r="Q24" s="3342"/>
      <c r="R24" s="159"/>
    </row>
    <row r="25" spans="1:18" ht="30" x14ac:dyDescent="0.2">
      <c r="A25" s="4082"/>
      <c r="B25" s="2002"/>
      <c r="C25" s="103" t="str">
        <f>'6-A. Proc. Sub-Annex'!D238</f>
        <v>Any other drugs &amp; supplies (please specify)</v>
      </c>
      <c r="D25" s="2002" t="str">
        <f>'6-A. Proc. Sub-Annex'!E238</f>
        <v>NDCP</v>
      </c>
      <c r="E25" s="2002" t="str">
        <f>'6-A. Proc. Sub-Annex'!F238</f>
        <v>NTEP</v>
      </c>
      <c r="F25" s="2055">
        <f>'6-A. Proc. Sub-Annex'!G238</f>
        <v>0</v>
      </c>
      <c r="G25" s="2055">
        <f>'6-A. Proc. Sub-Annex'!H238</f>
        <v>0</v>
      </c>
      <c r="H25" s="2055">
        <f>'6-A. Proc. Sub-Annex'!I238</f>
        <v>0</v>
      </c>
      <c r="I25" s="2055">
        <f>'6-A. Proc. Sub-Annex'!J238</f>
        <v>0</v>
      </c>
      <c r="J25" s="2055">
        <f>'6-A. Proc. Sub-Annex'!K238</f>
        <v>0</v>
      </c>
      <c r="K25" s="2055">
        <f>'6-A. Proc. Sub-Annex'!L238</f>
        <v>0</v>
      </c>
      <c r="L25" s="2055">
        <f>'6-A. Proc. Sub-Annex'!M238</f>
        <v>0</v>
      </c>
      <c r="M25" s="178">
        <f>'6-A. Proc. Sub-Annex'!N238</f>
        <v>0</v>
      </c>
      <c r="N25" s="2055">
        <f>'6-A. Proc. Sub-Annex'!O238</f>
        <v>0</v>
      </c>
      <c r="O25" s="178">
        <f>'6-A. Proc. Sub-Annex'!P238</f>
        <v>0</v>
      </c>
      <c r="P25" s="2055">
        <f>'6-A. Proc. Sub-Annex'!Q238</f>
        <v>0</v>
      </c>
      <c r="Q25" s="3342"/>
      <c r="R25" s="159"/>
    </row>
    <row r="26" spans="1:18" ht="30" x14ac:dyDescent="0.2">
      <c r="A26" s="4080" t="str">
        <f>'6.Procurement Annex'!A87</f>
        <v>6.3.1</v>
      </c>
      <c r="B26" s="2002" t="str">
        <f>'6-A. Proc. Sub-Annex'!C278</f>
        <v>H.16</v>
      </c>
      <c r="C26" s="103" t="str">
        <f>'6-A. Proc. Sub-Annex'!D278</f>
        <v>Replacement of Vehicles under NTEP</v>
      </c>
      <c r="D26" s="2002" t="str">
        <f>'6-A. Proc. Sub-Annex'!E278</f>
        <v>NDCP</v>
      </c>
      <c r="E26" s="2002" t="str">
        <f>'6-A. Proc. Sub-Annex'!F278</f>
        <v>NTEP</v>
      </c>
      <c r="F26" s="2055">
        <f>'6-A. Proc. Sub-Annex'!G278</f>
        <v>0</v>
      </c>
      <c r="G26" s="2055">
        <f>'6-A. Proc. Sub-Annex'!H278</f>
        <v>0</v>
      </c>
      <c r="H26" s="2055">
        <f>'6-A. Proc. Sub-Annex'!I278</f>
        <v>0</v>
      </c>
      <c r="I26" s="2055">
        <f>'6-A. Proc. Sub-Annex'!J278</f>
        <v>0</v>
      </c>
      <c r="J26" s="2055">
        <f>'6-A. Proc. Sub-Annex'!K278</f>
        <v>0</v>
      </c>
      <c r="K26" s="2055">
        <f>'6-A. Proc. Sub-Annex'!L278</f>
        <v>0</v>
      </c>
      <c r="L26" s="2055">
        <f>'6-A. Proc. Sub-Annex'!M278</f>
        <v>0</v>
      </c>
      <c r="M26" s="178">
        <f>'6-A. Proc. Sub-Annex'!N278</f>
        <v>0</v>
      </c>
      <c r="N26" s="2055">
        <f>'6-A. Proc. Sub-Annex'!O278</f>
        <v>0</v>
      </c>
      <c r="O26" s="178">
        <f>'6-A. Proc. Sub-Annex'!P278</f>
        <v>0</v>
      </c>
      <c r="P26" s="2055">
        <f>'6-A. Proc. Sub-Annex'!Q278</f>
        <v>0</v>
      </c>
      <c r="Q26" s="3342"/>
      <c r="R26" s="159"/>
    </row>
    <row r="27" spans="1:18" ht="30" x14ac:dyDescent="0.2">
      <c r="A27" s="4081"/>
      <c r="B27" s="2002" t="str">
        <f>'6-A. Proc. Sub-Annex'!C279</f>
        <v>H.11</v>
      </c>
      <c r="C27" s="103" t="str">
        <f>'6-A. Proc. Sub-Annex'!D279</f>
        <v>Procurement of sleeves and drug boxes</v>
      </c>
      <c r="D27" s="2002" t="str">
        <f>'6-A. Proc. Sub-Annex'!E279</f>
        <v>NDCP</v>
      </c>
      <c r="E27" s="2002" t="str">
        <f>'6-A. Proc. Sub-Annex'!F279</f>
        <v>NTEP</v>
      </c>
      <c r="F27" s="2055">
        <f>'6-A. Proc. Sub-Annex'!G279</f>
        <v>0</v>
      </c>
      <c r="G27" s="2055">
        <f>'6-A. Proc. Sub-Annex'!H279</f>
        <v>0</v>
      </c>
      <c r="H27" s="2055">
        <f>'6-A. Proc. Sub-Annex'!I279</f>
        <v>0</v>
      </c>
      <c r="I27" s="2055">
        <f>'6-A. Proc. Sub-Annex'!J279</f>
        <v>0</v>
      </c>
      <c r="J27" s="2055">
        <f>'6-A. Proc. Sub-Annex'!K279</f>
        <v>0</v>
      </c>
      <c r="K27" s="2055">
        <f>'6-A. Proc. Sub-Annex'!L279</f>
        <v>0</v>
      </c>
      <c r="L27" s="2055">
        <f>'6-A. Proc. Sub-Annex'!M279</f>
        <v>0</v>
      </c>
      <c r="M27" s="178">
        <f>'6-A. Proc. Sub-Annex'!N279</f>
        <v>0</v>
      </c>
      <c r="N27" s="2055">
        <f>'6-A. Proc. Sub-Annex'!O279</f>
        <v>0</v>
      </c>
      <c r="O27" s="178">
        <f>'6-A. Proc. Sub-Annex'!P279</f>
        <v>0</v>
      </c>
      <c r="P27" s="2055">
        <f>'6-A. Proc. Sub-Annex'!Q279</f>
        <v>0</v>
      </c>
      <c r="Q27" s="3342"/>
      <c r="R27" s="159"/>
    </row>
    <row r="28" spans="1:18" ht="30" x14ac:dyDescent="0.2">
      <c r="A28" s="4082"/>
      <c r="B28" s="2002"/>
      <c r="C28" s="103" t="str">
        <f>'6-A. Proc. Sub-Annex'!D280</f>
        <v>Any other (please specify)</v>
      </c>
      <c r="D28" s="2002" t="str">
        <f>'6-A. Proc. Sub-Annex'!E280</f>
        <v>NDCP</v>
      </c>
      <c r="E28" s="2002" t="str">
        <f>'6-A. Proc. Sub-Annex'!F280</f>
        <v>NTEP</v>
      </c>
      <c r="F28" s="2055">
        <f>'6-A. Proc. Sub-Annex'!G280</f>
        <v>0</v>
      </c>
      <c r="G28" s="2055">
        <f>'6-A. Proc. Sub-Annex'!H280</f>
        <v>0</v>
      </c>
      <c r="H28" s="2055">
        <f>'6-A. Proc. Sub-Annex'!I280</f>
        <v>0</v>
      </c>
      <c r="I28" s="2055">
        <f>'6-A. Proc. Sub-Annex'!J280</f>
        <v>0</v>
      </c>
      <c r="J28" s="2055">
        <f>'6-A. Proc. Sub-Annex'!K280</f>
        <v>0</v>
      </c>
      <c r="K28" s="2055">
        <f>'6-A. Proc. Sub-Annex'!L280</f>
        <v>0</v>
      </c>
      <c r="L28" s="2055">
        <f>'6-A. Proc. Sub-Annex'!M280</f>
        <v>0</v>
      </c>
      <c r="M28" s="178">
        <f>'6-A. Proc. Sub-Annex'!N280</f>
        <v>0</v>
      </c>
      <c r="N28" s="2055">
        <f>'6-A. Proc. Sub-Annex'!O280</f>
        <v>0</v>
      </c>
      <c r="O28" s="178">
        <f>'6-A. Proc. Sub-Annex'!P280</f>
        <v>0</v>
      </c>
      <c r="P28" s="2055">
        <f>'6-A. Proc. Sub-Annex'!Q280</f>
        <v>0</v>
      </c>
      <c r="Q28" s="3342"/>
      <c r="R28" s="159"/>
    </row>
    <row r="29" spans="1:18" x14ac:dyDescent="0.2">
      <c r="A29" s="1997">
        <f>'7.Referral Transport Annex'!A7</f>
        <v>7</v>
      </c>
      <c r="B29" s="1997"/>
      <c r="C29" s="1997" t="str">
        <f>'7.Referral Transport Annex'!C7</f>
        <v>Referral Transport</v>
      </c>
      <c r="D29" s="1996"/>
      <c r="E29" s="1996"/>
      <c r="F29" s="1996"/>
      <c r="G29" s="1996"/>
      <c r="H29" s="969"/>
      <c r="I29" s="1996"/>
      <c r="J29" s="969"/>
      <c r="K29" s="1997"/>
      <c r="L29" s="1997"/>
      <c r="M29" s="969"/>
      <c r="N29" s="969"/>
      <c r="O29" s="969">
        <f>SUM(O30:O31)</f>
        <v>0</v>
      </c>
      <c r="P29" s="2056"/>
      <c r="Q29" s="132"/>
      <c r="R29" s="132">
        <f>SUM(R30:R31)</f>
        <v>0</v>
      </c>
    </row>
    <row r="30" spans="1:18" s="836" customFormat="1" ht="30" x14ac:dyDescent="0.2">
      <c r="A30" s="984" t="str">
        <f>'7.Referral Transport Annex'!A23</f>
        <v>7.5.1</v>
      </c>
      <c r="B30" s="984" t="str">
        <f>'7.Referral Transport Annex'!B23</f>
        <v>H.18.1</v>
      </c>
      <c r="C30" s="1998" t="str">
        <f>'7.Referral Transport Annex'!C23</f>
        <v>Tribal Patient Support and transportation charges</v>
      </c>
      <c r="D30" s="984" t="str">
        <f>'7.Referral Transport Annex'!D23</f>
        <v>NDCP</v>
      </c>
      <c r="E30" s="984" t="str">
        <f>'7.Referral Transport Annex'!E23</f>
        <v>NTEP</v>
      </c>
      <c r="F30" s="2057">
        <f>'7.Referral Transport Annex'!F23</f>
        <v>0</v>
      </c>
      <c r="G30" s="2057">
        <f>'7.Referral Transport Annex'!G23</f>
        <v>0</v>
      </c>
      <c r="H30" s="2057">
        <f>'7.Referral Transport Annex'!H23</f>
        <v>0</v>
      </c>
      <c r="I30" s="2057">
        <f>'7.Referral Transport Annex'!I23</f>
        <v>0</v>
      </c>
      <c r="J30" s="2057">
        <f>'7.Referral Transport Annex'!J23</f>
        <v>0</v>
      </c>
      <c r="K30" s="2057">
        <f>'7.Referral Transport Annex'!K23</f>
        <v>0</v>
      </c>
      <c r="L30" s="2057">
        <f>'7.Referral Transport Annex'!L23</f>
        <v>0</v>
      </c>
      <c r="M30" s="939">
        <f>'7.Referral Transport Annex'!M23</f>
        <v>0</v>
      </c>
      <c r="N30" s="2057">
        <f>'7.Referral Transport Annex'!N23</f>
        <v>0</v>
      </c>
      <c r="O30" s="939">
        <f>'7.Referral Transport Annex'!O23</f>
        <v>0</v>
      </c>
      <c r="P30" s="2058">
        <f>'7.Referral Transport Annex'!P23</f>
        <v>0</v>
      </c>
      <c r="Q30" s="195"/>
      <c r="R30" s="1906"/>
    </row>
    <row r="31" spans="1:18" s="836" customFormat="1" ht="30" x14ac:dyDescent="0.2">
      <c r="A31" s="984" t="str">
        <f>'7.Referral Transport Annex'!A24</f>
        <v>7.5.2</v>
      </c>
      <c r="B31" s="984"/>
      <c r="C31" s="1998" t="str">
        <f>'7.Referral Transport Annex'!C24</f>
        <v>Sample collection &amp; transportation charges</v>
      </c>
      <c r="D31" s="984" t="str">
        <f>'7.Referral Transport Annex'!D24</f>
        <v>NDCP</v>
      </c>
      <c r="E31" s="984" t="str">
        <f>'7.Referral Transport Annex'!E24</f>
        <v>NTEP</v>
      </c>
      <c r="F31" s="2057">
        <f>'7.Referral Transport Annex'!F24</f>
        <v>0</v>
      </c>
      <c r="G31" s="2057">
        <f>'7.Referral Transport Annex'!G24</f>
        <v>0</v>
      </c>
      <c r="H31" s="2057">
        <f>'7.Referral Transport Annex'!H24</f>
        <v>0</v>
      </c>
      <c r="I31" s="2057">
        <f>'7.Referral Transport Annex'!I24</f>
        <v>0</v>
      </c>
      <c r="J31" s="2057">
        <f>'7.Referral Transport Annex'!J24</f>
        <v>0</v>
      </c>
      <c r="K31" s="2057">
        <f>'7.Referral Transport Annex'!K24</f>
        <v>0</v>
      </c>
      <c r="L31" s="2057">
        <f>'7.Referral Transport Annex'!L24</f>
        <v>0</v>
      </c>
      <c r="M31" s="939">
        <f>'7.Referral Transport Annex'!M24</f>
        <v>0</v>
      </c>
      <c r="N31" s="2057">
        <f>'7.Referral Transport Annex'!N24</f>
        <v>0</v>
      </c>
      <c r="O31" s="939">
        <f>'7.Referral Transport Annex'!O24</f>
        <v>0</v>
      </c>
      <c r="P31" s="2058">
        <f>'7.Referral Transport Annex'!P24</f>
        <v>0</v>
      </c>
      <c r="Q31" s="195"/>
      <c r="R31" s="1906"/>
    </row>
    <row r="32" spans="1:18" x14ac:dyDescent="0.2">
      <c r="A32" s="1997">
        <f>'9.Training Annex'!A7</f>
        <v>9</v>
      </c>
      <c r="B32" s="1997"/>
      <c r="C32" s="1997" t="str">
        <f>'9.Training Annex'!C7</f>
        <v>Training and Capacity Building</v>
      </c>
      <c r="D32" s="1996"/>
      <c r="E32" s="1996"/>
      <c r="F32" s="1996"/>
      <c r="G32" s="1996"/>
      <c r="H32" s="969"/>
      <c r="I32" s="1996"/>
      <c r="J32" s="969"/>
      <c r="K32" s="1997"/>
      <c r="L32" s="1997"/>
      <c r="M32" s="969"/>
      <c r="N32" s="969"/>
      <c r="O32" s="969">
        <f>SUM(O33:O35)</f>
        <v>0</v>
      </c>
      <c r="P32" s="2056"/>
      <c r="Q32" s="132"/>
      <c r="R32" s="132">
        <f>SUM(R33:R35)</f>
        <v>0</v>
      </c>
    </row>
    <row r="33" spans="1:18" ht="30" x14ac:dyDescent="0.2">
      <c r="A33" s="4080" t="str">
        <f>'9.Training Annex'!A50</f>
        <v>9.2.3.4</v>
      </c>
      <c r="B33" s="2002" t="str">
        <f>'9-A.Training Sub-Annex'!C232</f>
        <v>H.6</v>
      </c>
      <c r="C33" s="103" t="str">
        <f>'9-A.Training Sub-Annex'!D232</f>
        <v>Trainings under NTEP</v>
      </c>
      <c r="D33" s="2002" t="str">
        <f>'9-A.Training Sub-Annex'!E232</f>
        <v>NDCP</v>
      </c>
      <c r="E33" s="2002" t="str">
        <f>'9-A.Training Sub-Annex'!F232</f>
        <v>NTEP</v>
      </c>
      <c r="F33" s="2055">
        <f>'9-A.Training Sub-Annex'!G232</f>
        <v>0</v>
      </c>
      <c r="G33" s="2055">
        <f>'9-A.Training Sub-Annex'!H232</f>
        <v>0</v>
      </c>
      <c r="H33" s="2055">
        <f>'9-A.Training Sub-Annex'!I232</f>
        <v>0</v>
      </c>
      <c r="I33" s="2055">
        <f>'9-A.Training Sub-Annex'!J232</f>
        <v>0</v>
      </c>
      <c r="J33" s="2055">
        <f>'9-A.Training Sub-Annex'!K232</f>
        <v>0</v>
      </c>
      <c r="K33" s="2055">
        <f>'9-A.Training Sub-Annex'!L232</f>
        <v>0</v>
      </c>
      <c r="L33" s="2055">
        <f>'9-A.Training Sub-Annex'!M232</f>
        <v>0</v>
      </c>
      <c r="M33" s="178">
        <f>'9-A.Training Sub-Annex'!N232</f>
        <v>0</v>
      </c>
      <c r="N33" s="2055">
        <f>'9-A.Training Sub-Annex'!O232</f>
        <v>0</v>
      </c>
      <c r="O33" s="178">
        <f>'9-A.Training Sub-Annex'!P232</f>
        <v>0</v>
      </c>
      <c r="P33" s="2059">
        <f>'9-A.Training Sub-Annex'!Q232</f>
        <v>0</v>
      </c>
      <c r="Q33" s="3342"/>
      <c r="R33" s="159"/>
    </row>
    <row r="34" spans="1:18" ht="30" x14ac:dyDescent="0.2">
      <c r="A34" s="4081"/>
      <c r="B34" s="2002" t="str">
        <f>'9-A.Training Sub-Annex'!C233</f>
        <v>H.10</v>
      </c>
      <c r="C34" s="103" t="str">
        <f>'9-A.Training Sub-Annex'!D233</f>
        <v>CME (Medical Colleges)</v>
      </c>
      <c r="D34" s="2002" t="str">
        <f>'9-A.Training Sub-Annex'!E233</f>
        <v>NDCP</v>
      </c>
      <c r="E34" s="2002" t="str">
        <f>'9-A.Training Sub-Annex'!F233</f>
        <v>NTEP</v>
      </c>
      <c r="F34" s="2055">
        <f>'9-A.Training Sub-Annex'!G233</f>
        <v>0</v>
      </c>
      <c r="G34" s="2055">
        <f>'9-A.Training Sub-Annex'!H233</f>
        <v>0</v>
      </c>
      <c r="H34" s="2055">
        <f>'9-A.Training Sub-Annex'!I233</f>
        <v>0</v>
      </c>
      <c r="I34" s="2055">
        <f>'9-A.Training Sub-Annex'!J233</f>
        <v>0</v>
      </c>
      <c r="J34" s="2055">
        <f>'9-A.Training Sub-Annex'!K233</f>
        <v>0</v>
      </c>
      <c r="K34" s="2055">
        <f>'9-A.Training Sub-Annex'!L233</f>
        <v>0</v>
      </c>
      <c r="L34" s="2055">
        <f>'9-A.Training Sub-Annex'!M233</f>
        <v>0</v>
      </c>
      <c r="M34" s="178">
        <f>'9-A.Training Sub-Annex'!N233</f>
        <v>0</v>
      </c>
      <c r="N34" s="2055">
        <f>'9-A.Training Sub-Annex'!O233</f>
        <v>0</v>
      </c>
      <c r="O34" s="178">
        <f>'9-A.Training Sub-Annex'!P233</f>
        <v>0</v>
      </c>
      <c r="P34" s="2059">
        <f>'9-A.Training Sub-Annex'!Q233</f>
        <v>0</v>
      </c>
      <c r="Q34" s="3342"/>
      <c r="R34" s="159"/>
    </row>
    <row r="35" spans="1:18" ht="30" x14ac:dyDescent="0.2">
      <c r="A35" s="4082"/>
      <c r="B35" s="2002"/>
      <c r="C35" s="103" t="str">
        <f>'9-A.Training Sub-Annex'!D234</f>
        <v>Any other (please specify)</v>
      </c>
      <c r="D35" s="2002" t="str">
        <f>'9-A.Training Sub-Annex'!E234</f>
        <v>NDCP</v>
      </c>
      <c r="E35" s="2002" t="str">
        <f>'9-A.Training Sub-Annex'!F234</f>
        <v>NTEP</v>
      </c>
      <c r="F35" s="2055">
        <f>'9-A.Training Sub-Annex'!G234</f>
        <v>0</v>
      </c>
      <c r="G35" s="2055">
        <f>'9-A.Training Sub-Annex'!H234</f>
        <v>0</v>
      </c>
      <c r="H35" s="2055">
        <f>'9-A.Training Sub-Annex'!I234</f>
        <v>0</v>
      </c>
      <c r="I35" s="2055">
        <f>'9-A.Training Sub-Annex'!J234</f>
        <v>0</v>
      </c>
      <c r="J35" s="2055">
        <f>'9-A.Training Sub-Annex'!K234</f>
        <v>0</v>
      </c>
      <c r="K35" s="2055">
        <f>'9-A.Training Sub-Annex'!L234</f>
        <v>0</v>
      </c>
      <c r="L35" s="2055">
        <f>'9-A.Training Sub-Annex'!M234</f>
        <v>0</v>
      </c>
      <c r="M35" s="178">
        <f>'9-A.Training Sub-Annex'!N234</f>
        <v>0</v>
      </c>
      <c r="N35" s="2055">
        <f>'9-A.Training Sub-Annex'!O234</f>
        <v>0</v>
      </c>
      <c r="O35" s="178">
        <f>'9-A.Training Sub-Annex'!P234</f>
        <v>0</v>
      </c>
      <c r="P35" s="2059">
        <f>'9-A.Training Sub-Annex'!Q234</f>
        <v>0</v>
      </c>
      <c r="Q35" s="171"/>
      <c r="R35" s="159"/>
    </row>
    <row r="36" spans="1:18" x14ac:dyDescent="0.2">
      <c r="A36" s="1997">
        <f>'10.Review Research &amp; Surveillen'!A7</f>
        <v>10</v>
      </c>
      <c r="B36" s="1997"/>
      <c r="C36" s="1997" t="str">
        <f>'10.Review Research &amp; Surveillen'!C7</f>
        <v>Reviews, Research, Surveys and Surveillance</v>
      </c>
      <c r="D36" s="1996"/>
      <c r="E36" s="1996"/>
      <c r="F36" s="1996"/>
      <c r="G36" s="1996"/>
      <c r="H36" s="969"/>
      <c r="I36" s="1996"/>
      <c r="J36" s="969"/>
      <c r="K36" s="1997"/>
      <c r="L36" s="1997"/>
      <c r="M36" s="969"/>
      <c r="N36" s="969"/>
      <c r="O36" s="969">
        <f>SUM(O37:O39)</f>
        <v>0</v>
      </c>
      <c r="P36" s="2056"/>
      <c r="Q36" s="132"/>
      <c r="R36" s="132">
        <f>SUM(R37:R39)</f>
        <v>0</v>
      </c>
    </row>
    <row r="37" spans="1:18" ht="30" x14ac:dyDescent="0.2">
      <c r="A37" s="2041" t="str">
        <f>'10.Review Research &amp; Surveillen'!A25</f>
        <v>10.2.8</v>
      </c>
      <c r="B37" s="2041" t="str">
        <f>'10.Review Research &amp; Surveillen'!B25</f>
        <v>H.14</v>
      </c>
      <c r="C37" s="2014" t="str">
        <f>'10.Review Research &amp; Surveillen'!C25</f>
        <v>Research &amp; Studies &amp; Consultancy</v>
      </c>
      <c r="D37" s="2041" t="str">
        <f>'10.Review Research &amp; Surveillen'!D25</f>
        <v>NDCP</v>
      </c>
      <c r="E37" s="2041" t="str">
        <f>'10.Review Research &amp; Surveillen'!E25</f>
        <v>NTEP</v>
      </c>
      <c r="F37" s="2055">
        <f>'10.Review Research &amp; Surveillen'!F25</f>
        <v>0</v>
      </c>
      <c r="G37" s="2055">
        <f>'10.Review Research &amp; Surveillen'!G25</f>
        <v>0</v>
      </c>
      <c r="H37" s="2055">
        <f>'10.Review Research &amp; Surveillen'!H25</f>
        <v>0</v>
      </c>
      <c r="I37" s="2055">
        <f>'10.Review Research &amp; Surveillen'!I25</f>
        <v>0</v>
      </c>
      <c r="J37" s="2055">
        <f>'10.Review Research &amp; Surveillen'!J25</f>
        <v>0</v>
      </c>
      <c r="K37" s="2055">
        <f>'10.Review Research &amp; Surveillen'!K25</f>
        <v>0</v>
      </c>
      <c r="L37" s="2055">
        <f>'10.Review Research &amp; Surveillen'!L25</f>
        <v>0</v>
      </c>
      <c r="M37" s="178">
        <f>'10.Review Research &amp; Surveillen'!M25</f>
        <v>0</v>
      </c>
      <c r="N37" s="2055">
        <f>'10.Review Research &amp; Surveillen'!N25</f>
        <v>0</v>
      </c>
      <c r="O37" s="178">
        <f>'10.Review Research &amp; Surveillen'!O25</f>
        <v>0</v>
      </c>
      <c r="P37" s="2059">
        <f>'10.Review Research &amp; Surveillen'!P25</f>
        <v>0</v>
      </c>
      <c r="Q37" s="3342"/>
      <c r="R37" s="159"/>
    </row>
    <row r="38" spans="1:18" ht="30" x14ac:dyDescent="0.2">
      <c r="A38" s="2041" t="str">
        <f>'10.Review Research &amp; Surveillen'!A26</f>
        <v>10.2.9</v>
      </c>
      <c r="B38" s="2041" t="str">
        <f>'10.Review Research &amp; Surveillen'!B26</f>
        <v>H.10</v>
      </c>
      <c r="C38" s="2014" t="str">
        <f>'10.Review Research &amp; Surveillen'!C26</f>
        <v>Research for medical colleges</v>
      </c>
      <c r="D38" s="2041" t="str">
        <f>'10.Review Research &amp; Surveillen'!D26</f>
        <v>NDCP</v>
      </c>
      <c r="E38" s="2041" t="str">
        <f>'10.Review Research &amp; Surveillen'!E26</f>
        <v>NTEP</v>
      </c>
      <c r="F38" s="2055">
        <f>'10.Review Research &amp; Surveillen'!F26</f>
        <v>0</v>
      </c>
      <c r="G38" s="2055">
        <f>'10.Review Research &amp; Surveillen'!G26</f>
        <v>0</v>
      </c>
      <c r="H38" s="2055">
        <f>'10.Review Research &amp; Surveillen'!H26</f>
        <v>0</v>
      </c>
      <c r="I38" s="2055">
        <f>'10.Review Research &amp; Surveillen'!I26</f>
        <v>0</v>
      </c>
      <c r="J38" s="2055">
        <f>'10.Review Research &amp; Surveillen'!J26</f>
        <v>0</v>
      </c>
      <c r="K38" s="2055">
        <f>'10.Review Research &amp; Surveillen'!K26</f>
        <v>0</v>
      </c>
      <c r="L38" s="2055">
        <f>'10.Review Research &amp; Surveillen'!L26</f>
        <v>0</v>
      </c>
      <c r="M38" s="178">
        <f>'10.Review Research &amp; Surveillen'!M26</f>
        <v>0</v>
      </c>
      <c r="N38" s="2055">
        <f>'10.Review Research &amp; Surveillen'!N26</f>
        <v>0</v>
      </c>
      <c r="O38" s="178">
        <f>'10.Review Research &amp; Surveillen'!O26</f>
        <v>0</v>
      </c>
      <c r="P38" s="2059">
        <f>'10.Review Research &amp; Surveillen'!P26</f>
        <v>0</v>
      </c>
      <c r="Q38" s="3342"/>
      <c r="R38" s="159"/>
    </row>
    <row r="39" spans="1:18" ht="30" x14ac:dyDescent="0.2">
      <c r="A39" s="2041" t="str">
        <f>'10.Review Research &amp; Surveillen'!A56</f>
        <v>10.5.1</v>
      </c>
      <c r="B39" s="2041">
        <f>'10.Review Research &amp; Surveillen'!B56</f>
        <v>0</v>
      </c>
      <c r="C39" s="2014" t="str">
        <f>'10.Review Research &amp; Surveillen'!C56</f>
        <v>Sub-national Disease Free Certification: Tuberculosis</v>
      </c>
      <c r="D39" s="2041" t="str">
        <f>'10.Review Research &amp; Surveillen'!D56</f>
        <v>NDCP</v>
      </c>
      <c r="E39" s="2041" t="str">
        <f>'10.Review Research &amp; Surveillen'!E56</f>
        <v>NTEP</v>
      </c>
      <c r="F39" s="2055">
        <f>'10.Review Research &amp; Surveillen'!F56</f>
        <v>0</v>
      </c>
      <c r="G39" s="2055">
        <f>'10.Review Research &amp; Surveillen'!G56</f>
        <v>0</v>
      </c>
      <c r="H39" s="2055">
        <f>'10.Review Research &amp; Surveillen'!H56</f>
        <v>0</v>
      </c>
      <c r="I39" s="2055">
        <f>'10.Review Research &amp; Surveillen'!I56</f>
        <v>0</v>
      </c>
      <c r="J39" s="2055">
        <f>'10.Review Research &amp; Surveillen'!J56</f>
        <v>0</v>
      </c>
      <c r="K39" s="2055">
        <f>'10.Review Research &amp; Surveillen'!K56</f>
        <v>0</v>
      </c>
      <c r="L39" s="2055">
        <f>'10.Review Research &amp; Surveillen'!L56</f>
        <v>0</v>
      </c>
      <c r="M39" s="178">
        <f>'10.Review Research &amp; Surveillen'!M56</f>
        <v>0</v>
      </c>
      <c r="N39" s="2055">
        <f>'10.Review Research &amp; Surveillen'!N56</f>
        <v>0</v>
      </c>
      <c r="O39" s="178">
        <f>'10.Review Research &amp; Surveillen'!O56</f>
        <v>0</v>
      </c>
      <c r="P39" s="2059">
        <f>'10.Review Research &amp; Surveillen'!P56</f>
        <v>0</v>
      </c>
      <c r="Q39" s="3342"/>
      <c r="R39" s="159"/>
    </row>
    <row r="40" spans="1:18" x14ac:dyDescent="0.2">
      <c r="A40" s="1997">
        <f>'11.IEC-BCC Annex'!A7</f>
        <v>11</v>
      </c>
      <c r="B40" s="1997"/>
      <c r="C40" s="1997" t="str">
        <f>'11.IEC-BCC Annex'!C7</f>
        <v>IEC/BCC</v>
      </c>
      <c r="D40" s="1996"/>
      <c r="E40" s="1996"/>
      <c r="F40" s="1996"/>
      <c r="G40" s="1996"/>
      <c r="H40" s="969"/>
      <c r="I40" s="1996"/>
      <c r="J40" s="969"/>
      <c r="K40" s="1997"/>
      <c r="L40" s="1997"/>
      <c r="M40" s="969"/>
      <c r="N40" s="969"/>
      <c r="O40" s="969">
        <f>SUM(O41:O43)</f>
        <v>0</v>
      </c>
      <c r="P40" s="2056"/>
      <c r="Q40" s="132"/>
      <c r="R40" s="132">
        <f>SUM(R41:R43)</f>
        <v>0</v>
      </c>
    </row>
    <row r="41" spans="1:18" ht="30" x14ac:dyDescent="0.2">
      <c r="A41" s="4080" t="str">
        <f>'11.IEC-BCC Annex'!A26</f>
        <v>11.3.2</v>
      </c>
      <c r="B41" s="2002" t="str">
        <f>'11-A. IEC Sub-Annex'!C70</f>
        <v>H.4</v>
      </c>
      <c r="C41" s="103" t="str">
        <f>'11-A. IEC Sub-Annex'!D70</f>
        <v>ACSM (State &amp; district)</v>
      </c>
      <c r="D41" s="2002" t="str">
        <f>'11-A. IEC Sub-Annex'!E70</f>
        <v>NDCP</v>
      </c>
      <c r="E41" s="2002" t="str">
        <f>'11-A. IEC Sub-Annex'!F70</f>
        <v>NTEP</v>
      </c>
      <c r="F41" s="2055">
        <f>'11-A. IEC Sub-Annex'!G70</f>
        <v>0</v>
      </c>
      <c r="G41" s="2055">
        <f>'11-A. IEC Sub-Annex'!H70</f>
        <v>0</v>
      </c>
      <c r="H41" s="2055">
        <f>'11-A. IEC Sub-Annex'!I70</f>
        <v>0</v>
      </c>
      <c r="I41" s="2055">
        <f>'11-A. IEC Sub-Annex'!J70</f>
        <v>0</v>
      </c>
      <c r="J41" s="2055">
        <f>'11-A. IEC Sub-Annex'!K70</f>
        <v>0</v>
      </c>
      <c r="K41" s="2055">
        <f>'11-A. IEC Sub-Annex'!L70</f>
        <v>0</v>
      </c>
      <c r="L41" s="2055">
        <f>'11-A. IEC Sub-Annex'!M70</f>
        <v>0</v>
      </c>
      <c r="M41" s="178">
        <f>'11-A. IEC Sub-Annex'!N70</f>
        <v>0</v>
      </c>
      <c r="N41" s="2055">
        <f>'11-A. IEC Sub-Annex'!O70</f>
        <v>0</v>
      </c>
      <c r="O41" s="178">
        <f>'11-A. IEC Sub-Annex'!P70</f>
        <v>0</v>
      </c>
      <c r="P41" s="2059">
        <f>'11-A. IEC Sub-Annex'!Q70</f>
        <v>0</v>
      </c>
      <c r="Q41" s="3342"/>
      <c r="R41" s="159"/>
    </row>
    <row r="42" spans="1:18" ht="30" x14ac:dyDescent="0.2">
      <c r="A42" s="4081"/>
      <c r="B42" s="2002">
        <f>'11-A. IEC Sub-Annex'!C71</f>
        <v>0</v>
      </c>
      <c r="C42" s="103" t="str">
        <f>'11-A. IEC Sub-Annex'!D71</f>
        <v>TB Harega Desh Jeetega' Campaign</v>
      </c>
      <c r="D42" s="2002" t="str">
        <f>'11-A. IEC Sub-Annex'!E71</f>
        <v>NDCP</v>
      </c>
      <c r="E42" s="2002" t="str">
        <f>'11-A. IEC Sub-Annex'!F71</f>
        <v>NTEP</v>
      </c>
      <c r="F42" s="2055">
        <f>'11-A. IEC Sub-Annex'!G71</f>
        <v>0</v>
      </c>
      <c r="G42" s="2055">
        <f>'11-A. IEC Sub-Annex'!H71</f>
        <v>0</v>
      </c>
      <c r="H42" s="2055">
        <f>'11-A. IEC Sub-Annex'!I71</f>
        <v>0</v>
      </c>
      <c r="I42" s="2055">
        <f>'11-A. IEC Sub-Annex'!J71</f>
        <v>0</v>
      </c>
      <c r="J42" s="2055">
        <f>'11-A. IEC Sub-Annex'!K71</f>
        <v>0</v>
      </c>
      <c r="K42" s="2055">
        <f>'11-A. IEC Sub-Annex'!L71</f>
        <v>0</v>
      </c>
      <c r="L42" s="2055">
        <f>'11-A. IEC Sub-Annex'!M71</f>
        <v>0</v>
      </c>
      <c r="M42" s="178">
        <f>'11-A. IEC Sub-Annex'!N71</f>
        <v>0</v>
      </c>
      <c r="N42" s="2055">
        <f>'11-A. IEC Sub-Annex'!O71</f>
        <v>0</v>
      </c>
      <c r="O42" s="178">
        <f>'11-A. IEC Sub-Annex'!P71</f>
        <v>0</v>
      </c>
      <c r="P42" s="2059">
        <f>'11-A. IEC Sub-Annex'!Q71</f>
        <v>0</v>
      </c>
      <c r="Q42" s="3342"/>
      <c r="R42" s="159"/>
    </row>
    <row r="43" spans="1:18" ht="30" x14ac:dyDescent="0.2">
      <c r="A43" s="4082"/>
      <c r="B43" s="2002">
        <f>'11-A. IEC Sub-Annex'!C72</f>
        <v>0</v>
      </c>
      <c r="C43" s="103" t="str">
        <f>'11-A. IEC Sub-Annex'!D72</f>
        <v>Any other IEC/BCC activities (please specify)</v>
      </c>
      <c r="D43" s="2002" t="str">
        <f>'11-A. IEC Sub-Annex'!E72</f>
        <v>NDCP</v>
      </c>
      <c r="E43" s="2002" t="str">
        <f>'11-A. IEC Sub-Annex'!F72</f>
        <v>NTEP</v>
      </c>
      <c r="F43" s="2055">
        <f>'11-A. IEC Sub-Annex'!G72</f>
        <v>0</v>
      </c>
      <c r="G43" s="2055">
        <f>'11-A. IEC Sub-Annex'!H72</f>
        <v>0</v>
      </c>
      <c r="H43" s="2055">
        <f>'11-A. IEC Sub-Annex'!I72</f>
        <v>0</v>
      </c>
      <c r="I43" s="2055">
        <f>'11-A. IEC Sub-Annex'!J72</f>
        <v>0</v>
      </c>
      <c r="J43" s="2055">
        <f>'11-A. IEC Sub-Annex'!K72</f>
        <v>0</v>
      </c>
      <c r="K43" s="2055">
        <f>'11-A. IEC Sub-Annex'!L72</f>
        <v>0</v>
      </c>
      <c r="L43" s="2055">
        <f>'11-A. IEC Sub-Annex'!M72</f>
        <v>0</v>
      </c>
      <c r="M43" s="178">
        <f>'11-A. IEC Sub-Annex'!N72</f>
        <v>0</v>
      </c>
      <c r="N43" s="2055">
        <f>'11-A. IEC Sub-Annex'!O72</f>
        <v>0</v>
      </c>
      <c r="O43" s="178">
        <f>'11-A. IEC Sub-Annex'!P72</f>
        <v>0</v>
      </c>
      <c r="P43" s="2059">
        <f>'11-A. IEC Sub-Annex'!Q72</f>
        <v>0</v>
      </c>
      <c r="Q43" s="171"/>
      <c r="R43" s="159"/>
    </row>
    <row r="44" spans="1:18" x14ac:dyDescent="0.2">
      <c r="A44" s="1997">
        <f>'12.Printing Annex'!A7</f>
        <v>12</v>
      </c>
      <c r="B44" s="1997"/>
      <c r="C44" s="1997" t="str">
        <f>'12.Printing Annex'!C7</f>
        <v>Printing</v>
      </c>
      <c r="D44" s="1996"/>
      <c r="E44" s="1996"/>
      <c r="F44" s="1996"/>
      <c r="G44" s="1996"/>
      <c r="H44" s="969"/>
      <c r="I44" s="1996"/>
      <c r="J44" s="969"/>
      <c r="K44" s="1997"/>
      <c r="L44" s="1997"/>
      <c r="M44" s="969"/>
      <c r="N44" s="969"/>
      <c r="O44" s="969">
        <f>SUM(O45:O46)</f>
        <v>0</v>
      </c>
      <c r="P44" s="2056"/>
      <c r="Q44" s="132"/>
      <c r="R44" s="132">
        <f>SUM(R45:R46)</f>
        <v>0</v>
      </c>
    </row>
    <row r="45" spans="1:18" ht="30" x14ac:dyDescent="0.2">
      <c r="A45" s="4080" t="str">
        <f>'12.Printing Annex'!A28</f>
        <v>12.3.3</v>
      </c>
      <c r="B45" s="2002" t="str">
        <f>'12-A. Print Sub-Annex'!C85</f>
        <v>H.4</v>
      </c>
      <c r="C45" s="103" t="str">
        <f>'12-A. Print Sub-Annex'!D85</f>
        <v>Printing (ACSM)</v>
      </c>
      <c r="D45" s="2002" t="str">
        <f>'12-A. Print Sub-Annex'!E85</f>
        <v>NDCP</v>
      </c>
      <c r="E45" s="2002" t="str">
        <f>'12-A. Print Sub-Annex'!F85</f>
        <v>NTEP</v>
      </c>
      <c r="F45" s="2055">
        <f>'12-A. Print Sub-Annex'!G85</f>
        <v>0</v>
      </c>
      <c r="G45" s="2055">
        <f>'12-A. Print Sub-Annex'!H85</f>
        <v>0</v>
      </c>
      <c r="H45" s="2055">
        <f>'12-A. Print Sub-Annex'!I85</f>
        <v>0</v>
      </c>
      <c r="I45" s="2055">
        <f>'12-A. Print Sub-Annex'!J85</f>
        <v>0</v>
      </c>
      <c r="J45" s="2055">
        <f>'12-A. Print Sub-Annex'!K85</f>
        <v>0</v>
      </c>
      <c r="K45" s="2055">
        <f>'12-A. Print Sub-Annex'!L85</f>
        <v>0</v>
      </c>
      <c r="L45" s="2055">
        <f>'12-A. Print Sub-Annex'!M85</f>
        <v>0</v>
      </c>
      <c r="M45" s="178">
        <f>'12-A. Print Sub-Annex'!N85</f>
        <v>0</v>
      </c>
      <c r="N45" s="2055">
        <f>'12-A. Print Sub-Annex'!O85</f>
        <v>0</v>
      </c>
      <c r="O45" s="178">
        <f>'12-A. Print Sub-Annex'!P85</f>
        <v>0</v>
      </c>
      <c r="P45" s="2059">
        <f>'12-A. Print Sub-Annex'!Q85</f>
        <v>0</v>
      </c>
      <c r="Q45" s="3342"/>
      <c r="R45" s="159"/>
    </row>
    <row r="46" spans="1:18" ht="30" x14ac:dyDescent="0.2">
      <c r="A46" s="4082"/>
      <c r="B46" s="2002" t="str">
        <f>'12-A. Print Sub-Annex'!C86</f>
        <v>H.13</v>
      </c>
      <c r="C46" s="103" t="str">
        <f>'12-A. Print Sub-Annex'!D86</f>
        <v>Printing</v>
      </c>
      <c r="D46" s="2002" t="str">
        <f>'12-A. Print Sub-Annex'!E86</f>
        <v>NDCP</v>
      </c>
      <c r="E46" s="2002" t="str">
        <f>'12-A. Print Sub-Annex'!F86</f>
        <v>NTEP</v>
      </c>
      <c r="F46" s="2055">
        <f>'12-A. Print Sub-Annex'!G86</f>
        <v>0</v>
      </c>
      <c r="G46" s="2055">
        <f>'12-A. Print Sub-Annex'!H86</f>
        <v>0</v>
      </c>
      <c r="H46" s="2055">
        <f>'12-A. Print Sub-Annex'!I86</f>
        <v>0</v>
      </c>
      <c r="I46" s="2055">
        <f>'12-A. Print Sub-Annex'!J86</f>
        <v>0</v>
      </c>
      <c r="J46" s="2055">
        <f>'12-A. Print Sub-Annex'!K86</f>
        <v>0</v>
      </c>
      <c r="K46" s="2055">
        <f>'12-A. Print Sub-Annex'!L86</f>
        <v>0</v>
      </c>
      <c r="L46" s="2055">
        <f>'12-A. Print Sub-Annex'!M86</f>
        <v>0</v>
      </c>
      <c r="M46" s="178">
        <f>'12-A. Print Sub-Annex'!N86</f>
        <v>0</v>
      </c>
      <c r="N46" s="2055">
        <f>'12-A. Print Sub-Annex'!O86</f>
        <v>0</v>
      </c>
      <c r="O46" s="178">
        <f>'12-A. Print Sub-Annex'!P86</f>
        <v>0</v>
      </c>
      <c r="P46" s="2059">
        <f>'12-A. Print Sub-Annex'!Q86</f>
        <v>0</v>
      </c>
      <c r="Q46" s="3342"/>
      <c r="R46" s="159"/>
    </row>
    <row r="47" spans="1:18" x14ac:dyDescent="0.2">
      <c r="A47" s="356">
        <f>'14.Drug warehouse &amp;Logistic Anx'!A7</f>
        <v>14</v>
      </c>
      <c r="B47" s="356"/>
      <c r="C47" s="356" t="str">
        <f>'14.Drug warehouse &amp;Logistic Anx'!C7</f>
        <v>Drug Warehousing and Logistics</v>
      </c>
      <c r="D47" s="1842"/>
      <c r="E47" s="1842"/>
      <c r="F47" s="1842"/>
      <c r="G47" s="1842"/>
      <c r="H47" s="969"/>
      <c r="I47" s="1842"/>
      <c r="J47" s="969"/>
      <c r="K47" s="356"/>
      <c r="L47" s="356"/>
      <c r="M47" s="969"/>
      <c r="N47" s="969"/>
      <c r="O47" s="969">
        <f>SUM(O48:O50)</f>
        <v>0</v>
      </c>
      <c r="P47" s="2056"/>
      <c r="Q47" s="132"/>
      <c r="R47" s="132">
        <f>SUM(R48:R50)</f>
        <v>0</v>
      </c>
    </row>
    <row r="48" spans="1:18" x14ac:dyDescent="0.2">
      <c r="A48" s="2002" t="str">
        <f>'14.Drug warehouse &amp;Logistic Anx'!A11</f>
        <v>14.1.1.2</v>
      </c>
      <c r="B48" s="2002" t="str">
        <f>'14.Drug warehouse &amp;Logistic Anx'!B11</f>
        <v>B.30.1.7/H.12</v>
      </c>
      <c r="C48" s="103" t="str">
        <f>'14.Drug warehouse &amp;Logistic Anx'!C11</f>
        <v>Human resources for NTEP drug store</v>
      </c>
      <c r="D48" s="2002" t="str">
        <f>'14.Drug warehouse &amp;Logistic Anx'!D11</f>
        <v>HSS</v>
      </c>
      <c r="E48" s="2002" t="str">
        <f>'14.Drug warehouse &amp;Logistic Anx'!E11</f>
        <v>NTEP/ HRH</v>
      </c>
      <c r="F48" s="2055">
        <f>'14.Drug warehouse &amp;Logistic Anx'!F11</f>
        <v>0</v>
      </c>
      <c r="G48" s="2055">
        <f>'14.Drug warehouse &amp;Logistic Anx'!G11</f>
        <v>0</v>
      </c>
      <c r="H48" s="2055">
        <f>'14.Drug warehouse &amp;Logistic Anx'!H11</f>
        <v>0</v>
      </c>
      <c r="I48" s="2055">
        <f>'14.Drug warehouse &amp;Logistic Anx'!I11</f>
        <v>0</v>
      </c>
      <c r="J48" s="2055">
        <f>'14.Drug warehouse &amp;Logistic Anx'!J11</f>
        <v>0</v>
      </c>
      <c r="K48" s="2055">
        <f>'14.Drug warehouse &amp;Logistic Anx'!K11</f>
        <v>0</v>
      </c>
      <c r="L48" s="2055">
        <f>'14.Drug warehouse &amp;Logistic Anx'!L11</f>
        <v>0</v>
      </c>
      <c r="M48" s="178">
        <f>'14.Drug warehouse &amp;Logistic Anx'!M11</f>
        <v>0</v>
      </c>
      <c r="N48" s="2055">
        <f>'14.Drug warehouse &amp;Logistic Anx'!N11</f>
        <v>0</v>
      </c>
      <c r="O48" s="178">
        <f>'14.Drug warehouse &amp;Logistic Anx'!O11</f>
        <v>0</v>
      </c>
      <c r="P48" s="2059">
        <f>'14.Drug warehouse &amp;Logistic Anx'!P11</f>
        <v>0</v>
      </c>
      <c r="Q48" s="124"/>
      <c r="R48" s="1906"/>
    </row>
    <row r="49" spans="1:18" ht="30" x14ac:dyDescent="0.2">
      <c r="A49" s="2002" t="str">
        <f>'14.Drug warehouse &amp;Logistic Anx'!A29</f>
        <v>14.2.11</v>
      </c>
      <c r="B49" s="2002" t="str">
        <f>'14.Drug warehouse &amp;Logistic Anx'!B29</f>
        <v>H.8</v>
      </c>
      <c r="C49" s="103" t="str">
        <f>'14.Drug warehouse &amp;Logistic Anx'!C29</f>
        <v>Vehicle hiring for drug transportation</v>
      </c>
      <c r="D49" s="2002" t="str">
        <f>'14.Drug warehouse &amp;Logistic Anx'!D29</f>
        <v>NDCP</v>
      </c>
      <c r="E49" s="2002" t="str">
        <f>'14.Drug warehouse &amp;Logistic Anx'!E29</f>
        <v>NTEP</v>
      </c>
      <c r="F49" s="2055">
        <f>'14.Drug warehouse &amp;Logistic Anx'!F29</f>
        <v>0</v>
      </c>
      <c r="G49" s="2055">
        <f>'14.Drug warehouse &amp;Logistic Anx'!G29</f>
        <v>0</v>
      </c>
      <c r="H49" s="2055">
        <f>'14.Drug warehouse &amp;Logistic Anx'!H29</f>
        <v>0</v>
      </c>
      <c r="I49" s="2055">
        <f>'14.Drug warehouse &amp;Logistic Anx'!I29</f>
        <v>0</v>
      </c>
      <c r="J49" s="2055">
        <f>'14.Drug warehouse &amp;Logistic Anx'!J29</f>
        <v>0</v>
      </c>
      <c r="K49" s="2055">
        <f>'14.Drug warehouse &amp;Logistic Anx'!K29</f>
        <v>0</v>
      </c>
      <c r="L49" s="2055">
        <f>'14.Drug warehouse &amp;Logistic Anx'!L29</f>
        <v>0</v>
      </c>
      <c r="M49" s="178">
        <f>'14.Drug warehouse &amp;Logistic Anx'!M29</f>
        <v>0</v>
      </c>
      <c r="N49" s="2055">
        <f>'14.Drug warehouse &amp;Logistic Anx'!N29</f>
        <v>0</v>
      </c>
      <c r="O49" s="178">
        <f>'14.Drug warehouse &amp;Logistic Anx'!O29</f>
        <v>0</v>
      </c>
      <c r="P49" s="2059">
        <f>'14.Drug warehouse &amp;Logistic Anx'!P29</f>
        <v>0</v>
      </c>
      <c r="Q49" s="3342"/>
      <c r="R49" s="159"/>
    </row>
    <row r="50" spans="1:18" ht="30" x14ac:dyDescent="0.2">
      <c r="A50" s="2002" t="str">
        <f>'14.Drug warehouse &amp;Logistic Anx'!A30</f>
        <v>14.2.12</v>
      </c>
      <c r="B50" s="2002" t="str">
        <f>'14.Drug warehouse &amp;Logistic Anx'!B30</f>
        <v>H.11</v>
      </c>
      <c r="C50" s="103" t="str">
        <f>'14.Drug warehouse &amp;Logistic Anx'!C30</f>
        <v>Drug transportation charges</v>
      </c>
      <c r="D50" s="2002" t="str">
        <f>'14.Drug warehouse &amp;Logistic Anx'!D30</f>
        <v>NDCP</v>
      </c>
      <c r="E50" s="2002" t="str">
        <f>'14.Drug warehouse &amp;Logistic Anx'!E30</f>
        <v>NTEP</v>
      </c>
      <c r="F50" s="2055">
        <f>'14.Drug warehouse &amp;Logistic Anx'!F30</f>
        <v>0</v>
      </c>
      <c r="G50" s="2055">
        <f>'14.Drug warehouse &amp;Logistic Anx'!G30</f>
        <v>0</v>
      </c>
      <c r="H50" s="2055">
        <f>'14.Drug warehouse &amp;Logistic Anx'!H30</f>
        <v>0</v>
      </c>
      <c r="I50" s="2055">
        <f>'14.Drug warehouse &amp;Logistic Anx'!I30</f>
        <v>0</v>
      </c>
      <c r="J50" s="2055">
        <f>'14.Drug warehouse &amp;Logistic Anx'!J30</f>
        <v>0</v>
      </c>
      <c r="K50" s="2055">
        <f>'14.Drug warehouse &amp;Logistic Anx'!K30</f>
        <v>0</v>
      </c>
      <c r="L50" s="2055">
        <f>'14.Drug warehouse &amp;Logistic Anx'!L30</f>
        <v>0</v>
      </c>
      <c r="M50" s="178">
        <f>'14.Drug warehouse &amp;Logistic Anx'!M30</f>
        <v>0</v>
      </c>
      <c r="N50" s="2055">
        <f>'14.Drug warehouse &amp;Logistic Anx'!N30</f>
        <v>0</v>
      </c>
      <c r="O50" s="178">
        <f>'14.Drug warehouse &amp;Logistic Anx'!O30</f>
        <v>0</v>
      </c>
      <c r="P50" s="2059">
        <f>'14.Drug warehouse &amp;Logistic Anx'!P30</f>
        <v>0</v>
      </c>
      <c r="Q50" s="3342"/>
      <c r="R50" s="159"/>
    </row>
    <row r="51" spans="1:18" x14ac:dyDescent="0.2">
      <c r="A51" s="1997">
        <f>'15.PPP Annex'!A7</f>
        <v>15</v>
      </c>
      <c r="B51" s="1997"/>
      <c r="C51" s="1997" t="str">
        <f>'15.PPP Annex'!C7</f>
        <v>PPP</v>
      </c>
      <c r="D51" s="1996"/>
      <c r="E51" s="1996"/>
      <c r="F51" s="1996"/>
      <c r="G51" s="1996"/>
      <c r="H51" s="969"/>
      <c r="I51" s="1996"/>
      <c r="J51" s="969"/>
      <c r="K51" s="1997"/>
      <c r="L51" s="1997"/>
      <c r="M51" s="969"/>
      <c r="N51" s="969"/>
      <c r="O51" s="969">
        <f>SUM(O52:O55)</f>
        <v>0</v>
      </c>
      <c r="P51" s="2056"/>
      <c r="Q51" s="132"/>
      <c r="R51" s="132">
        <f>SUM(R52:R55)</f>
        <v>0</v>
      </c>
    </row>
    <row r="52" spans="1:18" ht="30" x14ac:dyDescent="0.2">
      <c r="A52" s="2002" t="str">
        <f>'15.PPP Annex'!A27</f>
        <v>15.3.3.1</v>
      </c>
      <c r="B52" s="877" t="str">
        <f>'15.PPP Annex'!B27</f>
        <v>15.5.1.1</v>
      </c>
      <c r="C52" s="123" t="str">
        <f>'15.PPP Annex'!C27</f>
        <v>Any PPM-PP/NGO Support</v>
      </c>
      <c r="D52" s="877" t="str">
        <f>'15.PPP Annex'!D27</f>
        <v>NDCP</v>
      </c>
      <c r="E52" s="877" t="str">
        <f>'15.PPP Annex'!E27</f>
        <v>NTEP</v>
      </c>
      <c r="F52" s="2060">
        <f>'15.PPP Annex'!F27</f>
        <v>0</v>
      </c>
      <c r="G52" s="2060">
        <f>'15.PPP Annex'!G27</f>
        <v>0</v>
      </c>
      <c r="H52" s="2060">
        <f>'15.PPP Annex'!H27</f>
        <v>0</v>
      </c>
      <c r="I52" s="2060">
        <f>'15.PPP Annex'!I27</f>
        <v>0</v>
      </c>
      <c r="J52" s="2060">
        <f>'15.PPP Annex'!J27</f>
        <v>0</v>
      </c>
      <c r="K52" s="2060">
        <f>'15.PPP Annex'!K27</f>
        <v>0</v>
      </c>
      <c r="L52" s="2060">
        <f>'15.PPP Annex'!L27</f>
        <v>0</v>
      </c>
      <c r="M52" s="939">
        <f>'15.PPP Annex'!M27</f>
        <v>0</v>
      </c>
      <c r="N52" s="2060">
        <f>'15.PPP Annex'!N27</f>
        <v>0</v>
      </c>
      <c r="O52" s="939">
        <f>'15.PPP Annex'!O27</f>
        <v>0</v>
      </c>
      <c r="P52" s="2061">
        <f>'15.PPP Annex'!P27</f>
        <v>0</v>
      </c>
      <c r="Q52" s="3342"/>
      <c r="R52" s="159"/>
    </row>
    <row r="53" spans="1:18" ht="30" x14ac:dyDescent="0.2">
      <c r="A53" s="2002" t="str">
        <f>'15.PPP Annex'!A28</f>
        <v>15.3.3.2</v>
      </c>
      <c r="B53" s="877" t="str">
        <f>'15.PPP Annex'!B28</f>
        <v>15.5.2/ H.9.1</v>
      </c>
      <c r="C53" s="123" t="str">
        <f>'15.PPP Annex'!C28</f>
        <v>Public Private Support Agency (PPSA)</v>
      </c>
      <c r="D53" s="877" t="str">
        <f>'15.PPP Annex'!D28</f>
        <v>NDCP</v>
      </c>
      <c r="E53" s="877" t="str">
        <f>'15.PPP Annex'!E28</f>
        <v>NTEP</v>
      </c>
      <c r="F53" s="2060">
        <f>'15.PPP Annex'!F28</f>
        <v>0</v>
      </c>
      <c r="G53" s="2060">
        <f>'15.PPP Annex'!G28</f>
        <v>0</v>
      </c>
      <c r="H53" s="2060">
        <f>'15.PPP Annex'!H28</f>
        <v>0</v>
      </c>
      <c r="I53" s="2060">
        <f>'15.PPP Annex'!I28</f>
        <v>0</v>
      </c>
      <c r="J53" s="2060">
        <f>'15.PPP Annex'!J28</f>
        <v>0</v>
      </c>
      <c r="K53" s="2060">
        <f>'15.PPP Annex'!K28</f>
        <v>0</v>
      </c>
      <c r="L53" s="2060">
        <f>'15.PPP Annex'!L28</f>
        <v>0</v>
      </c>
      <c r="M53" s="939">
        <f>'15.PPP Annex'!M28</f>
        <v>0</v>
      </c>
      <c r="N53" s="2060">
        <f>'15.PPP Annex'!N28</f>
        <v>0</v>
      </c>
      <c r="O53" s="939">
        <f>'15.PPP Annex'!O28</f>
        <v>0</v>
      </c>
      <c r="P53" s="2061">
        <f>'15.PPP Annex'!P28</f>
        <v>0</v>
      </c>
      <c r="Q53" s="3342"/>
      <c r="R53" s="159"/>
    </row>
    <row r="54" spans="1:18" ht="30" x14ac:dyDescent="0.2">
      <c r="A54" s="2002" t="str">
        <f>'15.PPP Annex'!A29</f>
        <v>15.5.3</v>
      </c>
      <c r="B54" s="877" t="str">
        <f>'15.PPP Annex'!B29</f>
        <v>15.5.3/ H.9.2</v>
      </c>
      <c r="C54" s="123" t="str">
        <f>'15.PPP Annex'!C29</f>
        <v xml:space="preserve">Private Provider Incentive </v>
      </c>
      <c r="D54" s="877" t="str">
        <f>'15.PPP Annex'!D29</f>
        <v>NDCP</v>
      </c>
      <c r="E54" s="877" t="str">
        <f>'15.PPP Annex'!E29</f>
        <v>NTEP</v>
      </c>
      <c r="F54" s="2060">
        <f>'15.PPP Annex'!F29</f>
        <v>0</v>
      </c>
      <c r="G54" s="2060">
        <f>'15.PPP Annex'!G29</f>
        <v>0</v>
      </c>
      <c r="H54" s="2060">
        <f>'15.PPP Annex'!H29</f>
        <v>0</v>
      </c>
      <c r="I54" s="2060">
        <f>'15.PPP Annex'!I29</f>
        <v>0</v>
      </c>
      <c r="J54" s="2060">
        <f>'15.PPP Annex'!J29</f>
        <v>0</v>
      </c>
      <c r="K54" s="2060">
        <f>'15.PPP Annex'!K29</f>
        <v>0</v>
      </c>
      <c r="L54" s="2060">
        <f>'15.PPP Annex'!L29</f>
        <v>0</v>
      </c>
      <c r="M54" s="939">
        <f>'15.PPP Annex'!M29</f>
        <v>0</v>
      </c>
      <c r="N54" s="2060">
        <f>'15.PPP Annex'!N29</f>
        <v>0</v>
      </c>
      <c r="O54" s="939">
        <f>'15.PPP Annex'!O29</f>
        <v>0</v>
      </c>
      <c r="P54" s="2061">
        <f>'15.PPP Annex'!P29</f>
        <v>0</v>
      </c>
      <c r="Q54" s="3342"/>
      <c r="R54" s="159"/>
    </row>
    <row r="55" spans="1:18" ht="30" x14ac:dyDescent="0.2">
      <c r="A55" s="2002" t="str">
        <f>'15.PPP Annex'!A30</f>
        <v>15.3.3.4</v>
      </c>
      <c r="B55" s="2002" t="str">
        <f>'15.PPP Annex'!B30</f>
        <v>15.5.4</v>
      </c>
      <c r="C55" s="103" t="str">
        <f>'15.PPP Annex'!C30</f>
        <v>Multi-sectoral collaboration activities</v>
      </c>
      <c r="D55" s="2002" t="str">
        <f>'15.PPP Annex'!D30</f>
        <v>NDCP</v>
      </c>
      <c r="E55" s="2002" t="str">
        <f>'15.PPP Annex'!E30</f>
        <v>NTEP</v>
      </c>
      <c r="F55" s="2055">
        <f>'15.PPP Annex'!F30</f>
        <v>0</v>
      </c>
      <c r="G55" s="2055">
        <f>'15.PPP Annex'!G30</f>
        <v>0</v>
      </c>
      <c r="H55" s="2055">
        <f>'15.PPP Annex'!H30</f>
        <v>0</v>
      </c>
      <c r="I55" s="2055">
        <f>'15.PPP Annex'!I30</f>
        <v>0</v>
      </c>
      <c r="J55" s="2055">
        <f>'15.PPP Annex'!J30</f>
        <v>0</v>
      </c>
      <c r="K55" s="2055">
        <f>'15.PPP Annex'!K30</f>
        <v>0</v>
      </c>
      <c r="L55" s="2055">
        <f>'15.PPP Annex'!L30</f>
        <v>0</v>
      </c>
      <c r="M55" s="178">
        <f>'15.PPP Annex'!M30</f>
        <v>0</v>
      </c>
      <c r="N55" s="2055">
        <f>'15.PPP Annex'!N30</f>
        <v>0</v>
      </c>
      <c r="O55" s="178">
        <f>'15.PPP Annex'!O30</f>
        <v>0</v>
      </c>
      <c r="P55" s="2059">
        <f>'15.PPP Annex'!P30</f>
        <v>0</v>
      </c>
      <c r="Q55" s="171"/>
      <c r="R55" s="159"/>
    </row>
    <row r="56" spans="1:18" x14ac:dyDescent="0.2">
      <c r="A56" s="1883">
        <f>'16.PM Annex'!A7</f>
        <v>16</v>
      </c>
      <c r="B56" s="1883"/>
      <c r="C56" s="1883" t="str">
        <f>'16.PM Annex'!C7</f>
        <v>Programme Management</v>
      </c>
      <c r="D56" s="1901"/>
      <c r="E56" s="1901"/>
      <c r="F56" s="1901"/>
      <c r="G56" s="1901"/>
      <c r="H56" s="969"/>
      <c r="I56" s="1901"/>
      <c r="J56" s="969"/>
      <c r="K56" s="1883"/>
      <c r="L56" s="1883"/>
      <c r="M56" s="969"/>
      <c r="N56" s="969"/>
      <c r="O56" s="969">
        <f>SUM(O57:O63)</f>
        <v>0</v>
      </c>
      <c r="P56" s="2056"/>
      <c r="Q56" s="132"/>
      <c r="R56" s="132">
        <f>SUM(R57:R63)</f>
        <v>0</v>
      </c>
    </row>
    <row r="57" spans="1:18" ht="30" x14ac:dyDescent="0.2">
      <c r="A57" s="2002" t="str">
        <f>'16-A. PM sub Annex'!B42</f>
        <v>16.1.2.1.21</v>
      </c>
      <c r="B57" s="2002" t="str">
        <f>'16-A. PM sub Annex'!D42</f>
        <v>H.10</v>
      </c>
      <c r="C57" s="103" t="str">
        <f>'16-A. PM sub Annex'!E42</f>
        <v>Medical Colleges (Any meetings)</v>
      </c>
      <c r="D57" s="2002" t="str">
        <f>'16-A. PM sub Annex'!F42</f>
        <v>NDCP</v>
      </c>
      <c r="E57" s="2002" t="str">
        <f>'16-A. PM sub Annex'!G42</f>
        <v>HRH&amp;HPIP/NTEP</v>
      </c>
      <c r="F57" s="2055">
        <f>'16-A. PM sub Annex'!H42</f>
        <v>0</v>
      </c>
      <c r="G57" s="2055">
        <f>'16-A. PM sub Annex'!I42</f>
        <v>0</v>
      </c>
      <c r="H57" s="2055">
        <f>'16-A. PM sub Annex'!J42</f>
        <v>0</v>
      </c>
      <c r="I57" s="2055">
        <f>'16-A. PM sub Annex'!K42</f>
        <v>0</v>
      </c>
      <c r="J57" s="2055">
        <f>'16-A. PM sub Annex'!L42</f>
        <v>0</v>
      </c>
      <c r="K57" s="2055">
        <f>'16-A. PM sub Annex'!M42</f>
        <v>0</v>
      </c>
      <c r="L57" s="2055">
        <f>'16-A. PM sub Annex'!N42</f>
        <v>0</v>
      </c>
      <c r="M57" s="178">
        <f>'16-A. PM sub Annex'!O42</f>
        <v>0</v>
      </c>
      <c r="N57" s="2055">
        <f>'16-A. PM sub Annex'!P42</f>
        <v>0</v>
      </c>
      <c r="O57" s="178">
        <f>'16-A. PM sub Annex'!Q42</f>
        <v>0</v>
      </c>
      <c r="P57" s="2059">
        <f>'16-A. PM sub Annex'!R42</f>
        <v>0</v>
      </c>
      <c r="Q57" s="3342"/>
      <c r="R57" s="159"/>
    </row>
    <row r="58" spans="1:18" ht="30" x14ac:dyDescent="0.2">
      <c r="A58" s="2002" t="str">
        <f>'16-A. PM sub Annex'!B63</f>
        <v>16.1.2.2.13</v>
      </c>
      <c r="B58" s="2002" t="str">
        <f>'16-A. PM sub Annex'!D63</f>
        <v>H.19</v>
      </c>
      <c r="C58" s="103" t="str">
        <f>'16-A. PM sub Annex'!E63</f>
        <v>Supervision and Monitoring</v>
      </c>
      <c r="D58" s="2002" t="str">
        <f>'16-A. PM sub Annex'!F63</f>
        <v>NDCP</v>
      </c>
      <c r="E58" s="2002" t="str">
        <f>'16-A. PM sub Annex'!G63</f>
        <v>HRH&amp;HPIP/NTEP</v>
      </c>
      <c r="F58" s="2055">
        <f>'16-A. PM sub Annex'!H63</f>
        <v>0</v>
      </c>
      <c r="G58" s="2055">
        <f>'16-A. PM sub Annex'!I63</f>
        <v>0</v>
      </c>
      <c r="H58" s="2055">
        <f>'16-A. PM sub Annex'!J63</f>
        <v>0</v>
      </c>
      <c r="I58" s="2055">
        <f>'16-A. PM sub Annex'!K63</f>
        <v>0</v>
      </c>
      <c r="J58" s="2055">
        <f>'16-A. PM sub Annex'!L63</f>
        <v>0</v>
      </c>
      <c r="K58" s="2055">
        <f>'16-A. PM sub Annex'!M63</f>
        <v>0</v>
      </c>
      <c r="L58" s="2055">
        <f>'16-A. PM sub Annex'!N63</f>
        <v>0</v>
      </c>
      <c r="M58" s="178">
        <f>'16-A. PM sub Annex'!O63</f>
        <v>0</v>
      </c>
      <c r="N58" s="2055">
        <f>'16-A. PM sub Annex'!P63</f>
        <v>0</v>
      </c>
      <c r="O58" s="178">
        <f>'16-A. PM sub Annex'!Q63</f>
        <v>0</v>
      </c>
      <c r="P58" s="2059">
        <f>'16-A. PM sub Annex'!R63</f>
        <v>0</v>
      </c>
      <c r="Q58" s="3342"/>
      <c r="R58" s="159"/>
    </row>
    <row r="59" spans="1:18" ht="30" x14ac:dyDescent="0.2">
      <c r="A59" s="2002" t="str">
        <f>'16-A. PM sub Annex'!B82</f>
        <v>16.1.3.1.13</v>
      </c>
      <c r="B59" s="2002" t="str">
        <f>'16-A. PM sub Annex'!D82</f>
        <v>H.7</v>
      </c>
      <c r="C59" s="103" t="str">
        <f>'16-A. PM sub Annex'!E82</f>
        <v>Vehicle Operation (POL)</v>
      </c>
      <c r="D59" s="2002" t="str">
        <f>'16-A. PM sub Annex'!F82</f>
        <v>NDCP</v>
      </c>
      <c r="E59" s="2002" t="str">
        <f>'16-A. PM sub Annex'!G82</f>
        <v>HRH&amp;HPIP/NTEP</v>
      </c>
      <c r="F59" s="2055">
        <f>'16-A. PM sub Annex'!H82</f>
        <v>0</v>
      </c>
      <c r="G59" s="2055">
        <f>'16-A. PM sub Annex'!I82</f>
        <v>0</v>
      </c>
      <c r="H59" s="2055">
        <f>'16-A. PM sub Annex'!J82</f>
        <v>0</v>
      </c>
      <c r="I59" s="2055">
        <f>'16-A. PM sub Annex'!K82</f>
        <v>0</v>
      </c>
      <c r="J59" s="2055">
        <f>'16-A. PM sub Annex'!L82</f>
        <v>0</v>
      </c>
      <c r="K59" s="2055">
        <f>'16-A. PM sub Annex'!M82</f>
        <v>0</v>
      </c>
      <c r="L59" s="2055">
        <f>'16-A. PM sub Annex'!N82</f>
        <v>0</v>
      </c>
      <c r="M59" s="178">
        <f>'16-A. PM sub Annex'!O82</f>
        <v>0</v>
      </c>
      <c r="N59" s="2055">
        <f>'16-A. PM sub Annex'!P82</f>
        <v>0</v>
      </c>
      <c r="O59" s="178">
        <f>'16-A. PM sub Annex'!Q82</f>
        <v>0</v>
      </c>
      <c r="P59" s="2059">
        <f>'16-A. PM sub Annex'!R82</f>
        <v>0</v>
      </c>
      <c r="Q59" s="3342"/>
      <c r="R59" s="159"/>
    </row>
    <row r="60" spans="1:18" ht="30" x14ac:dyDescent="0.2">
      <c r="A60" s="2002" t="str">
        <f>'16-A. PM sub Annex'!B83</f>
        <v>16.1.3.1.14</v>
      </c>
      <c r="B60" s="2002" t="str">
        <f>'16-A. PM sub Annex'!D83</f>
        <v>H.8</v>
      </c>
      <c r="C60" s="103" t="str">
        <f>'16-A. PM sub Annex'!E83</f>
        <v>Vehicle hiring</v>
      </c>
      <c r="D60" s="2002" t="str">
        <f>'16-A. PM sub Annex'!F83</f>
        <v>NDCP</v>
      </c>
      <c r="E60" s="2002" t="str">
        <f>'16-A. PM sub Annex'!G83</f>
        <v>HRH&amp;HPIP/NTEP</v>
      </c>
      <c r="F60" s="2055">
        <f>'16-A. PM sub Annex'!H83</f>
        <v>0</v>
      </c>
      <c r="G60" s="2055">
        <f>'16-A. PM sub Annex'!I83</f>
        <v>0</v>
      </c>
      <c r="H60" s="2055">
        <f>'16-A. PM sub Annex'!J83</f>
        <v>0</v>
      </c>
      <c r="I60" s="2055">
        <f>'16-A. PM sub Annex'!K83</f>
        <v>0</v>
      </c>
      <c r="J60" s="2055">
        <f>'16-A. PM sub Annex'!L83</f>
        <v>0</v>
      </c>
      <c r="K60" s="2055">
        <f>'16-A. PM sub Annex'!M83</f>
        <v>0</v>
      </c>
      <c r="L60" s="2055">
        <f>'16-A. PM sub Annex'!N83</f>
        <v>0</v>
      </c>
      <c r="M60" s="178">
        <f>'16-A. PM sub Annex'!O83</f>
        <v>0</v>
      </c>
      <c r="N60" s="2055">
        <f>'16-A. PM sub Annex'!P83</f>
        <v>0</v>
      </c>
      <c r="O60" s="178">
        <f>'16-A. PM sub Annex'!Q83</f>
        <v>0</v>
      </c>
      <c r="P60" s="2059">
        <f>'16-A. PM sub Annex'!R83</f>
        <v>0</v>
      </c>
      <c r="Q60" s="3342"/>
      <c r="R60" s="159"/>
    </row>
    <row r="61" spans="1:18" ht="30" x14ac:dyDescent="0.2">
      <c r="A61" s="2002" t="str">
        <f>'16-A. PM sub Annex'!B106</f>
        <v>16.1.3.3.12</v>
      </c>
      <c r="B61" s="2002" t="str">
        <f>'16-A. PM sub Annex'!D106</f>
        <v>H.10</v>
      </c>
      <c r="C61" s="103" t="str">
        <f>'16-A. PM sub Annex'!E106</f>
        <v>Medical Colleges (All service delivery to be budgeted under B.30)</v>
      </c>
      <c r="D61" s="2002" t="str">
        <f>'16-A. PM sub Annex'!F106</f>
        <v>NDCP</v>
      </c>
      <c r="E61" s="2002" t="str">
        <f>'16-A. PM sub Annex'!G106</f>
        <v>HRH&amp;HPIP/NTEP</v>
      </c>
      <c r="F61" s="2055">
        <f>'16-A. PM sub Annex'!H106</f>
        <v>0</v>
      </c>
      <c r="G61" s="2055">
        <f>'16-A. PM sub Annex'!I106</f>
        <v>0</v>
      </c>
      <c r="H61" s="2055">
        <f>'16-A. PM sub Annex'!J106</f>
        <v>0</v>
      </c>
      <c r="I61" s="2055">
        <f>'16-A. PM sub Annex'!K106</f>
        <v>0</v>
      </c>
      <c r="J61" s="2055">
        <f>'16-A. PM sub Annex'!L106</f>
        <v>0</v>
      </c>
      <c r="K61" s="2055">
        <f>'16-A. PM sub Annex'!M106</f>
        <v>0</v>
      </c>
      <c r="L61" s="2055">
        <f>'16-A. PM sub Annex'!N106</f>
        <v>0</v>
      </c>
      <c r="M61" s="178">
        <f>'16-A. PM sub Annex'!O106</f>
        <v>0</v>
      </c>
      <c r="N61" s="2055">
        <f>'16-A. PM sub Annex'!P106</f>
        <v>0</v>
      </c>
      <c r="O61" s="178">
        <f>'16-A. PM sub Annex'!Q106</f>
        <v>0</v>
      </c>
      <c r="P61" s="2059">
        <f>'16-A. PM sub Annex'!R106</f>
        <v>0</v>
      </c>
      <c r="Q61" s="3342"/>
      <c r="R61" s="159"/>
    </row>
    <row r="62" spans="1:18" ht="30" x14ac:dyDescent="0.2">
      <c r="A62" s="2002" t="str">
        <f>'16-A. PM sub Annex'!B130</f>
        <v>16.1.4.1.10</v>
      </c>
      <c r="B62" s="2002" t="str">
        <f>'16-A. PM sub Annex'!D130</f>
        <v>H.11</v>
      </c>
      <c r="C62" s="103" t="str">
        <f>'16-A. PM sub Annex'!E130</f>
        <v>Office Operation (Miscellaneous)</v>
      </c>
      <c r="D62" s="2002" t="str">
        <f>'16-A. PM sub Annex'!F130</f>
        <v>NDCP</v>
      </c>
      <c r="E62" s="2002" t="str">
        <f>'16-A. PM sub Annex'!G130</f>
        <v>HRH&amp;HPIP/NTEP</v>
      </c>
      <c r="F62" s="2055">
        <f>'16-A. PM sub Annex'!H130</f>
        <v>0</v>
      </c>
      <c r="G62" s="2055">
        <f>'16-A. PM sub Annex'!I130</f>
        <v>0</v>
      </c>
      <c r="H62" s="2055">
        <f>'16-A. PM sub Annex'!J130</f>
        <v>0</v>
      </c>
      <c r="I62" s="2055">
        <f>'16-A. PM sub Annex'!K130</f>
        <v>0</v>
      </c>
      <c r="J62" s="2055">
        <f>'16-A. PM sub Annex'!L130</f>
        <v>0</v>
      </c>
      <c r="K62" s="2055">
        <f>'16-A. PM sub Annex'!M130</f>
        <v>0</v>
      </c>
      <c r="L62" s="2055">
        <f>'16-A. PM sub Annex'!N130</f>
        <v>0</v>
      </c>
      <c r="M62" s="178">
        <f>'16-A. PM sub Annex'!O130</f>
        <v>0</v>
      </c>
      <c r="N62" s="2055">
        <f>'16-A. PM sub Annex'!P130</f>
        <v>0</v>
      </c>
      <c r="O62" s="178">
        <f>'16-A. PM sub Annex'!Q130</f>
        <v>0</v>
      </c>
      <c r="P62" s="2059">
        <f>'16-A. PM sub Annex'!R130</f>
        <v>0</v>
      </c>
      <c r="Q62" s="3342"/>
      <c r="R62" s="159"/>
    </row>
    <row r="63" spans="1:18" ht="30" x14ac:dyDescent="0.2">
      <c r="A63" s="2002" t="str">
        <f>'16-A. PM sub Annex'!B157</f>
        <v>16.1.5.2.4</v>
      </c>
      <c r="B63" s="2002" t="str">
        <f>'16-A. PM sub Annex'!D157</f>
        <v>H.7</v>
      </c>
      <c r="C63" s="103" t="str">
        <f>'16-A. PM sub Annex'!E157</f>
        <v>Vehicle Operation (Maintenance)</v>
      </c>
      <c r="D63" s="2002" t="str">
        <f>'16-A. PM sub Annex'!F157</f>
        <v>NDCP</v>
      </c>
      <c r="E63" s="2002" t="str">
        <f>'16-A. PM sub Annex'!G157</f>
        <v>HRH&amp;HPIP/NTEP</v>
      </c>
      <c r="F63" s="2055">
        <f>'16-A. PM sub Annex'!H157</f>
        <v>0</v>
      </c>
      <c r="G63" s="2055">
        <f>'16-A. PM sub Annex'!I157</f>
        <v>0</v>
      </c>
      <c r="H63" s="2055">
        <f>'16-A. PM sub Annex'!J157</f>
        <v>0</v>
      </c>
      <c r="I63" s="2055">
        <f>'16-A. PM sub Annex'!K157</f>
        <v>0</v>
      </c>
      <c r="J63" s="2055">
        <f>'16-A. PM sub Annex'!L157</f>
        <v>0</v>
      </c>
      <c r="K63" s="2055">
        <f>'16-A. PM sub Annex'!M157</f>
        <v>0</v>
      </c>
      <c r="L63" s="2055">
        <f>'16-A. PM sub Annex'!N157</f>
        <v>0</v>
      </c>
      <c r="M63" s="178">
        <f>'16-A. PM sub Annex'!O157</f>
        <v>0</v>
      </c>
      <c r="N63" s="2055">
        <f>'16-A. PM sub Annex'!P157</f>
        <v>0</v>
      </c>
      <c r="O63" s="178">
        <f>'16-A. PM sub Annex'!Q157</f>
        <v>0</v>
      </c>
      <c r="P63" s="2059">
        <f>'16-A. PM sub Annex'!R157</f>
        <v>0</v>
      </c>
      <c r="Q63" s="171"/>
      <c r="R63" s="159"/>
    </row>
    <row r="64" spans="1:18" x14ac:dyDescent="0.2">
      <c r="Q64" s="1914"/>
      <c r="R64" s="2046"/>
    </row>
    <row r="65" spans="1:18" x14ac:dyDescent="0.2">
      <c r="Q65" s="1914"/>
      <c r="R65" s="2046"/>
    </row>
    <row r="66" spans="1:18" s="1963" customFormat="1" x14ac:dyDescent="0.2">
      <c r="A66" s="4074" t="s">
        <v>5688</v>
      </c>
      <c r="B66" s="4074"/>
      <c r="C66" s="4074"/>
      <c r="D66" s="724"/>
      <c r="E66" s="724"/>
      <c r="F66" s="724"/>
      <c r="G66" s="724"/>
      <c r="H66" s="528"/>
      <c r="I66" s="724"/>
      <c r="J66" s="528"/>
      <c r="K66" s="2032"/>
      <c r="L66" s="2032"/>
      <c r="M66" s="528"/>
      <c r="N66" s="2022"/>
      <c r="O66" s="1981"/>
      <c r="P66" s="1976"/>
      <c r="Q66" s="1989"/>
      <c r="R66" s="1990"/>
    </row>
    <row r="67" spans="1:18" s="1963" customFormat="1" x14ac:dyDescent="0.2">
      <c r="A67" s="1982" t="str">
        <f>'NUHM-Non Metro Abst'!A14</f>
        <v>U.1.1.1.4</v>
      </c>
      <c r="B67" s="1982">
        <f>'NUHM-Non Metro Abst'!B14</f>
        <v>0</v>
      </c>
      <c r="C67" s="1982" t="str">
        <f>'NUHM-Non Metro Abst'!C14</f>
        <v>Support for implementation of NTEP</v>
      </c>
      <c r="D67" s="1242"/>
      <c r="E67" s="1982" t="str">
        <f>'NUHM-Non Metro Abst'!D14</f>
        <v>NTEP</v>
      </c>
      <c r="F67" s="1982">
        <f>'NUHM-Non Metro Abst'!E14</f>
        <v>0</v>
      </c>
      <c r="G67" s="1982">
        <f>'NUHM-Non Metro Abst'!F14</f>
        <v>0</v>
      </c>
      <c r="H67" s="1982">
        <f>'NUHM-Non Metro Abst'!G14</f>
        <v>0</v>
      </c>
      <c r="I67" s="1982">
        <f>'NUHM-Non Metro Abst'!H14</f>
        <v>0</v>
      </c>
      <c r="J67" s="1982">
        <f>'NUHM-Non Metro Abst'!I14</f>
        <v>0</v>
      </c>
      <c r="K67" s="1982">
        <f>'NUHM-Non Metro Abst'!J14</f>
        <v>0</v>
      </c>
      <c r="L67" s="1982">
        <f>'NUHM-Non Metro Abst'!K14</f>
        <v>0</v>
      </c>
      <c r="M67" s="1982">
        <f>'NUHM-Non Metro Abst'!L14</f>
        <v>0</v>
      </c>
      <c r="N67" s="1982">
        <f>'NUHM-Non Metro Abst'!M14</f>
        <v>0</v>
      </c>
      <c r="O67" s="1982">
        <f>'NUHM-Non Metro Abst'!N14</f>
        <v>0</v>
      </c>
      <c r="P67" s="3344">
        <f>'NUHM-Non Metro Abst'!O14</f>
        <v>0</v>
      </c>
      <c r="Q67" s="3342"/>
      <c r="R67" s="1991"/>
    </row>
    <row r="68" spans="1:18" s="1963" customFormat="1" x14ac:dyDescent="0.2">
      <c r="A68" s="4074" t="s">
        <v>5687</v>
      </c>
      <c r="B68" s="4074"/>
      <c r="C68" s="4074"/>
      <c r="D68" s="724"/>
      <c r="E68" s="724"/>
      <c r="F68" s="724"/>
      <c r="G68" s="724"/>
      <c r="H68" s="528"/>
      <c r="I68" s="724"/>
      <c r="J68" s="528"/>
      <c r="K68" s="2032"/>
      <c r="L68" s="2032"/>
      <c r="M68" s="528"/>
      <c r="N68" s="2022"/>
      <c r="O68" s="1981"/>
      <c r="P68" s="2120"/>
      <c r="Q68" s="1989"/>
      <c r="R68" s="1990"/>
    </row>
    <row r="69" spans="1:18" s="1963" customFormat="1" x14ac:dyDescent="0.2">
      <c r="A69" s="1982" t="str">
        <f>'NUHM Metro Abst'!A14</f>
        <v>U.1.1.1.4</v>
      </c>
      <c r="B69" s="1982">
        <f>'NUHM Metro Abst'!B14</f>
        <v>0</v>
      </c>
      <c r="C69" s="1982" t="str">
        <f>'NUHM Metro Abst'!C14</f>
        <v>Support for implementation of NTEP</v>
      </c>
      <c r="D69" s="1242"/>
      <c r="E69" s="1982" t="str">
        <f>'NUHM Metro Abst'!D14</f>
        <v>NTEP</v>
      </c>
      <c r="F69" s="1982">
        <f>'NUHM Metro Abst'!E14</f>
        <v>0</v>
      </c>
      <c r="G69" s="1982">
        <f>'NUHM Metro Abst'!F14</f>
        <v>0</v>
      </c>
      <c r="H69" s="1982">
        <f>'NUHM Metro Abst'!G14</f>
        <v>0</v>
      </c>
      <c r="I69" s="1982">
        <f>'NUHM Metro Abst'!H14</f>
        <v>0</v>
      </c>
      <c r="J69" s="1982">
        <f>'NUHM Metro Abst'!I14</f>
        <v>0</v>
      </c>
      <c r="K69" s="1982">
        <f>'NUHM Metro Abst'!J14</f>
        <v>0</v>
      </c>
      <c r="L69" s="1982">
        <f>'NUHM Metro Abst'!K14</f>
        <v>0</v>
      </c>
      <c r="M69" s="1982">
        <f>'NUHM Metro Abst'!L14</f>
        <v>0</v>
      </c>
      <c r="N69" s="1982">
        <f>'NUHM Metro Abst'!M14</f>
        <v>0</v>
      </c>
      <c r="O69" s="1982">
        <f>'NUHM Metro Abst'!N14</f>
        <v>0</v>
      </c>
      <c r="P69" s="3344">
        <f>'NUHM Metro Abst'!O14</f>
        <v>0</v>
      </c>
      <c r="Q69" s="3342"/>
      <c r="R69" s="3364"/>
    </row>
  </sheetData>
  <sheetProtection sheet="1" formatCells="0" formatColumns="0" formatRows="0" autoFilter="0"/>
  <autoFilter ref="A5:M63"/>
  <mergeCells count="17">
    <mergeCell ref="A41:A43"/>
    <mergeCell ref="A66:C66"/>
    <mergeCell ref="A68:C68"/>
    <mergeCell ref="Q4:R4"/>
    <mergeCell ref="E4:E5"/>
    <mergeCell ref="F4:J4"/>
    <mergeCell ref="K4:P4"/>
    <mergeCell ref="A45:A46"/>
    <mergeCell ref="A21:A23"/>
    <mergeCell ref="A24:A25"/>
    <mergeCell ref="A26:A28"/>
    <mergeCell ref="A33:A35"/>
    <mergeCell ref="A1:C1"/>
    <mergeCell ref="A4:A5"/>
    <mergeCell ref="B4:B5"/>
    <mergeCell ref="C4:C5"/>
    <mergeCell ref="D4:D5"/>
  </mergeCells>
  <pageMargins left="0.7" right="0.7" top="0.75" bottom="0.75" header="0.3" footer="0.3"/>
  <pageSetup orientation="portrait" horizontalDpi="4294967295" verticalDpi="4294967295"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5" tint="0.79998168889431442"/>
  </sheetPr>
  <dimension ref="A1:R50"/>
  <sheetViews>
    <sheetView zoomScale="70" zoomScaleNormal="70" workbookViewId="0">
      <pane xSplit="3" ySplit="5" topLeftCell="L6" activePane="bottomRight" state="frozen"/>
      <selection activeCell="C107" sqref="C107"/>
      <selection pane="topRight" activeCell="C107" sqref="C107"/>
      <selection pane="bottomLeft" activeCell="C107" sqref="C107"/>
      <selection pane="bottomRight" activeCell="Q20" sqref="Q20"/>
    </sheetView>
  </sheetViews>
  <sheetFormatPr defaultColWidth="8.7109375" defaultRowHeight="15" x14ac:dyDescent="0.2"/>
  <cols>
    <col min="1" max="1" width="10.5703125" style="2066" bestFit="1" customWidth="1"/>
    <col min="2" max="2" width="20" style="2066" hidden="1" customWidth="1"/>
    <col min="3" max="3" width="62.5703125" style="874" customWidth="1"/>
    <col min="4" max="4" width="6.140625" style="1868" hidden="1" customWidth="1"/>
    <col min="5" max="5" width="21.7109375" style="1868" hidden="1" customWidth="1"/>
    <col min="6" max="6" width="22.7109375" style="2067" hidden="1" customWidth="1"/>
    <col min="7" max="7" width="14.85546875" style="2067" hidden="1" customWidth="1"/>
    <col min="8" max="8" width="15.140625" style="2070" hidden="1" customWidth="1"/>
    <col min="9" max="9" width="10" style="2067" hidden="1" customWidth="1"/>
    <col min="10" max="10" width="11.5703125" style="2070" hidden="1" customWidth="1"/>
    <col min="11" max="11" width="11.42578125" style="2066" hidden="1" customWidth="1"/>
    <col min="12" max="12" width="15.5703125" style="2066" customWidth="1"/>
    <col min="13" max="13" width="12" style="2070" hidden="1" customWidth="1"/>
    <col min="14" max="14" width="8.7109375" style="2062"/>
    <col min="15" max="15" width="13.140625" style="2063" customWidth="1"/>
    <col min="16" max="16" width="51.5703125" style="919" hidden="1" customWidth="1"/>
    <col min="17" max="17" width="42.85546875" style="919" customWidth="1"/>
    <col min="18" max="18" width="11" style="2063" customWidth="1"/>
    <col min="19" max="16384" width="8.7109375" style="2062"/>
  </cols>
  <sheetData>
    <row r="1" spans="1:18" x14ac:dyDescent="0.2">
      <c r="A1" s="4073" t="s">
        <v>3847</v>
      </c>
      <c r="B1" s="4073"/>
      <c r="C1" s="4073"/>
      <c r="D1" s="1922"/>
      <c r="E1" s="1966"/>
      <c r="F1" s="98" t="s">
        <v>3971</v>
      </c>
      <c r="G1" s="2007"/>
      <c r="H1" s="2007"/>
      <c r="I1" s="2007"/>
      <c r="J1" s="1926"/>
      <c r="K1" s="2007"/>
      <c r="L1" s="2007"/>
      <c r="M1" s="1926"/>
    </row>
    <row r="2" spans="1:18" x14ac:dyDescent="0.25">
      <c r="A2" s="1859" t="str">
        <f>HYPERLINK("#Index!F3", "Index Pg")</f>
        <v>Index Pg</v>
      </c>
      <c r="B2" s="1864"/>
      <c r="C2" s="831" t="str">
        <f>HYPERLINK("#'Budget Summary I'!A1:AL1", "Budget Summary I")</f>
        <v>Budget Summary I</v>
      </c>
      <c r="D2" s="1930"/>
      <c r="E2" s="1460" t="s">
        <v>4608</v>
      </c>
      <c r="F2" s="177">
        <f>R6+R12+R14+R17+R22+R24+R32+R34+R36+R38+R40</f>
        <v>0</v>
      </c>
      <c r="G2" s="2064"/>
      <c r="H2" s="2064"/>
      <c r="I2" s="2064"/>
      <c r="J2" s="1934"/>
      <c r="K2" s="2064"/>
      <c r="L2" s="2064"/>
      <c r="M2" s="1934"/>
    </row>
    <row r="3" spans="1:18" x14ac:dyDescent="0.25">
      <c r="A3" s="1863"/>
      <c r="B3" s="1864"/>
      <c r="C3" s="1937" t="str">
        <f>HYPERLINK("#'Budget Summary II'!A3:B5", "Budget Summary II")</f>
        <v>Budget Summary II</v>
      </c>
      <c r="D3" s="1930"/>
      <c r="E3" s="2065" t="s">
        <v>4609</v>
      </c>
      <c r="F3" s="725">
        <f>O6+O12+O14+O17+O22+O24+O32+O34+O36+O38+O40</f>
        <v>0</v>
      </c>
      <c r="G3" s="2064"/>
      <c r="H3" s="2064"/>
      <c r="I3" s="2064"/>
      <c r="J3" s="1934"/>
      <c r="K3" s="2064"/>
      <c r="M3" s="1934"/>
    </row>
    <row r="4" spans="1:18" s="2067" customFormat="1" x14ac:dyDescent="0.2">
      <c r="A4" s="3823" t="s">
        <v>53</v>
      </c>
      <c r="B4" s="3823" t="s">
        <v>54</v>
      </c>
      <c r="C4" s="3823" t="s">
        <v>55</v>
      </c>
      <c r="D4" s="3823" t="s">
        <v>56</v>
      </c>
      <c r="E4" s="3823" t="s">
        <v>57</v>
      </c>
      <c r="F4" s="3876" t="s">
        <v>4629</v>
      </c>
      <c r="G4" s="3876"/>
      <c r="H4" s="3876"/>
      <c r="I4" s="3876"/>
      <c r="J4" s="3876"/>
      <c r="K4" s="3876" t="s">
        <v>4640</v>
      </c>
      <c r="L4" s="3876"/>
      <c r="M4" s="4085"/>
      <c r="N4" s="3876"/>
      <c r="O4" s="4085"/>
      <c r="P4" s="3876"/>
      <c r="Q4" s="3823" t="s">
        <v>4670</v>
      </c>
      <c r="R4" s="3823"/>
    </row>
    <row r="5" spans="1:18" s="2067" customFormat="1" ht="60"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897" t="s">
        <v>63</v>
      </c>
      <c r="Q5" s="899" t="s">
        <v>2540</v>
      </c>
      <c r="R5" s="900" t="s">
        <v>4671</v>
      </c>
    </row>
    <row r="6" spans="1:18" x14ac:dyDescent="0.2">
      <c r="A6" s="1875">
        <f>'1.SD Facility Based Annex'!A7</f>
        <v>1</v>
      </c>
      <c r="B6" s="1875"/>
      <c r="C6" s="1875" t="str">
        <f>'1.SD Facility Based Annex'!C7</f>
        <v>Service Delivery - Facility Based</v>
      </c>
      <c r="D6" s="1877"/>
      <c r="E6" s="1877"/>
      <c r="F6" s="1877"/>
      <c r="G6" s="1877"/>
      <c r="H6" s="969"/>
      <c r="I6" s="1877"/>
      <c r="J6" s="969"/>
      <c r="K6" s="1875"/>
      <c r="L6" s="1875"/>
      <c r="M6" s="969"/>
      <c r="N6" s="2011"/>
      <c r="O6" s="2012">
        <f>SUM(O7:O11)</f>
        <v>0</v>
      </c>
      <c r="P6" s="3340"/>
      <c r="Q6" s="3340"/>
      <c r="R6" s="2012">
        <f>SUM(R7:R11)</f>
        <v>0</v>
      </c>
    </row>
    <row r="7" spans="1:18" x14ac:dyDescent="0.2">
      <c r="A7" s="1570" t="str">
        <f>'1.SD Facility Based Annex'!A100</f>
        <v>1.3.1.16</v>
      </c>
      <c r="B7" s="1570">
        <f>'1.SD Facility Based Annex'!B100</f>
        <v>0</v>
      </c>
      <c r="C7" s="1570" t="str">
        <f>'1.SD Facility Based Annex'!C100</f>
        <v>State lab: Meeting Costs/Office expenses/Contingency</v>
      </c>
      <c r="D7" s="2052" t="str">
        <f>'1.SD Facility Based Annex'!D100</f>
        <v>NDCP</v>
      </c>
      <c r="E7" s="2052" t="str">
        <f>'1.SD Facility Based Annex'!E100</f>
        <v>NVHCP</v>
      </c>
      <c r="F7" s="2052">
        <f>'1.SD Facility Based Annex'!F100</f>
        <v>0</v>
      </c>
      <c r="G7" s="2052">
        <f>'1.SD Facility Based Annex'!G100</f>
        <v>0</v>
      </c>
      <c r="H7" s="2052">
        <f>'1.SD Facility Based Annex'!H100</f>
        <v>0</v>
      </c>
      <c r="I7" s="2052">
        <f>'1.SD Facility Based Annex'!I100</f>
        <v>0</v>
      </c>
      <c r="J7" s="2052">
        <f>'1.SD Facility Based Annex'!J100</f>
        <v>0</v>
      </c>
      <c r="K7" s="2052">
        <f>'1.SD Facility Based Annex'!K100</f>
        <v>0</v>
      </c>
      <c r="L7" s="2052">
        <f>'1.SD Facility Based Annex'!L100</f>
        <v>0</v>
      </c>
      <c r="M7" s="178">
        <f>'1.SD Facility Based Annex'!M100</f>
        <v>0</v>
      </c>
      <c r="N7" s="2052">
        <f>'1.SD Facility Based Annex'!N100</f>
        <v>0</v>
      </c>
      <c r="O7" s="178">
        <f>'1.SD Facility Based Annex'!O100</f>
        <v>0</v>
      </c>
      <c r="P7" s="3321">
        <f>'1.SD Facility Based Annex'!P100</f>
        <v>0</v>
      </c>
      <c r="Q7" s="3343"/>
      <c r="R7" s="1991"/>
    </row>
    <row r="8" spans="1:18" ht="45" x14ac:dyDescent="0.2">
      <c r="A8" s="1570" t="str">
        <f>'1.SD Facility Based Annex'!A102</f>
        <v>1.3.1.17.1</v>
      </c>
      <c r="B8" s="1570">
        <f>'1.SD Facility Based Annex'!B102</f>
        <v>0</v>
      </c>
      <c r="C8" s="1570" t="str">
        <f>'1.SD Facility Based Annex'!C102</f>
        <v>MTC: Meeting Costs/Office expenses/Contingency (photocopy, internet/communication/ Resistance testing in selected cases/ Printing M &amp; E tools/ Tablets for M &amp; E if needed) etc)</v>
      </c>
      <c r="D8" s="2052" t="str">
        <f>'1.SD Facility Based Annex'!D102</f>
        <v>NDCP</v>
      </c>
      <c r="E8" s="2052" t="str">
        <f>'1.SD Facility Based Annex'!E102</f>
        <v>NVHCP</v>
      </c>
      <c r="F8" s="2052">
        <f>'1.SD Facility Based Annex'!F102</f>
        <v>0</v>
      </c>
      <c r="G8" s="2052">
        <f>'1.SD Facility Based Annex'!G102</f>
        <v>0</v>
      </c>
      <c r="H8" s="2052">
        <f>'1.SD Facility Based Annex'!H102</f>
        <v>0</v>
      </c>
      <c r="I8" s="2052">
        <f>'1.SD Facility Based Annex'!I102</f>
        <v>0</v>
      </c>
      <c r="J8" s="2052">
        <f>'1.SD Facility Based Annex'!J102</f>
        <v>0</v>
      </c>
      <c r="K8" s="2052">
        <f>'1.SD Facility Based Annex'!K102</f>
        <v>0</v>
      </c>
      <c r="L8" s="2052">
        <f>'1.SD Facility Based Annex'!L102</f>
        <v>0</v>
      </c>
      <c r="M8" s="178">
        <f>'1.SD Facility Based Annex'!M102</f>
        <v>0</v>
      </c>
      <c r="N8" s="2052">
        <f>'1.SD Facility Based Annex'!N102</f>
        <v>0</v>
      </c>
      <c r="O8" s="178">
        <f>'1.SD Facility Based Annex'!O102</f>
        <v>0</v>
      </c>
      <c r="P8" s="3321">
        <f>'1.SD Facility Based Annex'!P102</f>
        <v>0</v>
      </c>
      <c r="Q8" s="3343"/>
      <c r="R8" s="1991"/>
    </row>
    <row r="9" spans="1:18" x14ac:dyDescent="0.2">
      <c r="A9" s="1570" t="str">
        <f>'1.SD Facility Based Annex'!A103</f>
        <v>1.3.1.17.2</v>
      </c>
      <c r="B9" s="1570">
        <f>'1.SD Facility Based Annex'!B103</f>
        <v>0</v>
      </c>
      <c r="C9" s="1570" t="str">
        <f>'1.SD Facility Based Annex'!C103</f>
        <v>MTC: Management of Hep A &amp; E</v>
      </c>
      <c r="D9" s="2052" t="str">
        <f>'1.SD Facility Based Annex'!D103</f>
        <v>NDCP</v>
      </c>
      <c r="E9" s="2052" t="str">
        <f>'1.SD Facility Based Annex'!E103</f>
        <v>NVHCP</v>
      </c>
      <c r="F9" s="2052">
        <f>'1.SD Facility Based Annex'!F103</f>
        <v>0</v>
      </c>
      <c r="G9" s="2052">
        <f>'1.SD Facility Based Annex'!G103</f>
        <v>0</v>
      </c>
      <c r="H9" s="2052">
        <f>'1.SD Facility Based Annex'!H103</f>
        <v>0</v>
      </c>
      <c r="I9" s="2052">
        <f>'1.SD Facility Based Annex'!I103</f>
        <v>0</v>
      </c>
      <c r="J9" s="2052">
        <f>'1.SD Facility Based Annex'!J103</f>
        <v>0</v>
      </c>
      <c r="K9" s="2052">
        <f>'1.SD Facility Based Annex'!K103</f>
        <v>0</v>
      </c>
      <c r="L9" s="2052">
        <f>'1.SD Facility Based Annex'!L103</f>
        <v>0</v>
      </c>
      <c r="M9" s="178">
        <f>'1.SD Facility Based Annex'!M103</f>
        <v>0</v>
      </c>
      <c r="N9" s="2052">
        <f>'1.SD Facility Based Annex'!N103</f>
        <v>0</v>
      </c>
      <c r="O9" s="178">
        <f>'1.SD Facility Based Annex'!O103</f>
        <v>0</v>
      </c>
      <c r="P9" s="3321">
        <f>'1.SD Facility Based Annex'!P103</f>
        <v>0</v>
      </c>
      <c r="Q9" s="3343"/>
      <c r="R9" s="1991"/>
    </row>
    <row r="10" spans="1:18" x14ac:dyDescent="0.2">
      <c r="A10" s="1570" t="str">
        <f>'1.SD Facility Based Annex'!A105</f>
        <v>1.3.1.18.1</v>
      </c>
      <c r="B10" s="1570">
        <f>'1.SD Facility Based Annex'!B105</f>
        <v>0</v>
      </c>
      <c r="C10" s="1570" t="str">
        <f>'1.SD Facility Based Annex'!C105</f>
        <v>TC: Meeting Costs/Office expenses/Contingency</v>
      </c>
      <c r="D10" s="2052" t="str">
        <f>'1.SD Facility Based Annex'!D105</f>
        <v>NDCP</v>
      </c>
      <c r="E10" s="2052" t="str">
        <f>'1.SD Facility Based Annex'!E105</f>
        <v>NVHCP</v>
      </c>
      <c r="F10" s="2052">
        <f>'1.SD Facility Based Annex'!F105</f>
        <v>0</v>
      </c>
      <c r="G10" s="2052">
        <f>'1.SD Facility Based Annex'!G105</f>
        <v>0</v>
      </c>
      <c r="H10" s="2052">
        <f>'1.SD Facility Based Annex'!H105</f>
        <v>0</v>
      </c>
      <c r="I10" s="2052">
        <f>'1.SD Facility Based Annex'!I105</f>
        <v>0</v>
      </c>
      <c r="J10" s="2052">
        <f>'1.SD Facility Based Annex'!J105</f>
        <v>0</v>
      </c>
      <c r="K10" s="2052">
        <f>'1.SD Facility Based Annex'!K105</f>
        <v>0</v>
      </c>
      <c r="L10" s="2052">
        <f>'1.SD Facility Based Annex'!L105</f>
        <v>0</v>
      </c>
      <c r="M10" s="178">
        <f>'1.SD Facility Based Annex'!M105</f>
        <v>0</v>
      </c>
      <c r="N10" s="2052">
        <f>'1.SD Facility Based Annex'!N105</f>
        <v>0</v>
      </c>
      <c r="O10" s="178">
        <f>'1.SD Facility Based Annex'!O105</f>
        <v>0</v>
      </c>
      <c r="P10" s="3321">
        <f>'1.SD Facility Based Annex'!P105</f>
        <v>0</v>
      </c>
      <c r="Q10" s="3343"/>
      <c r="R10" s="1991"/>
    </row>
    <row r="11" spans="1:18" x14ac:dyDescent="0.2">
      <c r="A11" s="1570" t="str">
        <f>'1.SD Facility Based Annex'!A106</f>
        <v>1.3.1.18.2</v>
      </c>
      <c r="B11" s="1570">
        <f>'1.SD Facility Based Annex'!B106</f>
        <v>0</v>
      </c>
      <c r="C11" s="1570" t="str">
        <f>'1.SD Facility Based Annex'!C106</f>
        <v>TC: Management of Hep A &amp; E</v>
      </c>
      <c r="D11" s="2052" t="str">
        <f>'1.SD Facility Based Annex'!D106</f>
        <v>NDCP</v>
      </c>
      <c r="E11" s="2052" t="str">
        <f>'1.SD Facility Based Annex'!E106</f>
        <v>NVHCP</v>
      </c>
      <c r="F11" s="2052">
        <f>'1.SD Facility Based Annex'!F106</f>
        <v>0</v>
      </c>
      <c r="G11" s="2052">
        <f>'1.SD Facility Based Annex'!G106</f>
        <v>0</v>
      </c>
      <c r="H11" s="2052">
        <f>'1.SD Facility Based Annex'!H106</f>
        <v>0</v>
      </c>
      <c r="I11" s="2052">
        <f>'1.SD Facility Based Annex'!I106</f>
        <v>0</v>
      </c>
      <c r="J11" s="2052">
        <f>'1.SD Facility Based Annex'!J106</f>
        <v>0</v>
      </c>
      <c r="K11" s="2052">
        <f>'1.SD Facility Based Annex'!K106</f>
        <v>0</v>
      </c>
      <c r="L11" s="2052">
        <f>'1.SD Facility Based Annex'!L106</f>
        <v>0</v>
      </c>
      <c r="M11" s="178">
        <f>'1.SD Facility Based Annex'!M106</f>
        <v>0</v>
      </c>
      <c r="N11" s="2052">
        <f>'1.SD Facility Based Annex'!N106</f>
        <v>0</v>
      </c>
      <c r="O11" s="178">
        <f>'1.SD Facility Based Annex'!O106</f>
        <v>0</v>
      </c>
      <c r="P11" s="3321">
        <f>'1.SD Facility Based Annex'!P106</f>
        <v>0</v>
      </c>
      <c r="Q11" s="3343"/>
      <c r="R11" s="1991"/>
    </row>
    <row r="12" spans="1:18" x14ac:dyDescent="0.2">
      <c r="A12" s="356">
        <f>'2.SD Community Based Annex'!A7</f>
        <v>2</v>
      </c>
      <c r="B12" s="356"/>
      <c r="C12" s="356" t="str">
        <f>'2.SD Community Based Annex'!C7</f>
        <v>Service Delivery - Community Based</v>
      </c>
      <c r="D12" s="1842"/>
      <c r="E12" s="1842"/>
      <c r="F12" s="1842"/>
      <c r="G12" s="1842"/>
      <c r="H12" s="969"/>
      <c r="I12" s="1842"/>
      <c r="J12" s="969"/>
      <c r="K12" s="356"/>
      <c r="L12" s="356"/>
      <c r="M12" s="969"/>
      <c r="N12" s="2011"/>
      <c r="O12" s="2012">
        <f>O13</f>
        <v>0</v>
      </c>
      <c r="P12" s="3340"/>
      <c r="Q12" s="3341"/>
      <c r="R12" s="2017">
        <f>R13</f>
        <v>0</v>
      </c>
    </row>
    <row r="13" spans="1:18" ht="30" x14ac:dyDescent="0.2">
      <c r="A13" s="1570" t="str">
        <f>'2.SD Community Based Annex'!A45</f>
        <v>2.3.1.11</v>
      </c>
      <c r="B13" s="1570">
        <f>'2.SD Community Based Annex'!B45</f>
        <v>0</v>
      </c>
      <c r="C13" s="1884" t="str">
        <f>'2.SD Community Based Annex'!C45</f>
        <v>Outreach for demand generation, testing and treatment of Viral Hepatitis through Mobile Medical Units/NGOs/CBOs/etc</v>
      </c>
      <c r="D13" s="1880" t="str">
        <f>'2.SD Community Based Annex'!D45</f>
        <v>NDCP</v>
      </c>
      <c r="E13" s="1880" t="str">
        <f>'2.SD Community Based Annex'!E45</f>
        <v>NVHCP</v>
      </c>
      <c r="F13" s="1880">
        <f>'2.SD Community Based Annex'!F45</f>
        <v>0</v>
      </c>
      <c r="G13" s="1880">
        <f>'2.SD Community Based Annex'!G45</f>
        <v>0</v>
      </c>
      <c r="H13" s="1880">
        <f>'2.SD Community Based Annex'!H45</f>
        <v>0</v>
      </c>
      <c r="I13" s="1880">
        <f>'2.SD Community Based Annex'!I45</f>
        <v>0</v>
      </c>
      <c r="J13" s="1880">
        <f>'2.SD Community Based Annex'!J45</f>
        <v>0</v>
      </c>
      <c r="K13" s="1880">
        <f>'2.SD Community Based Annex'!K45</f>
        <v>0</v>
      </c>
      <c r="L13" s="1880">
        <f>'2.SD Community Based Annex'!L45</f>
        <v>0</v>
      </c>
      <c r="M13" s="939">
        <f>'2.SD Community Based Annex'!M45</f>
        <v>0</v>
      </c>
      <c r="N13" s="1880">
        <f>'2.SD Community Based Annex'!N45</f>
        <v>0</v>
      </c>
      <c r="O13" s="939">
        <f>'2.SD Community Based Annex'!O45</f>
        <v>0</v>
      </c>
      <c r="P13" s="3320">
        <f>'2.SD Community Based Annex'!P45</f>
        <v>0</v>
      </c>
      <c r="Q13" s="3343"/>
      <c r="R13" s="1991"/>
    </row>
    <row r="14" spans="1:18" x14ac:dyDescent="0.2">
      <c r="A14" s="356">
        <f>'3.Community Intervention Annexn'!A7</f>
        <v>3</v>
      </c>
      <c r="B14" s="356"/>
      <c r="C14" s="356" t="str">
        <f>'3.Community Intervention Annexn'!C7</f>
        <v>Community Interventions</v>
      </c>
      <c r="D14" s="1842"/>
      <c r="E14" s="1842"/>
      <c r="F14" s="1842"/>
      <c r="G14" s="1842"/>
      <c r="H14" s="969"/>
      <c r="I14" s="1842"/>
      <c r="J14" s="969"/>
      <c r="K14" s="356"/>
      <c r="L14" s="356"/>
      <c r="M14" s="969"/>
      <c r="N14" s="2011"/>
      <c r="O14" s="2012">
        <f>SUM(O15:O16)</f>
        <v>0</v>
      </c>
      <c r="P14" s="3340"/>
      <c r="Q14" s="3341"/>
      <c r="R14" s="2017">
        <f>SUM(R15:R16)</f>
        <v>0</v>
      </c>
    </row>
    <row r="15" spans="1:18" x14ac:dyDescent="0.2">
      <c r="A15" s="4084" t="str">
        <f>'3.Community Intervention Annexn'!A39</f>
        <v>3.2.2.3</v>
      </c>
      <c r="B15" s="1570"/>
      <c r="C15" s="1570" t="str">
        <f>'3-A. CI Sub-Annex'!D113</f>
        <v>Incentives for Peer Educators under NVHCP</v>
      </c>
      <c r="D15" s="2052" t="str">
        <f>'3-A. CI Sub-Annex'!E113</f>
        <v>NDCP</v>
      </c>
      <c r="E15" s="2052" t="str">
        <f>'3-A. CI Sub-Annex'!F113</f>
        <v>NVHCP</v>
      </c>
      <c r="F15" s="2052">
        <f>'3-A. CI Sub-Annex'!G113</f>
        <v>0</v>
      </c>
      <c r="G15" s="2052">
        <f>'3-A. CI Sub-Annex'!H113</f>
        <v>0</v>
      </c>
      <c r="H15" s="2052">
        <f>'3-A. CI Sub-Annex'!I113</f>
        <v>0</v>
      </c>
      <c r="I15" s="2052">
        <f>'3-A. CI Sub-Annex'!J113</f>
        <v>0</v>
      </c>
      <c r="J15" s="2052">
        <f>'3-A. CI Sub-Annex'!K113</f>
        <v>0</v>
      </c>
      <c r="K15" s="2052">
        <f>'3-A. CI Sub-Annex'!L113</f>
        <v>0</v>
      </c>
      <c r="L15" s="2052">
        <f>'3-A. CI Sub-Annex'!M113</f>
        <v>0</v>
      </c>
      <c r="M15" s="178">
        <f>'3-A. CI Sub-Annex'!N113</f>
        <v>0</v>
      </c>
      <c r="N15" s="2052">
        <f>'3-A. CI Sub-Annex'!O113</f>
        <v>0</v>
      </c>
      <c r="O15" s="178">
        <f>'3-A. CI Sub-Annex'!P113</f>
        <v>0</v>
      </c>
      <c r="P15" s="3321">
        <f>'3-A. CI Sub-Annex'!Q113</f>
        <v>0</v>
      </c>
      <c r="Q15" s="3343"/>
      <c r="R15" s="1991"/>
    </row>
    <row r="16" spans="1:18" ht="30" x14ac:dyDescent="0.2">
      <c r="A16" s="4084"/>
      <c r="B16" s="1570"/>
      <c r="C16" s="1884" t="str">
        <f>'3-A. CI Sub-Annex'!D114</f>
        <v>Engagement with NGO CBO(Community Based Organisations) for outreach</v>
      </c>
      <c r="D16" s="1880" t="str">
        <f>'3-A. CI Sub-Annex'!E114</f>
        <v>NDCP</v>
      </c>
      <c r="E16" s="1880" t="str">
        <f>'3-A. CI Sub-Annex'!F114</f>
        <v>NVHCP</v>
      </c>
      <c r="F16" s="1880">
        <f>'3-A. CI Sub-Annex'!G114</f>
        <v>0</v>
      </c>
      <c r="G16" s="1880">
        <f>'3-A. CI Sub-Annex'!H114</f>
        <v>0</v>
      </c>
      <c r="H16" s="1880">
        <f>'3-A. CI Sub-Annex'!I114</f>
        <v>0</v>
      </c>
      <c r="I16" s="1880">
        <f>'3-A. CI Sub-Annex'!J114</f>
        <v>0</v>
      </c>
      <c r="J16" s="1880">
        <f>'3-A. CI Sub-Annex'!K114</f>
        <v>0</v>
      </c>
      <c r="K16" s="1880">
        <f>'3-A. CI Sub-Annex'!L114</f>
        <v>0</v>
      </c>
      <c r="L16" s="1880">
        <f>'3-A. CI Sub-Annex'!M114</f>
        <v>0</v>
      </c>
      <c r="M16" s="939">
        <f>'3-A. CI Sub-Annex'!N114</f>
        <v>0</v>
      </c>
      <c r="N16" s="1880">
        <f>'3-A. CI Sub-Annex'!O114</f>
        <v>0</v>
      </c>
      <c r="O16" s="939">
        <f>'3-A. CI Sub-Annex'!P114</f>
        <v>0</v>
      </c>
      <c r="P16" s="3320">
        <f>'3-A. CI Sub-Annex'!Q114</f>
        <v>0</v>
      </c>
      <c r="Q16" s="3343"/>
      <c r="R16" s="1991"/>
    </row>
    <row r="17" spans="1:18" x14ac:dyDescent="0.2">
      <c r="A17" s="1997">
        <f>'6.Procurement Annex'!A7</f>
        <v>6</v>
      </c>
      <c r="B17" s="1997"/>
      <c r="C17" s="1997" t="str">
        <f>'6.Procurement Annex'!C7</f>
        <v>Procurement</v>
      </c>
      <c r="D17" s="1996"/>
      <c r="E17" s="1996"/>
      <c r="F17" s="1996"/>
      <c r="G17" s="1996"/>
      <c r="H17" s="969"/>
      <c r="I17" s="1996"/>
      <c r="J17" s="969"/>
      <c r="K17" s="1997"/>
      <c r="L17" s="1997"/>
      <c r="M17" s="969"/>
      <c r="N17" s="2011"/>
      <c r="O17" s="2012">
        <f>SUM(O18:O21)</f>
        <v>0</v>
      </c>
      <c r="P17" s="3340"/>
      <c r="Q17" s="3341"/>
      <c r="R17" s="2017">
        <f>SUM(R18:R21)</f>
        <v>0</v>
      </c>
    </row>
    <row r="18" spans="1:18" x14ac:dyDescent="0.2">
      <c r="A18" s="3761" t="str">
        <f>'6.Procurement Annex'!A75</f>
        <v>6.2.3.4</v>
      </c>
      <c r="B18" s="103">
        <f>'6-A. Proc. Sub-Annex'!C240</f>
        <v>0</v>
      </c>
      <c r="C18" s="103" t="str">
        <f>'6-A. Proc. Sub-Annex'!D240</f>
        <v>Drugs</v>
      </c>
      <c r="D18" s="2002" t="str">
        <f>'6-A. Proc. Sub-Annex'!E240</f>
        <v>NDCP</v>
      </c>
      <c r="E18" s="2002" t="str">
        <f>'6-A. Proc. Sub-Annex'!F240</f>
        <v>NVHCP</v>
      </c>
      <c r="F18" s="2002">
        <f>'6-A. Proc. Sub-Annex'!G240</f>
        <v>0</v>
      </c>
      <c r="G18" s="2002">
        <f>'6-A. Proc. Sub-Annex'!H240</f>
        <v>0</v>
      </c>
      <c r="H18" s="2002">
        <f>'6-A. Proc. Sub-Annex'!I240</f>
        <v>0</v>
      </c>
      <c r="I18" s="2002">
        <f>'6-A. Proc. Sub-Annex'!J240</f>
        <v>0</v>
      </c>
      <c r="J18" s="2002">
        <f>'6-A. Proc. Sub-Annex'!K240</f>
        <v>0</v>
      </c>
      <c r="K18" s="2002">
        <f>'6-A. Proc. Sub-Annex'!L240</f>
        <v>0</v>
      </c>
      <c r="L18" s="2002">
        <f>'6-A. Proc. Sub-Annex'!M240</f>
        <v>0</v>
      </c>
      <c r="M18" s="178">
        <f>'6-A. Proc. Sub-Annex'!N240</f>
        <v>0</v>
      </c>
      <c r="N18" s="2002">
        <f>'6-A. Proc. Sub-Annex'!O240</f>
        <v>0</v>
      </c>
      <c r="O18" s="178">
        <f>'6-A. Proc. Sub-Annex'!P240</f>
        <v>0</v>
      </c>
      <c r="P18" s="3344">
        <f>'6-A. Proc. Sub-Annex'!Q240</f>
        <v>0</v>
      </c>
      <c r="Q18" s="3343"/>
      <c r="R18" s="1991"/>
    </row>
    <row r="19" spans="1:18" x14ac:dyDescent="0.2">
      <c r="A19" s="3761"/>
      <c r="B19" s="103">
        <f>'6-A. Proc. Sub-Annex'!C241</f>
        <v>0</v>
      </c>
      <c r="C19" s="103" t="str">
        <f>'6-A. Proc. Sub-Annex'!D241</f>
        <v>Kits</v>
      </c>
      <c r="D19" s="2002" t="str">
        <f>'6-A. Proc. Sub-Annex'!E241</f>
        <v>NDCP</v>
      </c>
      <c r="E19" s="2002" t="str">
        <f>'6-A. Proc. Sub-Annex'!F241</f>
        <v>NVHCP</v>
      </c>
      <c r="F19" s="2002">
        <f>'6-A. Proc. Sub-Annex'!G241</f>
        <v>0</v>
      </c>
      <c r="G19" s="2002">
        <f>'6-A. Proc. Sub-Annex'!H241</f>
        <v>0</v>
      </c>
      <c r="H19" s="2002">
        <f>'6-A. Proc. Sub-Annex'!I241</f>
        <v>0</v>
      </c>
      <c r="I19" s="2002">
        <f>'6-A. Proc. Sub-Annex'!J241</f>
        <v>0</v>
      </c>
      <c r="J19" s="2002">
        <f>'6-A. Proc. Sub-Annex'!K241</f>
        <v>0</v>
      </c>
      <c r="K19" s="2002">
        <f>'6-A. Proc. Sub-Annex'!L241</f>
        <v>0</v>
      </c>
      <c r="L19" s="2002">
        <f>'6-A. Proc. Sub-Annex'!M241</f>
        <v>0</v>
      </c>
      <c r="M19" s="178">
        <f>'6-A. Proc. Sub-Annex'!N241</f>
        <v>0</v>
      </c>
      <c r="N19" s="2002">
        <f>'6-A. Proc. Sub-Annex'!O241</f>
        <v>0</v>
      </c>
      <c r="O19" s="178">
        <f>'6-A. Proc. Sub-Annex'!P241</f>
        <v>0</v>
      </c>
      <c r="P19" s="3344">
        <f>'6-A. Proc. Sub-Annex'!Q241</f>
        <v>0</v>
      </c>
      <c r="Q19" s="3343"/>
      <c r="R19" s="1991"/>
    </row>
    <row r="20" spans="1:18" ht="45" x14ac:dyDescent="0.2">
      <c r="A20" s="3761"/>
      <c r="B20" s="103">
        <f>'6-A. Proc. Sub-Annex'!C242</f>
        <v>0</v>
      </c>
      <c r="C20" s="103" t="str">
        <f>'6-A. Proc. Sub-Annex'!D242</f>
        <v>Consumables for laboratory under NVHCP (plasticware, RUP, evacuated vacuum tubes, waste disposal bags, Kit for HBsAg titre, grant for calibration of small equipment, money for EQAS)</v>
      </c>
      <c r="D20" s="2002" t="str">
        <f>'6-A. Proc. Sub-Annex'!E242</f>
        <v>NDCP</v>
      </c>
      <c r="E20" s="2002" t="str">
        <f>'6-A. Proc. Sub-Annex'!F242</f>
        <v>NVHCP</v>
      </c>
      <c r="F20" s="2002">
        <f>'6-A. Proc. Sub-Annex'!G242</f>
        <v>0</v>
      </c>
      <c r="G20" s="2002">
        <f>'6-A. Proc. Sub-Annex'!H242</f>
        <v>0</v>
      </c>
      <c r="H20" s="2002">
        <f>'6-A. Proc. Sub-Annex'!I242</f>
        <v>0</v>
      </c>
      <c r="I20" s="2002">
        <f>'6-A. Proc. Sub-Annex'!J242</f>
        <v>0</v>
      </c>
      <c r="J20" s="2002">
        <f>'6-A. Proc. Sub-Annex'!K242</f>
        <v>0</v>
      </c>
      <c r="K20" s="2002">
        <f>'6-A. Proc. Sub-Annex'!L242</f>
        <v>0</v>
      </c>
      <c r="L20" s="2002">
        <f>'6-A. Proc. Sub-Annex'!M242</f>
        <v>0</v>
      </c>
      <c r="M20" s="178">
        <f>'6-A. Proc. Sub-Annex'!N242</f>
        <v>0</v>
      </c>
      <c r="N20" s="2002">
        <f>'6-A. Proc. Sub-Annex'!O242</f>
        <v>0</v>
      </c>
      <c r="O20" s="178">
        <f>'6-A. Proc. Sub-Annex'!P242</f>
        <v>0</v>
      </c>
      <c r="P20" s="3344">
        <f>'6-A. Proc. Sub-Annex'!Q242</f>
        <v>0</v>
      </c>
      <c r="Q20" s="2933"/>
      <c r="R20" s="1991"/>
    </row>
    <row r="21" spans="1:18" ht="30" x14ac:dyDescent="0.2">
      <c r="A21" s="3761"/>
      <c r="B21" s="103">
        <f>'6-A. Proc. Sub-Annex'!C243</f>
        <v>0</v>
      </c>
      <c r="C21" s="103" t="str">
        <f>'6-A. Proc. Sub-Annex'!D243</f>
        <v>Consumables for treatment sites (plasticware, RUP, evacuated vacuum tubes, waste disposal bags etc)</v>
      </c>
      <c r="D21" s="2002" t="str">
        <f>'6-A. Proc. Sub-Annex'!E243</f>
        <v>NDCP</v>
      </c>
      <c r="E21" s="2002" t="str">
        <f>'6-A. Proc. Sub-Annex'!F243</f>
        <v>NVHCP</v>
      </c>
      <c r="F21" s="2002">
        <f>'6-A. Proc. Sub-Annex'!G243</f>
        <v>0</v>
      </c>
      <c r="G21" s="2002">
        <f>'6-A. Proc. Sub-Annex'!H243</f>
        <v>0</v>
      </c>
      <c r="H21" s="2002">
        <f>'6-A. Proc. Sub-Annex'!I243</f>
        <v>0</v>
      </c>
      <c r="I21" s="2002">
        <f>'6-A. Proc. Sub-Annex'!J243</f>
        <v>0</v>
      </c>
      <c r="J21" s="2002">
        <f>'6-A. Proc. Sub-Annex'!K243</f>
        <v>0</v>
      </c>
      <c r="K21" s="2002">
        <f>'6-A. Proc. Sub-Annex'!L243</f>
        <v>0</v>
      </c>
      <c r="L21" s="2002">
        <f>'6-A. Proc. Sub-Annex'!M243</f>
        <v>0</v>
      </c>
      <c r="M21" s="178">
        <f>'6-A. Proc. Sub-Annex'!N243</f>
        <v>0</v>
      </c>
      <c r="N21" s="2002">
        <f>'6-A. Proc. Sub-Annex'!O243</f>
        <v>0</v>
      </c>
      <c r="O21" s="178">
        <f>'6-A. Proc. Sub-Annex'!P243</f>
        <v>0</v>
      </c>
      <c r="P21" s="3344">
        <f>'6-A. Proc. Sub-Annex'!Q243</f>
        <v>0</v>
      </c>
      <c r="Q21" s="2933"/>
      <c r="R21" s="1991"/>
    </row>
    <row r="22" spans="1:18" x14ac:dyDescent="0.2">
      <c r="A22" s="1997">
        <f>'8.Human Resources (SD) Annex'!A7</f>
        <v>8</v>
      </c>
      <c r="B22" s="1997"/>
      <c r="C22" s="1997" t="str">
        <f>'8.Human Resources (SD) Annex'!C7</f>
        <v>Human Resources</v>
      </c>
      <c r="D22" s="1996"/>
      <c r="E22" s="1996"/>
      <c r="F22" s="1996"/>
      <c r="G22" s="1996"/>
      <c r="H22" s="969"/>
      <c r="I22" s="1996"/>
      <c r="J22" s="969"/>
      <c r="K22" s="1997"/>
      <c r="L22" s="1997"/>
      <c r="M22" s="969"/>
      <c r="N22" s="2011"/>
      <c r="O22" s="2012">
        <f>O23</f>
        <v>0</v>
      </c>
      <c r="P22" s="3340"/>
      <c r="Q22" s="3341"/>
      <c r="R22" s="2017">
        <f>R23</f>
        <v>0</v>
      </c>
    </row>
    <row r="23" spans="1:18" x14ac:dyDescent="0.2">
      <c r="A23" s="1982" t="str">
        <f>'8.Human Resources (SD) Annex'!A174</f>
        <v>8.4.11</v>
      </c>
      <c r="B23" s="1982">
        <f>'8.Human Resources (SD) Annex'!B174</f>
        <v>0</v>
      </c>
      <c r="C23" s="1982" t="str">
        <f>'8.Human Resources (SD) Annex'!C174</f>
        <v>Incentives under NVHCP for MO, Pharmacist and LT</v>
      </c>
      <c r="D23" s="2001" t="str">
        <f>'8.Human Resources (SD) Annex'!D174</f>
        <v>HSS</v>
      </c>
      <c r="E23" s="2001" t="str">
        <f>'8.Human Resources (SD) Annex'!E174</f>
        <v>NVHCP</v>
      </c>
      <c r="F23" s="2001">
        <f>'8.Human Resources (SD) Annex'!F174</f>
        <v>0</v>
      </c>
      <c r="G23" s="2001">
        <f>'8.Human Resources (SD) Annex'!G174</f>
        <v>0</v>
      </c>
      <c r="H23" s="2001">
        <f>'8.Human Resources (SD) Annex'!H174</f>
        <v>0</v>
      </c>
      <c r="I23" s="2001">
        <f>'8.Human Resources (SD) Annex'!I174</f>
        <v>0</v>
      </c>
      <c r="J23" s="2001">
        <f>'8.Human Resources (SD) Annex'!J174</f>
        <v>0</v>
      </c>
      <c r="K23" s="2001">
        <f>'8.Human Resources (SD) Annex'!L174</f>
        <v>0</v>
      </c>
      <c r="L23" s="2001">
        <f>'8.Human Resources (SD) Annex'!M174</f>
        <v>0</v>
      </c>
      <c r="M23" s="1958">
        <f>'8.Human Resources (SD) Annex'!N174</f>
        <v>0</v>
      </c>
      <c r="N23" s="2001">
        <f>'8.Human Resources (SD) Annex'!O174</f>
        <v>0</v>
      </c>
      <c r="O23" s="1958">
        <f>'8.Human Resources (SD) Annex'!P174</f>
        <v>0</v>
      </c>
      <c r="P23" s="3344">
        <f>'8.Human Resources (SD) Annex'!Q174</f>
        <v>0</v>
      </c>
      <c r="Q23" s="2933"/>
      <c r="R23" s="1991"/>
    </row>
    <row r="24" spans="1:18" x14ac:dyDescent="0.2">
      <c r="A24" s="1997">
        <f>'9.Training Annex'!A7</f>
        <v>9</v>
      </c>
      <c r="B24" s="1997"/>
      <c r="C24" s="1997" t="str">
        <f>'9.Training Annex'!C7</f>
        <v>Training and Capacity Building</v>
      </c>
      <c r="D24" s="1996"/>
      <c r="E24" s="1996"/>
      <c r="F24" s="1996"/>
      <c r="G24" s="1996"/>
      <c r="H24" s="969"/>
      <c r="I24" s="1996"/>
      <c r="J24" s="969"/>
      <c r="K24" s="1997"/>
      <c r="L24" s="1997"/>
      <c r="M24" s="969"/>
      <c r="N24" s="2011"/>
      <c r="O24" s="2012">
        <f>SUM(O25:O31)</f>
        <v>0</v>
      </c>
      <c r="P24" s="3340"/>
      <c r="Q24" s="3341"/>
      <c r="R24" s="2017">
        <f>SUM(R25:R31)</f>
        <v>0</v>
      </c>
    </row>
    <row r="25" spans="1:18" ht="30" x14ac:dyDescent="0.2">
      <c r="A25" s="4072" t="str">
        <f>'9.Training Annex'!A51</f>
        <v>9.2.3.5</v>
      </c>
      <c r="B25" s="103"/>
      <c r="C25" s="103" t="str">
        <f>'9-A.Training Sub-Annex'!D236</f>
        <v>3 day training of Medical Officer of the Model Treatment Centre  (15 Medical officers in each batch)</v>
      </c>
      <c r="D25" s="2002" t="str">
        <f>'9-A.Training Sub-Annex'!E236</f>
        <v>NDCP</v>
      </c>
      <c r="E25" s="2002" t="str">
        <f>'9-A.Training Sub-Annex'!F236</f>
        <v>NVHCP</v>
      </c>
      <c r="F25" s="2002">
        <f>'9-A.Training Sub-Annex'!G236</f>
        <v>0</v>
      </c>
      <c r="G25" s="2002">
        <f>'9-A.Training Sub-Annex'!H236</f>
        <v>0</v>
      </c>
      <c r="H25" s="2002">
        <f>'9-A.Training Sub-Annex'!I236</f>
        <v>0</v>
      </c>
      <c r="I25" s="2002">
        <f>'9-A.Training Sub-Annex'!J236</f>
        <v>0</v>
      </c>
      <c r="J25" s="2002">
        <f>'9-A.Training Sub-Annex'!K236</f>
        <v>0</v>
      </c>
      <c r="K25" s="2002">
        <f>'9-A.Training Sub-Annex'!L236</f>
        <v>0</v>
      </c>
      <c r="L25" s="2002">
        <f>'9-A.Training Sub-Annex'!M236</f>
        <v>0</v>
      </c>
      <c r="M25" s="178">
        <f>'9-A.Training Sub-Annex'!N236</f>
        <v>0</v>
      </c>
      <c r="N25" s="2002">
        <f>'9-A.Training Sub-Annex'!O236</f>
        <v>0</v>
      </c>
      <c r="O25" s="178">
        <f>'9-A.Training Sub-Annex'!P236</f>
        <v>0</v>
      </c>
      <c r="P25" s="3344">
        <f>'9-A.Training Sub-Annex'!Q236</f>
        <v>0</v>
      </c>
      <c r="Q25" s="3343"/>
      <c r="R25" s="1991"/>
    </row>
    <row r="26" spans="1:18" ht="30" x14ac:dyDescent="0.2">
      <c r="A26" s="4072"/>
      <c r="B26" s="103"/>
      <c r="C26" s="103" t="str">
        <f>'9-A.Training Sub-Annex'!D237</f>
        <v>5 day training of the lab technicians (15 Lab Technicians in each batch)</v>
      </c>
      <c r="D26" s="2002" t="str">
        <f>'9-A.Training Sub-Annex'!E237</f>
        <v>NDCP</v>
      </c>
      <c r="E26" s="2002" t="str">
        <f>'9-A.Training Sub-Annex'!F237</f>
        <v>NVHCP</v>
      </c>
      <c r="F26" s="2002">
        <f>'9-A.Training Sub-Annex'!G237</f>
        <v>0</v>
      </c>
      <c r="G26" s="2002">
        <f>'9-A.Training Sub-Annex'!H237</f>
        <v>0</v>
      </c>
      <c r="H26" s="2002">
        <f>'9-A.Training Sub-Annex'!I237</f>
        <v>0</v>
      </c>
      <c r="I26" s="2002">
        <f>'9-A.Training Sub-Annex'!J237</f>
        <v>0</v>
      </c>
      <c r="J26" s="2002">
        <f>'9-A.Training Sub-Annex'!K237</f>
        <v>0</v>
      </c>
      <c r="K26" s="2002">
        <f>'9-A.Training Sub-Annex'!L237</f>
        <v>0</v>
      </c>
      <c r="L26" s="2002">
        <f>'9-A.Training Sub-Annex'!M237</f>
        <v>0</v>
      </c>
      <c r="M26" s="178">
        <f>'9-A.Training Sub-Annex'!N237</f>
        <v>0</v>
      </c>
      <c r="N26" s="2002">
        <f>'9-A.Training Sub-Annex'!O237</f>
        <v>0</v>
      </c>
      <c r="O26" s="178">
        <f>'9-A.Training Sub-Annex'!P237</f>
        <v>0</v>
      </c>
      <c r="P26" s="3344">
        <f>'9-A.Training Sub-Annex'!Q237</f>
        <v>0</v>
      </c>
      <c r="Q26" s="3343"/>
      <c r="R26" s="1991"/>
    </row>
    <row r="27" spans="1:18" x14ac:dyDescent="0.2">
      <c r="A27" s="4072"/>
      <c r="B27" s="103"/>
      <c r="C27" s="103" t="str">
        <f>'9-A.Training Sub-Annex'!D238</f>
        <v xml:space="preserve">1 day training of Peer support of the Treatment sites (MTC/TCs) </v>
      </c>
      <c r="D27" s="2002" t="str">
        <f>'9-A.Training Sub-Annex'!E238</f>
        <v>NDCP</v>
      </c>
      <c r="E27" s="2002" t="str">
        <f>'9-A.Training Sub-Annex'!F238</f>
        <v>NVHCP</v>
      </c>
      <c r="F27" s="2002">
        <f>'9-A.Training Sub-Annex'!G238</f>
        <v>0</v>
      </c>
      <c r="G27" s="2002">
        <f>'9-A.Training Sub-Annex'!H238</f>
        <v>0</v>
      </c>
      <c r="H27" s="2002">
        <f>'9-A.Training Sub-Annex'!I238</f>
        <v>0</v>
      </c>
      <c r="I27" s="2002">
        <f>'9-A.Training Sub-Annex'!J238</f>
        <v>0</v>
      </c>
      <c r="J27" s="2002">
        <f>'9-A.Training Sub-Annex'!K238</f>
        <v>0</v>
      </c>
      <c r="K27" s="2002">
        <f>'9-A.Training Sub-Annex'!L238</f>
        <v>0</v>
      </c>
      <c r="L27" s="2002">
        <f>'9-A.Training Sub-Annex'!M238</f>
        <v>0</v>
      </c>
      <c r="M27" s="178">
        <f>'9-A.Training Sub-Annex'!N238</f>
        <v>0</v>
      </c>
      <c r="N27" s="2002">
        <f>'9-A.Training Sub-Annex'!O238</f>
        <v>0</v>
      </c>
      <c r="O27" s="178">
        <f>'9-A.Training Sub-Annex'!P238</f>
        <v>0</v>
      </c>
      <c r="P27" s="3344">
        <f>'9-A.Training Sub-Annex'!Q238</f>
        <v>0</v>
      </c>
      <c r="Q27" s="3343"/>
      <c r="R27" s="1991"/>
    </row>
    <row r="28" spans="1:18" x14ac:dyDescent="0.2">
      <c r="A28" s="4072"/>
      <c r="B28" s="103"/>
      <c r="C28" s="103" t="str">
        <f>'9-A.Training Sub-Annex'!D239</f>
        <v xml:space="preserve">1 day training of pharmacist of the Treatment sites (MTC/TCs) </v>
      </c>
      <c r="D28" s="2002" t="str">
        <f>'9-A.Training Sub-Annex'!E239</f>
        <v>NDCP</v>
      </c>
      <c r="E28" s="2002" t="str">
        <f>'9-A.Training Sub-Annex'!F239</f>
        <v>NVHCP</v>
      </c>
      <c r="F28" s="2002">
        <f>'9-A.Training Sub-Annex'!G239</f>
        <v>0</v>
      </c>
      <c r="G28" s="2002">
        <f>'9-A.Training Sub-Annex'!H239</f>
        <v>0</v>
      </c>
      <c r="H28" s="2002">
        <f>'9-A.Training Sub-Annex'!I239</f>
        <v>0</v>
      </c>
      <c r="I28" s="2002">
        <f>'9-A.Training Sub-Annex'!J239</f>
        <v>0</v>
      </c>
      <c r="J28" s="2002">
        <f>'9-A.Training Sub-Annex'!K239</f>
        <v>0</v>
      </c>
      <c r="K28" s="2002">
        <f>'9-A.Training Sub-Annex'!L239</f>
        <v>0</v>
      </c>
      <c r="L28" s="2002">
        <f>'9-A.Training Sub-Annex'!M239</f>
        <v>0</v>
      </c>
      <c r="M28" s="178">
        <f>'9-A.Training Sub-Annex'!N239</f>
        <v>0</v>
      </c>
      <c r="N28" s="2002">
        <f>'9-A.Training Sub-Annex'!O239</f>
        <v>0</v>
      </c>
      <c r="O28" s="178">
        <f>'9-A.Training Sub-Annex'!P239</f>
        <v>0</v>
      </c>
      <c r="P28" s="3344">
        <f>'9-A.Training Sub-Annex'!Q239</f>
        <v>0</v>
      </c>
      <c r="Q28" s="3343"/>
      <c r="R28" s="1991"/>
    </row>
    <row r="29" spans="1:18" x14ac:dyDescent="0.2">
      <c r="A29" s="4072"/>
      <c r="B29" s="103"/>
      <c r="C29" s="103" t="str">
        <f>'9-A.Training Sub-Annex'!D240</f>
        <v xml:space="preserve">1 day training of DEO of the Treatment sites (MTC/TCs) </v>
      </c>
      <c r="D29" s="2002" t="str">
        <f>'9-A.Training Sub-Annex'!E240</f>
        <v>NDCP</v>
      </c>
      <c r="E29" s="2002" t="str">
        <f>'9-A.Training Sub-Annex'!F240</f>
        <v>NVHCP</v>
      </c>
      <c r="F29" s="2002">
        <f>'9-A.Training Sub-Annex'!G240</f>
        <v>0</v>
      </c>
      <c r="G29" s="2002">
        <f>'9-A.Training Sub-Annex'!H240</f>
        <v>0</v>
      </c>
      <c r="H29" s="2002">
        <f>'9-A.Training Sub-Annex'!I240</f>
        <v>0</v>
      </c>
      <c r="I29" s="2002">
        <f>'9-A.Training Sub-Annex'!J240</f>
        <v>0</v>
      </c>
      <c r="J29" s="2002">
        <f>'9-A.Training Sub-Annex'!K240</f>
        <v>0</v>
      </c>
      <c r="K29" s="2002">
        <f>'9-A.Training Sub-Annex'!L240</f>
        <v>0</v>
      </c>
      <c r="L29" s="2002">
        <f>'9-A.Training Sub-Annex'!M240</f>
        <v>0</v>
      </c>
      <c r="M29" s="178">
        <f>'9-A.Training Sub-Annex'!N240</f>
        <v>0</v>
      </c>
      <c r="N29" s="2002">
        <f>'9-A.Training Sub-Annex'!O240</f>
        <v>0</v>
      </c>
      <c r="O29" s="178">
        <f>'9-A.Training Sub-Annex'!P240</f>
        <v>0</v>
      </c>
      <c r="P29" s="3344">
        <f>'9-A.Training Sub-Annex'!Q240</f>
        <v>0</v>
      </c>
      <c r="Q29" s="3343"/>
      <c r="R29" s="1991"/>
    </row>
    <row r="30" spans="1:18" x14ac:dyDescent="0.2">
      <c r="A30" s="4072"/>
      <c r="B30" s="103">
        <f>'9-A.Training Sub-Annex'!C241</f>
        <v>0</v>
      </c>
      <c r="C30" s="103" t="str">
        <f>'9-A.Training Sub-Annex'!D241</f>
        <v>Training for Community Volunteers</v>
      </c>
      <c r="D30" s="2002" t="str">
        <f>'9-A.Training Sub-Annex'!E241</f>
        <v>NDCP</v>
      </c>
      <c r="E30" s="2002" t="str">
        <f>'9-A.Training Sub-Annex'!F241</f>
        <v>NVHCP</v>
      </c>
      <c r="F30" s="2002">
        <f>'9-A.Training Sub-Annex'!G241</f>
        <v>0</v>
      </c>
      <c r="G30" s="2002">
        <f>'9-A.Training Sub-Annex'!H241</f>
        <v>0</v>
      </c>
      <c r="H30" s="2002">
        <f>'9-A.Training Sub-Annex'!I241</f>
        <v>0</v>
      </c>
      <c r="I30" s="2002">
        <f>'9-A.Training Sub-Annex'!J241</f>
        <v>0</v>
      </c>
      <c r="J30" s="2002">
        <f>'9-A.Training Sub-Annex'!K241</f>
        <v>0</v>
      </c>
      <c r="K30" s="2002">
        <f>'9-A.Training Sub-Annex'!L241</f>
        <v>0</v>
      </c>
      <c r="L30" s="2002">
        <f>'9-A.Training Sub-Annex'!M241</f>
        <v>0</v>
      </c>
      <c r="M30" s="178">
        <f>'9-A.Training Sub-Annex'!N241</f>
        <v>0</v>
      </c>
      <c r="N30" s="2002">
        <f>'9-A.Training Sub-Annex'!O241</f>
        <v>0</v>
      </c>
      <c r="O30" s="178">
        <f>'9-A.Training Sub-Annex'!P241</f>
        <v>0</v>
      </c>
      <c r="P30" s="3344">
        <f>'9-A.Training Sub-Annex'!Q241</f>
        <v>0</v>
      </c>
      <c r="Q30" s="3343"/>
      <c r="R30" s="1991"/>
    </row>
    <row r="31" spans="1:18" x14ac:dyDescent="0.2">
      <c r="A31" s="4072"/>
      <c r="B31" s="103">
        <f>'9-A.Training Sub-Annex'!C242</f>
        <v>0</v>
      </c>
      <c r="C31" s="103" t="str">
        <f>'9-A.Training Sub-Annex'!D242</f>
        <v>Any other (please specify)</v>
      </c>
      <c r="D31" s="2002" t="str">
        <f>'9-A.Training Sub-Annex'!E242</f>
        <v>NDCP</v>
      </c>
      <c r="E31" s="2002" t="str">
        <f>'9-A.Training Sub-Annex'!F242</f>
        <v>NVHCP</v>
      </c>
      <c r="F31" s="2002">
        <f>'9-A.Training Sub-Annex'!G242</f>
        <v>0</v>
      </c>
      <c r="G31" s="2002">
        <f>'9-A.Training Sub-Annex'!H242</f>
        <v>0</v>
      </c>
      <c r="H31" s="2002">
        <f>'9-A.Training Sub-Annex'!I242</f>
        <v>0</v>
      </c>
      <c r="I31" s="2002">
        <f>'9-A.Training Sub-Annex'!J242</f>
        <v>0</v>
      </c>
      <c r="J31" s="2002">
        <f>'9-A.Training Sub-Annex'!K242</f>
        <v>0</v>
      </c>
      <c r="K31" s="2002">
        <f>'9-A.Training Sub-Annex'!L242</f>
        <v>0</v>
      </c>
      <c r="L31" s="2002">
        <f>'9-A.Training Sub-Annex'!M242</f>
        <v>0</v>
      </c>
      <c r="M31" s="178">
        <f>'9-A.Training Sub-Annex'!N242</f>
        <v>0</v>
      </c>
      <c r="N31" s="2002">
        <f>'9-A.Training Sub-Annex'!O242</f>
        <v>0</v>
      </c>
      <c r="O31" s="178">
        <f>'9-A.Training Sub-Annex'!P242</f>
        <v>0</v>
      </c>
      <c r="P31" s="3344">
        <f>'9-A.Training Sub-Annex'!Q242</f>
        <v>0</v>
      </c>
      <c r="Q31" s="3343"/>
      <c r="R31" s="1991"/>
    </row>
    <row r="32" spans="1:18" x14ac:dyDescent="0.2">
      <c r="A32" s="1997">
        <f>'11.IEC-BCC Annex'!A7</f>
        <v>11</v>
      </c>
      <c r="B32" s="1997"/>
      <c r="C32" s="1997" t="str">
        <f>'11.IEC-BCC Annex'!C7</f>
        <v>IEC/BCC</v>
      </c>
      <c r="D32" s="1996"/>
      <c r="E32" s="1996"/>
      <c r="F32" s="1996"/>
      <c r="G32" s="1996"/>
      <c r="H32" s="969"/>
      <c r="I32" s="1996"/>
      <c r="J32" s="969"/>
      <c r="K32" s="1997"/>
      <c r="L32" s="1997"/>
      <c r="M32" s="969"/>
      <c r="N32" s="2011"/>
      <c r="O32" s="2012">
        <f>SUM(O33:O33)</f>
        <v>0</v>
      </c>
      <c r="P32" s="3340"/>
      <c r="Q32" s="3341"/>
      <c r="R32" s="2017">
        <f>SUM(R33:R33)</f>
        <v>0</v>
      </c>
    </row>
    <row r="33" spans="1:18" x14ac:dyDescent="0.2">
      <c r="A33" s="1982" t="str">
        <f>'11-A. IEC Sub-Annex'!B75</f>
        <v>11.24.4.3</v>
      </c>
      <c r="B33" s="1982">
        <f>'11-A. IEC Sub-Annex'!C75</f>
        <v>0</v>
      </c>
      <c r="C33" s="1982" t="str">
        <f>'11-A. IEC Sub-Annex'!D75</f>
        <v>IEC under NVHCP</v>
      </c>
      <c r="D33" s="1982" t="str">
        <f>'11-A. IEC Sub-Annex'!E75</f>
        <v>NDCP</v>
      </c>
      <c r="E33" s="1982" t="str">
        <f>'11-A. IEC Sub-Annex'!F75</f>
        <v>NVHCP</v>
      </c>
      <c r="F33" s="1982">
        <f>'11-A. IEC Sub-Annex'!G75</f>
        <v>0</v>
      </c>
      <c r="G33" s="1982">
        <f>'11-A. IEC Sub-Annex'!H75</f>
        <v>0</v>
      </c>
      <c r="H33" s="1982">
        <f>'11-A. IEC Sub-Annex'!I75</f>
        <v>0</v>
      </c>
      <c r="I33" s="1982">
        <f>'11-A. IEC Sub-Annex'!J75</f>
        <v>0</v>
      </c>
      <c r="J33" s="1982">
        <f>'11-A. IEC Sub-Annex'!K75</f>
        <v>0</v>
      </c>
      <c r="K33" s="1982">
        <f>'11-A. IEC Sub-Annex'!L75</f>
        <v>0</v>
      </c>
      <c r="L33" s="1982">
        <f>'11-A. IEC Sub-Annex'!M75</f>
        <v>0</v>
      </c>
      <c r="M33" s="1982">
        <f>'11-A. IEC Sub-Annex'!N75</f>
        <v>0</v>
      </c>
      <c r="N33" s="1982">
        <f>'11-A. IEC Sub-Annex'!O75</f>
        <v>0</v>
      </c>
      <c r="O33" s="1982">
        <f>'11-A. IEC Sub-Annex'!P75</f>
        <v>0</v>
      </c>
      <c r="P33" s="3344">
        <f>'11-A. IEC Sub-Annex'!Q75</f>
        <v>0</v>
      </c>
      <c r="Q33" s="3343"/>
      <c r="R33" s="1991"/>
    </row>
    <row r="34" spans="1:18" x14ac:dyDescent="0.2">
      <c r="A34" s="1997">
        <f>'12.Printing Annex'!A7</f>
        <v>12</v>
      </c>
      <c r="B34" s="1997"/>
      <c r="C34" s="1997" t="str">
        <f>'12.Printing Annex'!C7</f>
        <v>Printing</v>
      </c>
      <c r="D34" s="1996"/>
      <c r="E34" s="1996"/>
      <c r="F34" s="1996"/>
      <c r="G34" s="1996"/>
      <c r="H34" s="969"/>
      <c r="I34" s="1996"/>
      <c r="J34" s="969"/>
      <c r="K34" s="1997"/>
      <c r="L34" s="1997"/>
      <c r="M34" s="969"/>
      <c r="N34" s="2011"/>
      <c r="O34" s="2012">
        <f>O35</f>
        <v>0</v>
      </c>
      <c r="P34" s="3340"/>
      <c r="Q34" s="3341"/>
      <c r="R34" s="2017">
        <f>R35</f>
        <v>0</v>
      </c>
    </row>
    <row r="35" spans="1:18" x14ac:dyDescent="0.2">
      <c r="A35" s="1982" t="str">
        <f>'12.Printing Annex'!A29</f>
        <v>12.3.4</v>
      </c>
      <c r="B35" s="1982">
        <f>'12-A. Print Sub-Annex'!C87</f>
        <v>0</v>
      </c>
      <c r="C35" s="1982" t="str">
        <f>'12-A. Print Sub-Annex'!D87</f>
        <v>Printing for formats/registers under NVHCP</v>
      </c>
      <c r="D35" s="2001" t="str">
        <f>'12-A. Print Sub-Annex'!E87</f>
        <v>NDCP</v>
      </c>
      <c r="E35" s="2001" t="str">
        <f>'12-A. Print Sub-Annex'!F87</f>
        <v>NVHCP</v>
      </c>
      <c r="F35" s="2001">
        <f>'12-A. Print Sub-Annex'!G87</f>
        <v>0</v>
      </c>
      <c r="G35" s="2001">
        <f>'12-A. Print Sub-Annex'!H87</f>
        <v>0</v>
      </c>
      <c r="H35" s="2001">
        <f>'12-A. Print Sub-Annex'!I87</f>
        <v>0</v>
      </c>
      <c r="I35" s="2001">
        <f>'12-A. Print Sub-Annex'!J87</f>
        <v>0</v>
      </c>
      <c r="J35" s="2001">
        <f>'12-A. Print Sub-Annex'!K87</f>
        <v>0</v>
      </c>
      <c r="K35" s="2001">
        <f>'12-A. Print Sub-Annex'!L87</f>
        <v>0</v>
      </c>
      <c r="L35" s="2001">
        <f>'12-A. Print Sub-Annex'!M87</f>
        <v>0</v>
      </c>
      <c r="M35" s="1958">
        <f>'12-A. Print Sub-Annex'!N87</f>
        <v>0</v>
      </c>
      <c r="N35" s="2001">
        <f>'12-A. Print Sub-Annex'!O87</f>
        <v>0</v>
      </c>
      <c r="O35" s="1958">
        <f>'12-A. Print Sub-Annex'!P87</f>
        <v>0</v>
      </c>
      <c r="P35" s="3344">
        <f>'12-A. Print Sub-Annex'!Q87</f>
        <v>0</v>
      </c>
      <c r="Q35" s="3343"/>
      <c r="R35" s="1991"/>
    </row>
    <row r="36" spans="1:18" x14ac:dyDescent="0.2">
      <c r="A36" s="2068">
        <f>'14.Drug warehouse &amp;Logistic Anx'!A7</f>
        <v>14</v>
      </c>
      <c r="B36" s="1952"/>
      <c r="C36" s="2068" t="str">
        <f>'14.Drug warehouse &amp;Logistic Anx'!C7</f>
        <v>Drug Warehousing and Logistics</v>
      </c>
      <c r="D36" s="1842"/>
      <c r="E36" s="1842"/>
      <c r="F36" s="2069"/>
      <c r="G36" s="2069"/>
      <c r="H36" s="1949"/>
      <c r="I36" s="2069"/>
      <c r="J36" s="1949"/>
      <c r="K36" s="2068"/>
      <c r="L36" s="2068"/>
      <c r="M36" s="1949"/>
      <c r="N36" s="2011"/>
      <c r="O36" s="2012">
        <f>O37</f>
        <v>0</v>
      </c>
      <c r="P36" s="3340"/>
      <c r="Q36" s="3341"/>
      <c r="R36" s="2017">
        <f>R37</f>
        <v>0</v>
      </c>
    </row>
    <row r="37" spans="1:18" x14ac:dyDescent="0.2">
      <c r="A37" s="1982" t="str">
        <f>'14.Drug warehouse &amp;Logistic Anx'!A31</f>
        <v>14.2.13</v>
      </c>
      <c r="B37" s="1982"/>
      <c r="C37" s="1982" t="str">
        <f>'14.Drug warehouse &amp;Logistic Anx'!C31</f>
        <v>Sample transportation cost under NVHCP</v>
      </c>
      <c r="D37" s="2001" t="str">
        <f>'14.Drug warehouse &amp;Logistic Anx'!D31</f>
        <v>NDCP</v>
      </c>
      <c r="E37" s="2001" t="str">
        <f>'14.Drug warehouse &amp;Logistic Anx'!E31</f>
        <v>NVHCP</v>
      </c>
      <c r="F37" s="2001">
        <f>'14.Drug warehouse &amp;Logistic Anx'!F31</f>
        <v>0</v>
      </c>
      <c r="G37" s="2001">
        <f>'14.Drug warehouse &amp;Logistic Anx'!G31</f>
        <v>0</v>
      </c>
      <c r="H37" s="2001">
        <f>'14.Drug warehouse &amp;Logistic Anx'!H31</f>
        <v>0</v>
      </c>
      <c r="I37" s="2001">
        <f>'14.Drug warehouse &amp;Logistic Anx'!I31</f>
        <v>0</v>
      </c>
      <c r="J37" s="2001">
        <f>'14.Drug warehouse &amp;Logistic Anx'!J31</f>
        <v>0</v>
      </c>
      <c r="K37" s="2001">
        <f>'14.Drug warehouse &amp;Logistic Anx'!K31</f>
        <v>0</v>
      </c>
      <c r="L37" s="2001">
        <f>'14.Drug warehouse &amp;Logistic Anx'!L31</f>
        <v>0</v>
      </c>
      <c r="M37" s="1958">
        <f>'14.Drug warehouse &amp;Logistic Anx'!M31</f>
        <v>0</v>
      </c>
      <c r="N37" s="2001">
        <f>'14.Drug warehouse &amp;Logistic Anx'!N31</f>
        <v>0</v>
      </c>
      <c r="O37" s="1958">
        <f>'14.Drug warehouse &amp;Logistic Anx'!O31</f>
        <v>0</v>
      </c>
      <c r="P37" s="3344">
        <f>'14.Drug warehouse &amp;Logistic Anx'!P31</f>
        <v>0</v>
      </c>
      <c r="Q37" s="3343"/>
      <c r="R37" s="1991"/>
    </row>
    <row r="38" spans="1:18" x14ac:dyDescent="0.2">
      <c r="A38" s="1997">
        <f>'15.PPP Annex'!A7</f>
        <v>15</v>
      </c>
      <c r="B38" s="1997"/>
      <c r="C38" s="1997" t="str">
        <f>'15.PPP Annex'!C7</f>
        <v>PPP</v>
      </c>
      <c r="D38" s="1996"/>
      <c r="E38" s="1996"/>
      <c r="F38" s="1996"/>
      <c r="G38" s="1996"/>
      <c r="H38" s="969"/>
      <c r="I38" s="1996"/>
      <c r="J38" s="969"/>
      <c r="K38" s="1997"/>
      <c r="L38" s="1997"/>
      <c r="M38" s="969"/>
      <c r="N38" s="2011"/>
      <c r="O38" s="2012">
        <f>SUM(O39)</f>
        <v>0</v>
      </c>
      <c r="P38" s="3340"/>
      <c r="Q38" s="3341"/>
      <c r="R38" s="2017">
        <f>SUM(R39)</f>
        <v>0</v>
      </c>
    </row>
    <row r="39" spans="1:18" x14ac:dyDescent="0.2">
      <c r="A39" s="1982" t="str">
        <f>'15.PPP Annex'!A32</f>
        <v>15.3.4.1</v>
      </c>
      <c r="B39" s="1982" t="str">
        <f>'15.PPP Annex'!B18</f>
        <v>15.9.7</v>
      </c>
      <c r="C39" s="1982" t="str">
        <f>'15.PPP Annex'!C32</f>
        <v>PPP initiative under NVHCP</v>
      </c>
      <c r="D39" s="2001" t="str">
        <f>'15.PPP Annex'!D32</f>
        <v>NDCP</v>
      </c>
      <c r="E39" s="2001" t="str">
        <f>'15.PPP Annex'!E32</f>
        <v>NVHCP</v>
      </c>
      <c r="F39" s="2001">
        <f>'15.PPP Annex'!F32</f>
        <v>0</v>
      </c>
      <c r="G39" s="2001">
        <f>'15.PPP Annex'!G32</f>
        <v>0</v>
      </c>
      <c r="H39" s="2001">
        <f>'15.PPP Annex'!H32</f>
        <v>0</v>
      </c>
      <c r="I39" s="2001">
        <f>'15.PPP Annex'!I32</f>
        <v>0</v>
      </c>
      <c r="J39" s="2001">
        <f>'15.PPP Annex'!J32</f>
        <v>0</v>
      </c>
      <c r="K39" s="2001">
        <f>'15.PPP Annex'!K32</f>
        <v>0</v>
      </c>
      <c r="L39" s="2001">
        <f>'15.PPP Annex'!L32</f>
        <v>0</v>
      </c>
      <c r="M39" s="1958">
        <f>'15.PPP Annex'!M32</f>
        <v>0</v>
      </c>
      <c r="N39" s="2001">
        <f>'15.PPP Annex'!N32</f>
        <v>0</v>
      </c>
      <c r="O39" s="1958">
        <f>'15.PPP Annex'!O32</f>
        <v>0</v>
      </c>
      <c r="P39" s="3344">
        <f>'15.PPP Annex'!P32</f>
        <v>0</v>
      </c>
      <c r="Q39" s="3343"/>
      <c r="R39" s="1991"/>
    </row>
    <row r="40" spans="1:18" x14ac:dyDescent="0.2">
      <c r="A40" s="2068">
        <f>'16.PM Annex'!A7</f>
        <v>16</v>
      </c>
      <c r="B40" s="2068"/>
      <c r="C40" s="2068" t="str">
        <f>'16.PM Annex'!C7</f>
        <v>Programme Management</v>
      </c>
      <c r="D40" s="1901"/>
      <c r="E40" s="1901"/>
      <c r="F40" s="2069"/>
      <c r="G40" s="2069"/>
      <c r="H40" s="1949"/>
      <c r="I40" s="2069"/>
      <c r="J40" s="1949"/>
      <c r="K40" s="2068"/>
      <c r="L40" s="2068"/>
      <c r="M40" s="1949"/>
      <c r="N40" s="2011"/>
      <c r="O40" s="2012">
        <f>SUM(O41:O44)</f>
        <v>0</v>
      </c>
      <c r="P40" s="3340"/>
      <c r="Q40" s="3341"/>
      <c r="R40" s="2017">
        <f>SUM(R41:R44)</f>
        <v>0</v>
      </c>
    </row>
    <row r="41" spans="1:18" x14ac:dyDescent="0.2">
      <c r="A41" s="1982" t="str">
        <f>'16-A. PM sub Annex'!B46</f>
        <v>16.1.2.1.25</v>
      </c>
      <c r="B41" s="1982">
        <f>'16-A. PM sub Annex'!D46</f>
        <v>0</v>
      </c>
      <c r="C41" s="1982" t="str">
        <f>'16-A. PM sub Annex'!E46</f>
        <v>State level review meeting under NVHCP</v>
      </c>
      <c r="D41" s="2001" t="str">
        <f>'16-A. PM sub Annex'!F46</f>
        <v>NDCP</v>
      </c>
      <c r="E41" s="2001" t="str">
        <f>'16-A. PM sub Annex'!G46</f>
        <v>HRH&amp;HPIP/NVHCP</v>
      </c>
      <c r="F41" s="2001">
        <f>'16-A. PM sub Annex'!H46</f>
        <v>0</v>
      </c>
      <c r="G41" s="2001">
        <f>'16-A. PM sub Annex'!I46</f>
        <v>0</v>
      </c>
      <c r="H41" s="2001">
        <f>'16-A. PM sub Annex'!J46</f>
        <v>0</v>
      </c>
      <c r="I41" s="2001">
        <f>'16-A. PM sub Annex'!K46</f>
        <v>0</v>
      </c>
      <c r="J41" s="2001">
        <f>'16-A. PM sub Annex'!L46</f>
        <v>0</v>
      </c>
      <c r="K41" s="2001">
        <f>'16-A. PM sub Annex'!M46</f>
        <v>0</v>
      </c>
      <c r="L41" s="2001">
        <f>'16-A. PM sub Annex'!N46</f>
        <v>0</v>
      </c>
      <c r="M41" s="1958">
        <f>'16-A. PM sub Annex'!O46</f>
        <v>0</v>
      </c>
      <c r="N41" s="2001">
        <f>'16-A. PM sub Annex'!P46</f>
        <v>0</v>
      </c>
      <c r="O41" s="1958">
        <f>'16-A. PM sub Annex'!Q46</f>
        <v>0</v>
      </c>
      <c r="P41" s="3344">
        <f>'16-A. PM sub Annex'!R46</f>
        <v>0</v>
      </c>
      <c r="Q41" s="3343"/>
      <c r="R41" s="1991"/>
    </row>
    <row r="42" spans="1:18" x14ac:dyDescent="0.2">
      <c r="A42" s="1982" t="str">
        <f>'16-A. PM sub Annex'!B85</f>
        <v>16.1.3.1.17</v>
      </c>
      <c r="B42" s="1982">
        <f>'16-A. PM sub Annex'!D85</f>
        <v>0</v>
      </c>
      <c r="C42" s="1982" t="str">
        <f>'16-A. PM sub Annex'!E85</f>
        <v>SVHMU: Cost of travel for supervision and monitoring</v>
      </c>
      <c r="D42" s="2001" t="str">
        <f>'16-A. PM sub Annex'!F85</f>
        <v>NDCP</v>
      </c>
      <c r="E42" s="2001" t="str">
        <f>'16-A. PM sub Annex'!G85</f>
        <v>HRH&amp;HPIP/NVHCP</v>
      </c>
      <c r="F42" s="2001">
        <f>'16-A. PM sub Annex'!H85</f>
        <v>0</v>
      </c>
      <c r="G42" s="2001">
        <f>'16-A. PM sub Annex'!I85</f>
        <v>0</v>
      </c>
      <c r="H42" s="2001">
        <f>'16-A. PM sub Annex'!J85</f>
        <v>0</v>
      </c>
      <c r="I42" s="2001">
        <f>'16-A. PM sub Annex'!K85</f>
        <v>0</v>
      </c>
      <c r="J42" s="2001">
        <f>'16-A. PM sub Annex'!L85</f>
        <v>0</v>
      </c>
      <c r="K42" s="2001">
        <f>'16-A. PM sub Annex'!M85</f>
        <v>0</v>
      </c>
      <c r="L42" s="2001">
        <f>'16-A. PM sub Annex'!N85</f>
        <v>0</v>
      </c>
      <c r="M42" s="1958">
        <f>'16-A. PM sub Annex'!O85</f>
        <v>0</v>
      </c>
      <c r="N42" s="2001">
        <f>'16-A. PM sub Annex'!P85</f>
        <v>0</v>
      </c>
      <c r="O42" s="1958">
        <f>'16-A. PM sub Annex'!Q85</f>
        <v>0</v>
      </c>
      <c r="P42" s="3344">
        <f>'16-A. PM sub Annex'!R85</f>
        <v>0</v>
      </c>
      <c r="Q42" s="3343"/>
      <c r="R42" s="1991"/>
    </row>
    <row r="43" spans="1:18" x14ac:dyDescent="0.2">
      <c r="A43" s="1982" t="str">
        <f>'16-A. PM sub Annex'!B134</f>
        <v>16.1.4.1.14</v>
      </c>
      <c r="B43" s="1982">
        <f>'16-A. PM sub Annex'!D134</f>
        <v>0</v>
      </c>
      <c r="C43" s="1982" t="str">
        <f>'16-A. PM sub Annex'!E134</f>
        <v>SVHMU: Meeting Costs/Office expenses/Contingency</v>
      </c>
      <c r="D43" s="2001" t="str">
        <f>'16-A. PM sub Annex'!F134</f>
        <v>NDCP</v>
      </c>
      <c r="E43" s="2001" t="str">
        <f>'16-A. PM sub Annex'!G134</f>
        <v>HRH&amp;HPIP/NVHCP</v>
      </c>
      <c r="F43" s="2001">
        <f>'16-A. PM sub Annex'!H134</f>
        <v>0</v>
      </c>
      <c r="G43" s="2001">
        <f>'16-A. PM sub Annex'!I134</f>
        <v>0</v>
      </c>
      <c r="H43" s="2001">
        <f>'16-A. PM sub Annex'!J134</f>
        <v>0</v>
      </c>
      <c r="I43" s="2001">
        <f>'16-A. PM sub Annex'!K134</f>
        <v>0</v>
      </c>
      <c r="J43" s="2001">
        <f>'16-A. PM sub Annex'!L134</f>
        <v>0</v>
      </c>
      <c r="K43" s="2001">
        <f>'16-A. PM sub Annex'!M134</f>
        <v>0</v>
      </c>
      <c r="L43" s="2001">
        <f>'16-A. PM sub Annex'!N134</f>
        <v>0</v>
      </c>
      <c r="M43" s="1958">
        <f>'16-A. PM sub Annex'!O134</f>
        <v>0</v>
      </c>
      <c r="N43" s="2001">
        <f>'16-A. PM sub Annex'!P134</f>
        <v>0</v>
      </c>
      <c r="O43" s="1958">
        <f>'16-A. PM sub Annex'!Q134</f>
        <v>0</v>
      </c>
      <c r="P43" s="3344">
        <f>'16-A. PM sub Annex'!R134</f>
        <v>0</v>
      </c>
      <c r="Q43" s="3343"/>
      <c r="R43" s="1991"/>
    </row>
    <row r="44" spans="1:18" x14ac:dyDescent="0.2">
      <c r="A44" s="1982" t="str">
        <f>'16-A. PM sub Annex'!B161</f>
        <v>16.1.5.2.6</v>
      </c>
      <c r="B44" s="1982">
        <f>'16-A. PM sub Annex'!D161</f>
        <v>0</v>
      </c>
      <c r="C44" s="1982" t="str">
        <f>'16-A. PM sub Annex'!E161</f>
        <v>SVHMU: Non-recurring Equipment- (computer, printer photocopier scanner etc)</v>
      </c>
      <c r="D44" s="2001" t="str">
        <f>'16-A. PM sub Annex'!F161</f>
        <v>NDCP</v>
      </c>
      <c r="E44" s="2001" t="str">
        <f>'16-A. PM sub Annex'!G161</f>
        <v>HRH&amp;HPIP/NVHCP</v>
      </c>
      <c r="F44" s="2001">
        <f>'16-A. PM sub Annex'!H161</f>
        <v>0</v>
      </c>
      <c r="G44" s="2001">
        <f>'16-A. PM sub Annex'!I161</f>
        <v>0</v>
      </c>
      <c r="H44" s="2001">
        <f>'16-A. PM sub Annex'!J161</f>
        <v>0</v>
      </c>
      <c r="I44" s="2001">
        <f>'16-A. PM sub Annex'!K161</f>
        <v>0</v>
      </c>
      <c r="J44" s="2001">
        <f>'16-A. PM sub Annex'!L161</f>
        <v>0</v>
      </c>
      <c r="K44" s="2001">
        <f>'16-A. PM sub Annex'!M161</f>
        <v>0</v>
      </c>
      <c r="L44" s="2001">
        <f>'16-A. PM sub Annex'!N161</f>
        <v>0</v>
      </c>
      <c r="M44" s="1958">
        <f>'16-A. PM sub Annex'!O161</f>
        <v>0</v>
      </c>
      <c r="N44" s="2001">
        <f>'16-A. PM sub Annex'!P161</f>
        <v>0</v>
      </c>
      <c r="O44" s="1958">
        <f>'16-A. PM sub Annex'!Q161</f>
        <v>0</v>
      </c>
      <c r="P44" s="3344">
        <f>'16-A. PM sub Annex'!R161</f>
        <v>0</v>
      </c>
      <c r="Q44" s="3343"/>
      <c r="R44" s="1991"/>
    </row>
    <row r="45" spans="1:18" x14ac:dyDescent="0.2">
      <c r="Q45" s="3359"/>
      <c r="R45" s="2071"/>
    </row>
    <row r="46" spans="1:18" x14ac:dyDescent="0.2">
      <c r="Q46" s="3359"/>
      <c r="R46" s="2071"/>
    </row>
    <row r="47" spans="1:18" s="1963" customFormat="1" x14ac:dyDescent="0.2">
      <c r="A47" s="4074" t="s">
        <v>5688</v>
      </c>
      <c r="B47" s="4074"/>
      <c r="C47" s="4074"/>
      <c r="D47" s="724"/>
      <c r="E47" s="724"/>
      <c r="F47" s="724"/>
      <c r="G47" s="724"/>
      <c r="H47" s="528"/>
      <c r="I47" s="724"/>
      <c r="J47" s="528"/>
      <c r="K47" s="2032"/>
      <c r="L47" s="2032"/>
      <c r="M47" s="528"/>
      <c r="N47" s="2022"/>
      <c r="O47" s="1981"/>
      <c r="P47" s="2120"/>
      <c r="Q47" s="2121"/>
      <c r="R47" s="1990"/>
    </row>
    <row r="48" spans="1:18" s="1963" customFormat="1" x14ac:dyDescent="0.2">
      <c r="A48" s="1982" t="str">
        <f>'NUHM-Non Metro Abst'!A15</f>
        <v>U.1.1.1.5</v>
      </c>
      <c r="B48" s="1982">
        <f>'NUHM-Non Metro Abst'!B15</f>
        <v>0</v>
      </c>
      <c r="C48" s="1982" t="str">
        <f>'NUHM-Non Metro Abst'!C15</f>
        <v>Support for implementation of NVHCP</v>
      </c>
      <c r="E48" s="1982" t="str">
        <f>'NUHM-Non Metro Abst'!D15</f>
        <v>NVHCP</v>
      </c>
      <c r="F48" s="1982">
        <f>'NUHM-Non Metro Abst'!E15</f>
        <v>0</v>
      </c>
      <c r="G48" s="1982">
        <f>'NUHM-Non Metro Abst'!F15</f>
        <v>0</v>
      </c>
      <c r="H48" s="1982">
        <f>'NUHM-Non Metro Abst'!G15</f>
        <v>0</v>
      </c>
      <c r="I48" s="1982">
        <f>'NUHM-Non Metro Abst'!H15</f>
        <v>0</v>
      </c>
      <c r="J48" s="1982">
        <f>'NUHM-Non Metro Abst'!I15</f>
        <v>0</v>
      </c>
      <c r="K48" s="1982">
        <f>'NUHM-Non Metro Abst'!J15</f>
        <v>0</v>
      </c>
      <c r="L48" s="1982">
        <f>'NUHM-Non Metro Abst'!K15</f>
        <v>0</v>
      </c>
      <c r="M48" s="1982">
        <f>'NUHM-Non Metro Abst'!L15</f>
        <v>0</v>
      </c>
      <c r="N48" s="1982">
        <f>'NUHM-Non Metro Abst'!M15</f>
        <v>0</v>
      </c>
      <c r="O48" s="1982">
        <f>'NUHM-Non Metro Abst'!N15</f>
        <v>0</v>
      </c>
      <c r="P48" s="3344">
        <f>'NUHM-Non Metro Abst'!O15</f>
        <v>0</v>
      </c>
      <c r="Q48" s="3342"/>
      <c r="R48" s="1991"/>
    </row>
    <row r="49" spans="1:18" s="1963" customFormat="1" x14ac:dyDescent="0.2">
      <c r="A49" s="4074" t="s">
        <v>5687</v>
      </c>
      <c r="B49" s="4074"/>
      <c r="C49" s="4074"/>
      <c r="D49" s="724"/>
      <c r="E49" s="724"/>
      <c r="F49" s="724"/>
      <c r="G49" s="724"/>
      <c r="H49" s="724"/>
      <c r="I49" s="724"/>
      <c r="J49" s="724"/>
      <c r="K49" s="724"/>
      <c r="L49" s="724"/>
      <c r="M49" s="724"/>
      <c r="N49" s="724"/>
      <c r="O49" s="724"/>
      <c r="P49" s="724"/>
      <c r="Q49" s="2121"/>
      <c r="R49" s="1990"/>
    </row>
    <row r="50" spans="1:18" s="1963" customFormat="1" x14ac:dyDescent="0.2">
      <c r="A50" s="1982" t="str">
        <f>'NUHM Metro Abst'!A15</f>
        <v>U.1.1.1.5</v>
      </c>
      <c r="B50" s="1982">
        <f>'NUHM Metro Abst'!B15</f>
        <v>0</v>
      </c>
      <c r="C50" s="1982" t="str">
        <f>'NUHM Metro Abst'!C15</f>
        <v>Support for implementation of NVHCP</v>
      </c>
      <c r="E50" s="1982" t="str">
        <f>'NUHM Metro Abst'!D15</f>
        <v>NVHCP</v>
      </c>
      <c r="F50" s="1982">
        <f>'NUHM Metro Abst'!E15</f>
        <v>0</v>
      </c>
      <c r="G50" s="1982">
        <f>'NUHM Metro Abst'!F15</f>
        <v>0</v>
      </c>
      <c r="H50" s="1982">
        <f>'NUHM Metro Abst'!G15</f>
        <v>0</v>
      </c>
      <c r="I50" s="1982">
        <f>'NUHM Metro Abst'!H15</f>
        <v>0</v>
      </c>
      <c r="J50" s="1982">
        <f>'NUHM Metro Abst'!I15</f>
        <v>0</v>
      </c>
      <c r="K50" s="1982">
        <f>'NUHM Metro Abst'!J15</f>
        <v>0</v>
      </c>
      <c r="L50" s="1982">
        <f>'NUHM Metro Abst'!K15</f>
        <v>0</v>
      </c>
      <c r="M50" s="1982">
        <f>'NUHM Metro Abst'!L15</f>
        <v>0</v>
      </c>
      <c r="N50" s="1982">
        <f>'NUHM Metro Abst'!M15</f>
        <v>0</v>
      </c>
      <c r="O50" s="1982">
        <f>'NUHM Metro Abst'!N15</f>
        <v>0</v>
      </c>
      <c r="P50" s="3344">
        <f>'NUHM Metro Abst'!O15</f>
        <v>0</v>
      </c>
      <c r="Q50" s="3342"/>
      <c r="R50" s="68"/>
    </row>
  </sheetData>
  <sheetProtection sheet="1" formatCells="0" formatColumns="0" formatRows="0"/>
  <autoFilter ref="A5:M44"/>
  <mergeCells count="14">
    <mergeCell ref="D4:D5"/>
    <mergeCell ref="A15:A16"/>
    <mergeCell ref="A18:A21"/>
    <mergeCell ref="A25:A31"/>
    <mergeCell ref="Q4:R4"/>
    <mergeCell ref="E4:E5"/>
    <mergeCell ref="F4:J4"/>
    <mergeCell ref="K4:P4"/>
    <mergeCell ref="A47:C47"/>
    <mergeCell ref="A49:C49"/>
    <mergeCell ref="A1:C1"/>
    <mergeCell ref="A4:A5"/>
    <mergeCell ref="B4:B5"/>
    <mergeCell ref="C4:C5"/>
  </mergeCell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R22"/>
  <sheetViews>
    <sheetView zoomScale="80" zoomScaleNormal="80" zoomScaleSheetLayoutView="80" workbookViewId="0">
      <pane xSplit="3" ySplit="5" topLeftCell="D6" activePane="bottomRight" state="frozen"/>
      <selection activeCell="C107" sqref="C107"/>
      <selection pane="topRight" activeCell="C107" sqref="C107"/>
      <selection pane="bottomLeft" activeCell="C107" sqref="C107"/>
      <selection pane="bottomRight" activeCell="P16" sqref="P16"/>
    </sheetView>
  </sheetViews>
  <sheetFormatPr defaultColWidth="8.7109375" defaultRowHeight="15" x14ac:dyDescent="0.25"/>
  <cols>
    <col min="1" max="1" width="11.85546875" style="2102" customWidth="1"/>
    <col min="2" max="2" width="20.5703125" style="2102" hidden="1" customWidth="1"/>
    <col min="3" max="3" width="40.85546875" style="2102" customWidth="1"/>
    <col min="4" max="4" width="9.7109375" style="2078" customWidth="1"/>
    <col min="5" max="5" width="15.5703125" style="2078" customWidth="1"/>
    <col min="6" max="6" width="17.140625" style="2078" customWidth="1"/>
    <col min="7" max="7" width="20.85546875" style="2078" customWidth="1"/>
    <col min="8" max="8" width="23.7109375" style="2103" customWidth="1"/>
    <col min="9" max="9" width="13.42578125" style="2078" customWidth="1"/>
    <col min="10" max="10" width="12.42578125" style="2103" customWidth="1"/>
    <col min="11" max="11" width="18.140625" style="2102" customWidth="1"/>
    <col min="12" max="12" width="16" style="2102" customWidth="1"/>
    <col min="13" max="13" width="16.5703125" style="2103" customWidth="1"/>
    <col min="14" max="14" width="8.7109375" style="2075"/>
    <col min="15" max="15" width="10.7109375" style="2075" customWidth="1"/>
    <col min="16" max="16" width="27.28515625" style="2075" customWidth="1"/>
    <col min="17" max="17" width="24" style="2075" customWidth="1"/>
    <col min="18" max="18" width="13.28515625" style="2075" customWidth="1"/>
    <col min="19" max="16384" width="8.7109375" style="2075"/>
  </cols>
  <sheetData>
    <row r="1" spans="1:18" ht="14.45" customHeight="1" x14ac:dyDescent="0.25">
      <c r="A1" s="4087" t="s">
        <v>3994</v>
      </c>
      <c r="B1" s="4087"/>
      <c r="C1" s="4087"/>
      <c r="D1" s="2072"/>
      <c r="E1" s="883"/>
      <c r="F1" s="2025" t="s">
        <v>3995</v>
      </c>
      <c r="G1" s="2073"/>
      <c r="H1" s="2073"/>
      <c r="I1" s="2073"/>
      <c r="J1" s="2073"/>
      <c r="K1" s="2073"/>
      <c r="L1" s="2073"/>
      <c r="M1" s="2074"/>
    </row>
    <row r="2" spans="1:18" x14ac:dyDescent="0.25">
      <c r="A2" s="1859" t="str">
        <f>HYPERLINK("#Index!F3", "Index Pg")</f>
        <v>Index Pg</v>
      </c>
      <c r="B2" s="1864"/>
      <c r="C2" s="831" t="str">
        <f>HYPERLINK("#'Budget Summary I'!A1:AL1", "Budget Summary I")</f>
        <v>Budget Summary I</v>
      </c>
      <c r="D2" s="2076"/>
      <c r="E2" s="1460" t="s">
        <v>4608</v>
      </c>
      <c r="F2" s="177">
        <f>R6+R9+R11+R13+R15</f>
        <v>0</v>
      </c>
      <c r="G2" s="2008"/>
      <c r="H2" s="2008"/>
      <c r="I2" s="2008"/>
      <c r="J2" s="2008"/>
      <c r="K2" s="2008"/>
      <c r="L2" s="2008"/>
      <c r="M2" s="1858"/>
    </row>
    <row r="3" spans="1:18" s="2077" customFormat="1" x14ac:dyDescent="0.25">
      <c r="A3" s="1863"/>
      <c r="B3" s="1864"/>
      <c r="C3" s="831" t="str">
        <f>HYPERLINK("#'Budget Summary II'!A3:B5", "Budget Summary II")</f>
        <v>Budget Summary II</v>
      </c>
      <c r="D3" s="2076"/>
      <c r="E3" s="1460" t="s">
        <v>4609</v>
      </c>
      <c r="F3" s="177">
        <f>O6+O9+O11+O13+O15</f>
        <v>0</v>
      </c>
      <c r="G3" s="2008"/>
      <c r="H3" s="2008"/>
      <c r="I3" s="2008"/>
      <c r="J3" s="2008"/>
      <c r="K3" s="2008"/>
      <c r="L3" s="2008"/>
      <c r="M3" s="1858"/>
    </row>
    <row r="4" spans="1:18" s="2078" customFormat="1" ht="14.45" customHeight="1" x14ac:dyDescent="0.25">
      <c r="A4" s="3823" t="s">
        <v>53</v>
      </c>
      <c r="B4" s="3823" t="s">
        <v>54</v>
      </c>
      <c r="C4" s="3823" t="s">
        <v>55</v>
      </c>
      <c r="D4" s="3823" t="s">
        <v>56</v>
      </c>
      <c r="E4" s="3823" t="s">
        <v>57</v>
      </c>
      <c r="F4" s="3822" t="s">
        <v>4629</v>
      </c>
      <c r="G4" s="3822"/>
      <c r="H4" s="3822"/>
      <c r="I4" s="3822"/>
      <c r="J4" s="3822"/>
      <c r="K4" s="3822" t="s">
        <v>4640</v>
      </c>
      <c r="L4" s="3822"/>
      <c r="M4" s="3822"/>
      <c r="N4" s="3822"/>
      <c r="O4" s="3822"/>
      <c r="P4" s="3822"/>
      <c r="Q4" s="3826" t="s">
        <v>4670</v>
      </c>
      <c r="R4" s="3826"/>
    </row>
    <row r="5" spans="1:18" s="2078" customFormat="1" ht="60" x14ac:dyDescent="0.25">
      <c r="A5" s="4086"/>
      <c r="B5" s="4086"/>
      <c r="C5" s="4086"/>
      <c r="D5" s="4086"/>
      <c r="E5" s="4086"/>
      <c r="F5" s="2079" t="s">
        <v>4630</v>
      </c>
      <c r="G5" s="2079" t="s">
        <v>4638</v>
      </c>
      <c r="H5" s="2079" t="s">
        <v>4631</v>
      </c>
      <c r="I5" s="2079" t="s">
        <v>4639</v>
      </c>
      <c r="J5" s="2079" t="s">
        <v>2538</v>
      </c>
      <c r="K5" s="2080" t="s">
        <v>58</v>
      </c>
      <c r="L5" s="2080" t="s">
        <v>59</v>
      </c>
      <c r="M5" s="2081" t="s">
        <v>60</v>
      </c>
      <c r="N5" s="2080" t="s">
        <v>61</v>
      </c>
      <c r="O5" s="2081" t="s">
        <v>62</v>
      </c>
      <c r="P5" s="897" t="s">
        <v>63</v>
      </c>
      <c r="Q5" s="899" t="s">
        <v>2540</v>
      </c>
      <c r="R5" s="900" t="s">
        <v>4671</v>
      </c>
    </row>
    <row r="6" spans="1:18" x14ac:dyDescent="0.25">
      <c r="A6" s="2032">
        <f>'6.Procurement Annex'!A7</f>
        <v>6</v>
      </c>
      <c r="B6" s="2032"/>
      <c r="C6" s="2032" t="str">
        <f>'6.Procurement Annex'!C7</f>
        <v>Procurement</v>
      </c>
      <c r="D6" s="724"/>
      <c r="E6" s="724"/>
      <c r="F6" s="724"/>
      <c r="G6" s="724"/>
      <c r="H6" s="528"/>
      <c r="I6" s="724"/>
      <c r="J6" s="528"/>
      <c r="K6" s="2032"/>
      <c r="L6" s="2032"/>
      <c r="M6" s="528"/>
      <c r="N6" s="2082"/>
      <c r="O6" s="2083">
        <f>SUM(O7:O8)</f>
        <v>0</v>
      </c>
      <c r="P6" s="2082"/>
      <c r="Q6" s="2082"/>
      <c r="R6" s="2083">
        <f>SUM(R7:R8)</f>
        <v>0</v>
      </c>
    </row>
    <row r="7" spans="1:18" s="2088" customFormat="1" ht="45" x14ac:dyDescent="0.25">
      <c r="A7" s="2084" t="str">
        <f>'6.Procurement Annex'!A34</f>
        <v>6.1.4.5</v>
      </c>
      <c r="B7" s="2085">
        <f>'6-A. Proc. Sub-Annex'!C91</f>
        <v>0</v>
      </c>
      <c r="C7" s="2084" t="str">
        <f>'6-A. Proc. Sub-Annex'!D91</f>
        <v>Procurement of equipment &amp; computer for district level Model Anti Rabies Clinics in existing health facilities</v>
      </c>
      <c r="D7" s="2086" t="str">
        <f>'6-A. Proc. Sub-Annex'!E91</f>
        <v>NDCP</v>
      </c>
      <c r="E7" s="2086" t="str">
        <f>'6-A. Proc. Sub-Annex'!F91</f>
        <v>NRCP</v>
      </c>
      <c r="F7" s="2086">
        <f>'6-A. Proc. Sub-Annex'!G91</f>
        <v>0</v>
      </c>
      <c r="G7" s="2086">
        <f>'6-A. Proc. Sub-Annex'!H91</f>
        <v>0</v>
      </c>
      <c r="H7" s="2086">
        <f>'6-A. Proc. Sub-Annex'!I91</f>
        <v>0</v>
      </c>
      <c r="I7" s="2086">
        <f>'6-A. Proc. Sub-Annex'!J91</f>
        <v>0</v>
      </c>
      <c r="J7" s="2086">
        <f>'6-A. Proc. Sub-Annex'!K91</f>
        <v>0</v>
      </c>
      <c r="K7" s="2086">
        <f>'6-A. Proc. Sub-Annex'!L91</f>
        <v>0</v>
      </c>
      <c r="L7" s="2086">
        <f>'6-A. Proc. Sub-Annex'!M91</f>
        <v>0</v>
      </c>
      <c r="M7" s="2087">
        <f>'6-A. Proc. Sub-Annex'!N91</f>
        <v>0</v>
      </c>
      <c r="N7" s="2086">
        <f>'6-A. Proc. Sub-Annex'!O91</f>
        <v>0</v>
      </c>
      <c r="O7" s="2087">
        <f>'6-A. Proc. Sub-Annex'!P91</f>
        <v>0</v>
      </c>
      <c r="P7" s="1998">
        <f>'6-A. Proc. Sub-Annex'!Q91</f>
        <v>0</v>
      </c>
      <c r="Q7" s="2107"/>
      <c r="R7" s="2108"/>
    </row>
    <row r="8" spans="1:18" ht="30" x14ac:dyDescent="0.25">
      <c r="A8" s="2089" t="str">
        <f>'6.Procurement Annex'!A76</f>
        <v>6.2.3.5</v>
      </c>
      <c r="B8" s="2089">
        <f>'6-A. Proc. Sub-Annex'!C245</f>
        <v>0</v>
      </c>
      <c r="C8" s="2089" t="str">
        <f>'6-A. Proc. Sub-Annex'!D245</f>
        <v>Provision of Anti-Rabies Vaccine/Anti-Rabies Serum for animal bite victims</v>
      </c>
      <c r="D8" s="2090" t="str">
        <f>'6-A. Proc. Sub-Annex'!E245</f>
        <v>NDCP</v>
      </c>
      <c r="E8" s="2090" t="str">
        <f>'6-A. Proc. Sub-Annex'!F245</f>
        <v>NRCP</v>
      </c>
      <c r="F8" s="2090">
        <f>'6-A. Proc. Sub-Annex'!G245</f>
        <v>0</v>
      </c>
      <c r="G8" s="2090">
        <f>'6-A. Proc. Sub-Annex'!H245</f>
        <v>0</v>
      </c>
      <c r="H8" s="2090">
        <f>'6-A. Proc. Sub-Annex'!I245</f>
        <v>0</v>
      </c>
      <c r="I8" s="2090">
        <f>'6-A. Proc. Sub-Annex'!J245</f>
        <v>0</v>
      </c>
      <c r="J8" s="2090">
        <f>'6-A. Proc. Sub-Annex'!K245</f>
        <v>0</v>
      </c>
      <c r="K8" s="2090">
        <f>'6-A. Proc. Sub-Annex'!L245</f>
        <v>0</v>
      </c>
      <c r="L8" s="2090">
        <f>'6-A. Proc. Sub-Annex'!M245</f>
        <v>0</v>
      </c>
      <c r="M8" s="2091">
        <f>'6-A. Proc. Sub-Annex'!N245</f>
        <v>0</v>
      </c>
      <c r="N8" s="2090">
        <f>'6-A. Proc. Sub-Annex'!O245</f>
        <v>0</v>
      </c>
      <c r="O8" s="2091">
        <f>'6-A. Proc. Sub-Annex'!P245</f>
        <v>0</v>
      </c>
      <c r="P8" s="2092">
        <f>'6-A. Proc. Sub-Annex'!Q245</f>
        <v>0</v>
      </c>
      <c r="Q8" s="2109"/>
      <c r="R8" s="2110"/>
    </row>
    <row r="9" spans="1:18" x14ac:dyDescent="0.25">
      <c r="A9" s="2032">
        <f>'9.Training Annex'!A7</f>
        <v>9</v>
      </c>
      <c r="B9" s="2032"/>
      <c r="C9" s="2032" t="str">
        <f>'9.Training Annex'!C7</f>
        <v>Training and Capacity Building</v>
      </c>
      <c r="D9" s="724"/>
      <c r="E9" s="724"/>
      <c r="F9" s="724"/>
      <c r="G9" s="724"/>
      <c r="H9" s="528"/>
      <c r="I9" s="724"/>
      <c r="J9" s="528"/>
      <c r="K9" s="2032"/>
      <c r="L9" s="2032"/>
      <c r="M9" s="528"/>
      <c r="N9" s="2082"/>
      <c r="O9" s="2093">
        <f>O10</f>
        <v>0</v>
      </c>
      <c r="P9" s="2094"/>
      <c r="Q9" s="2111"/>
      <c r="R9" s="2112">
        <f>R10</f>
        <v>0</v>
      </c>
    </row>
    <row r="10" spans="1:18" ht="30" x14ac:dyDescent="0.25">
      <c r="A10" s="2095" t="str">
        <f>'9-A.Training Sub-Annex'!B244</f>
        <v>9.5.29.7</v>
      </c>
      <c r="B10" s="2095"/>
      <c r="C10" s="2095" t="str">
        <f>'9-A.Training Sub-Annex'!D244</f>
        <v>Trainings of Medical Officers and Health Workers under NRCP</v>
      </c>
      <c r="D10" s="2096" t="str">
        <f>'9-A.Training Sub-Annex'!E244</f>
        <v>NDCP</v>
      </c>
      <c r="E10" s="2096" t="str">
        <f>'9-A.Training Sub-Annex'!F244</f>
        <v>NRCP</v>
      </c>
      <c r="F10" s="2096">
        <f>'9-A.Training Sub-Annex'!G244</f>
        <v>0</v>
      </c>
      <c r="G10" s="2096">
        <f>'9-A.Training Sub-Annex'!H244</f>
        <v>0</v>
      </c>
      <c r="H10" s="2096">
        <f>'9-A.Training Sub-Annex'!I244</f>
        <v>0</v>
      </c>
      <c r="I10" s="2096">
        <f>'9-A.Training Sub-Annex'!J244</f>
        <v>0</v>
      </c>
      <c r="J10" s="2096">
        <f>'9-A.Training Sub-Annex'!K244</f>
        <v>0</v>
      </c>
      <c r="K10" s="2096">
        <f>'9-A.Training Sub-Annex'!L244</f>
        <v>0</v>
      </c>
      <c r="L10" s="2096">
        <f>'9-A.Training Sub-Annex'!M244</f>
        <v>0</v>
      </c>
      <c r="M10" s="2097">
        <f>'9-A.Training Sub-Annex'!N244</f>
        <v>0</v>
      </c>
      <c r="N10" s="2096">
        <f>'9-A.Training Sub-Annex'!O244</f>
        <v>0</v>
      </c>
      <c r="O10" s="2097">
        <f>'9-A.Training Sub-Annex'!P244</f>
        <v>0</v>
      </c>
      <c r="P10" s="103">
        <f>'9-A.Training Sub-Annex'!Q244</f>
        <v>0</v>
      </c>
      <c r="Q10" s="2109"/>
      <c r="R10" s="2110"/>
    </row>
    <row r="11" spans="1:18" x14ac:dyDescent="0.25">
      <c r="A11" s="2032">
        <f>'11.IEC-BCC Annex'!A7</f>
        <v>11</v>
      </c>
      <c r="B11" s="2032"/>
      <c r="C11" s="2032" t="str">
        <f>'11.IEC-BCC Annex'!C7</f>
        <v>IEC/BCC</v>
      </c>
      <c r="D11" s="724"/>
      <c r="E11" s="724"/>
      <c r="F11" s="724"/>
      <c r="G11" s="724"/>
      <c r="H11" s="528"/>
      <c r="I11" s="724"/>
      <c r="J11" s="528"/>
      <c r="K11" s="2032"/>
      <c r="L11" s="2032"/>
      <c r="M11" s="528"/>
      <c r="N11" s="2082"/>
      <c r="O11" s="2093">
        <f>O12</f>
        <v>0</v>
      </c>
      <c r="P11" s="2094"/>
      <c r="Q11" s="2111"/>
      <c r="R11" s="2112">
        <f>R12</f>
        <v>0</v>
      </c>
    </row>
    <row r="12" spans="1:18" ht="30" x14ac:dyDescent="0.25">
      <c r="A12" s="2095" t="str">
        <f>'11.IEC-BCC Annex'!A30</f>
        <v>11.3.6</v>
      </c>
      <c r="B12" s="2095"/>
      <c r="C12" s="2095" t="str">
        <f>'11-A. IEC Sub-Annex'!D73</f>
        <v>IEC/BCC under NRCP: Rabies Awareness and Do's and Don'ts in the event of Animal Bites</v>
      </c>
      <c r="D12" s="2096" t="str">
        <f>'11-A. IEC Sub-Annex'!E73</f>
        <v>NDCP</v>
      </c>
      <c r="E12" s="2096" t="str">
        <f>'11-A. IEC Sub-Annex'!F73</f>
        <v>NRCP</v>
      </c>
      <c r="F12" s="2096">
        <f>'11-A. IEC Sub-Annex'!G73</f>
        <v>0</v>
      </c>
      <c r="G12" s="2096">
        <f>'11-A. IEC Sub-Annex'!H73</f>
        <v>0</v>
      </c>
      <c r="H12" s="2096">
        <f>'11-A. IEC Sub-Annex'!I73</f>
        <v>0</v>
      </c>
      <c r="I12" s="2096">
        <f>'11-A. IEC Sub-Annex'!J73</f>
        <v>0</v>
      </c>
      <c r="J12" s="2096">
        <f>'11-A. IEC Sub-Annex'!K73</f>
        <v>0</v>
      </c>
      <c r="K12" s="2096">
        <f>'11-A. IEC Sub-Annex'!L73</f>
        <v>0</v>
      </c>
      <c r="L12" s="2096">
        <f>'11-A. IEC Sub-Annex'!M73</f>
        <v>0</v>
      </c>
      <c r="M12" s="2097">
        <f>'11-A. IEC Sub-Annex'!N73</f>
        <v>0</v>
      </c>
      <c r="N12" s="2096">
        <f>'11-A. IEC Sub-Annex'!O73</f>
        <v>0</v>
      </c>
      <c r="O12" s="2097">
        <f>'11-A. IEC Sub-Annex'!P73</f>
        <v>0</v>
      </c>
      <c r="P12" s="103">
        <f>'11-A. IEC Sub-Annex'!Q73</f>
        <v>0</v>
      </c>
      <c r="Q12" s="2109"/>
      <c r="R12" s="2110"/>
    </row>
    <row r="13" spans="1:18" x14ac:dyDescent="0.25">
      <c r="A13" s="2032">
        <f>'12.Printing Annex'!A7</f>
        <v>12</v>
      </c>
      <c r="B13" s="2032"/>
      <c r="C13" s="2032" t="str">
        <f>'12.Printing Annex'!C7</f>
        <v>Printing</v>
      </c>
      <c r="D13" s="724"/>
      <c r="E13" s="724"/>
      <c r="F13" s="724"/>
      <c r="G13" s="724"/>
      <c r="H13" s="528"/>
      <c r="I13" s="724"/>
      <c r="J13" s="528"/>
      <c r="K13" s="2032"/>
      <c r="L13" s="2032"/>
      <c r="M13" s="528"/>
      <c r="N13" s="2082"/>
      <c r="O13" s="2093">
        <f>O14</f>
        <v>0</v>
      </c>
      <c r="P13" s="2094"/>
      <c r="Q13" s="2111"/>
      <c r="R13" s="2112">
        <f>R14</f>
        <v>0</v>
      </c>
    </row>
    <row r="14" spans="1:18" ht="30" x14ac:dyDescent="0.25">
      <c r="A14" s="2095" t="str">
        <f>'12.Printing Annex'!A31</f>
        <v>12.3.6</v>
      </c>
      <c r="B14" s="2095"/>
      <c r="C14" s="2095" t="str">
        <f>'12-A. Print Sub-Annex'!D89</f>
        <v>Printing of formats for Monitoring and Surveillance under NRCP</v>
      </c>
      <c r="D14" s="2096" t="str">
        <f>'12-A. Print Sub-Annex'!E89</f>
        <v>NDCP</v>
      </c>
      <c r="E14" s="2096" t="str">
        <f>'12-A. Print Sub-Annex'!F89</f>
        <v>NRCP</v>
      </c>
      <c r="F14" s="2096">
        <f>'12-A. Print Sub-Annex'!G89</f>
        <v>0</v>
      </c>
      <c r="G14" s="2096">
        <f>'12-A. Print Sub-Annex'!H89</f>
        <v>0</v>
      </c>
      <c r="H14" s="2096">
        <f>'12-A. Print Sub-Annex'!I89</f>
        <v>0</v>
      </c>
      <c r="I14" s="2096">
        <f>'12-A. Print Sub-Annex'!J89</f>
        <v>0</v>
      </c>
      <c r="J14" s="2096">
        <f>'12-A. Print Sub-Annex'!K89</f>
        <v>0</v>
      </c>
      <c r="K14" s="2096">
        <f>'12-A. Print Sub-Annex'!L89</f>
        <v>0</v>
      </c>
      <c r="L14" s="2096">
        <f>'12-A. Print Sub-Annex'!M89</f>
        <v>0</v>
      </c>
      <c r="M14" s="2097">
        <f>'12-A. Print Sub-Annex'!N89</f>
        <v>0</v>
      </c>
      <c r="N14" s="2096">
        <f>'12-A. Print Sub-Annex'!O89</f>
        <v>0</v>
      </c>
      <c r="O14" s="2097">
        <f>'12-A. Print Sub-Annex'!P89</f>
        <v>0</v>
      </c>
      <c r="P14" s="103">
        <f>'12-A. Print Sub-Annex'!Q89</f>
        <v>0</v>
      </c>
      <c r="Q14" s="2109"/>
      <c r="R14" s="2110"/>
    </row>
    <row r="15" spans="1:18" x14ac:dyDescent="0.25">
      <c r="A15" s="844">
        <f>'16.PM Annex'!A7</f>
        <v>16</v>
      </c>
      <c r="B15" s="844"/>
      <c r="C15" s="844" t="str">
        <f>'16.PM Annex'!C7</f>
        <v>Programme Management</v>
      </c>
      <c r="D15" s="2098"/>
      <c r="E15" s="2098"/>
      <c r="F15" s="2098"/>
      <c r="G15" s="2098"/>
      <c r="H15" s="2020"/>
      <c r="I15" s="2098"/>
      <c r="J15" s="528"/>
      <c r="K15" s="844"/>
      <c r="L15" s="844"/>
      <c r="M15" s="528"/>
      <c r="N15" s="2082"/>
      <c r="O15" s="2093">
        <f>O16</f>
        <v>0</v>
      </c>
      <c r="P15" s="2094"/>
      <c r="Q15" s="2111"/>
      <c r="R15" s="2112">
        <f>R16</f>
        <v>0</v>
      </c>
    </row>
    <row r="16" spans="1:18" ht="30" x14ac:dyDescent="0.25">
      <c r="A16" s="2099" t="str">
        <f>'16-A. PM sub Annex'!B65</f>
        <v>16.1.2.2.16</v>
      </c>
      <c r="B16" s="2099"/>
      <c r="C16" s="2099" t="str">
        <f>'16-A. PM sub Annex'!E65</f>
        <v>Monitoring and Surveillance (review meetings , Travel) under NRCP</v>
      </c>
      <c r="D16" s="2100" t="str">
        <f>'16-A. PM sub Annex'!F65</f>
        <v>NDCP</v>
      </c>
      <c r="E16" s="2100" t="str">
        <f>'16-A. PM sub Annex'!G65</f>
        <v>HRH&amp;HPIP/NRCP</v>
      </c>
      <c r="F16" s="2100">
        <f>'16-A. PM sub Annex'!H65</f>
        <v>0</v>
      </c>
      <c r="G16" s="2100">
        <f>'16-A. PM sub Annex'!I65</f>
        <v>0</v>
      </c>
      <c r="H16" s="2100">
        <f>'16-A. PM sub Annex'!J65</f>
        <v>0</v>
      </c>
      <c r="I16" s="2100">
        <f>'16-A. PM sub Annex'!K65</f>
        <v>0</v>
      </c>
      <c r="J16" s="2100">
        <f>'16-A. PM sub Annex'!L65</f>
        <v>0</v>
      </c>
      <c r="K16" s="2100">
        <f>'16-A. PM sub Annex'!M65</f>
        <v>0</v>
      </c>
      <c r="L16" s="2100">
        <f>'16-A. PM sub Annex'!N65</f>
        <v>0</v>
      </c>
      <c r="M16" s="2101">
        <f>'16-A. PM sub Annex'!O65</f>
        <v>0</v>
      </c>
      <c r="N16" s="2100">
        <f>'16-A. PM sub Annex'!P65</f>
        <v>0</v>
      </c>
      <c r="O16" s="2101">
        <f>'16-A. PM sub Annex'!Q65</f>
        <v>0</v>
      </c>
      <c r="P16" s="103">
        <f>'16-A. PM sub Annex'!R65</f>
        <v>0</v>
      </c>
      <c r="Q16" s="2109"/>
      <c r="R16" s="2110"/>
    </row>
    <row r="17" spans="1:18" x14ac:dyDescent="0.25">
      <c r="K17" s="2104"/>
      <c r="L17" s="2104"/>
      <c r="M17" s="2105"/>
      <c r="O17" s="2106"/>
      <c r="Q17" s="2113"/>
      <c r="R17" s="2113"/>
    </row>
    <row r="18" spans="1:18" x14ac:dyDescent="0.25">
      <c r="K18" s="2104"/>
      <c r="L18" s="2104"/>
      <c r="M18" s="2105"/>
      <c r="Q18" s="2113"/>
      <c r="R18" s="2113"/>
    </row>
    <row r="19" spans="1:18" s="1963" customFormat="1" x14ac:dyDescent="0.2">
      <c r="A19" s="4074" t="s">
        <v>5688</v>
      </c>
      <c r="B19" s="4074"/>
      <c r="C19" s="4074"/>
      <c r="D19" s="724"/>
      <c r="E19" s="724"/>
      <c r="F19" s="724"/>
      <c r="G19" s="724"/>
      <c r="H19" s="528"/>
      <c r="I19" s="724"/>
      <c r="J19" s="528"/>
      <c r="K19" s="2032"/>
      <c r="L19" s="2032"/>
      <c r="M19" s="528"/>
      <c r="N19" s="2022"/>
      <c r="O19" s="1981"/>
      <c r="P19" s="1976"/>
      <c r="Q19" s="1989"/>
      <c r="R19" s="1990"/>
    </row>
    <row r="20" spans="1:18" s="1963" customFormat="1" x14ac:dyDescent="0.2">
      <c r="A20" s="1982" t="str">
        <f>'NUHM-Non Metro Abst'!A16</f>
        <v>U.1.1.1.6</v>
      </c>
      <c r="B20" s="1982">
        <f>'NUHM-Non Metro Abst'!B16</f>
        <v>0</v>
      </c>
      <c r="C20" s="1982" t="str">
        <f>'NUHM-Non Metro Abst'!C16</f>
        <v>Support for implementation of NRCP</v>
      </c>
      <c r="E20" s="1982" t="str">
        <f>'NUHM-Non Metro Abst'!D16</f>
        <v>NRCP</v>
      </c>
      <c r="F20" s="1982">
        <f>'NUHM-Non Metro Abst'!E16</f>
        <v>0</v>
      </c>
      <c r="G20" s="1982">
        <f>'NUHM-Non Metro Abst'!F16</f>
        <v>0</v>
      </c>
      <c r="H20" s="1982">
        <f>'NUHM-Non Metro Abst'!G16</f>
        <v>0</v>
      </c>
      <c r="I20" s="1982">
        <f>'NUHM-Non Metro Abst'!H16</f>
        <v>0</v>
      </c>
      <c r="J20" s="1982">
        <f>'NUHM-Non Metro Abst'!I16</f>
        <v>0</v>
      </c>
      <c r="K20" s="1982">
        <f>'NUHM-Non Metro Abst'!J16</f>
        <v>0</v>
      </c>
      <c r="L20" s="1982">
        <f>'NUHM-Non Metro Abst'!K16</f>
        <v>0</v>
      </c>
      <c r="M20" s="1982">
        <f>'NUHM-Non Metro Abst'!L16</f>
        <v>0</v>
      </c>
      <c r="N20" s="1982">
        <f>'NUHM-Non Metro Abst'!M16</f>
        <v>0</v>
      </c>
      <c r="O20" s="1982">
        <f>'NUHM-Non Metro Abst'!N16</f>
        <v>0</v>
      </c>
      <c r="P20" s="1982">
        <f>'NUHM-Non Metro Abst'!O16</f>
        <v>0</v>
      </c>
      <c r="Q20" s="68"/>
      <c r="R20" s="1991"/>
    </row>
    <row r="21" spans="1:18" s="1963" customFormat="1" x14ac:dyDescent="0.2">
      <c r="A21" s="4074" t="s">
        <v>5687</v>
      </c>
      <c r="B21" s="4074"/>
      <c r="C21" s="4074"/>
      <c r="D21" s="724"/>
      <c r="E21" s="724"/>
      <c r="F21" s="724"/>
      <c r="G21" s="724"/>
      <c r="H21" s="724"/>
      <c r="I21" s="724"/>
      <c r="J21" s="724"/>
      <c r="K21" s="724"/>
      <c r="L21" s="724"/>
      <c r="M21" s="724"/>
      <c r="N21" s="724"/>
      <c r="O21" s="724"/>
      <c r="P21" s="724"/>
      <c r="Q21" s="1989"/>
      <c r="R21" s="1990"/>
    </row>
    <row r="22" spans="1:18" s="1963" customFormat="1" x14ac:dyDescent="0.2">
      <c r="A22" s="1982" t="str">
        <f>'NUHM Metro Abst'!A16</f>
        <v>U.1.1.1.6</v>
      </c>
      <c r="B22" s="1982">
        <f>'NUHM Metro Abst'!B16</f>
        <v>0</v>
      </c>
      <c r="C22" s="1982" t="str">
        <f>'NUHM Metro Abst'!C16</f>
        <v>Support for implementation of NRCP</v>
      </c>
      <c r="E22" s="1982" t="str">
        <f>'NUHM Metro Abst'!D16</f>
        <v>NRCP</v>
      </c>
      <c r="F22" s="1982">
        <f>'NUHM Metro Abst'!E16</f>
        <v>0</v>
      </c>
      <c r="G22" s="1982">
        <f>'NUHM Metro Abst'!F16</f>
        <v>0</v>
      </c>
      <c r="H22" s="1982">
        <f>'NUHM Metro Abst'!G16</f>
        <v>0</v>
      </c>
      <c r="I22" s="1982">
        <f>'NUHM Metro Abst'!H16</f>
        <v>0</v>
      </c>
      <c r="J22" s="1982">
        <f>'NUHM Metro Abst'!I16</f>
        <v>0</v>
      </c>
      <c r="K22" s="1982">
        <f>'NUHM Metro Abst'!J16</f>
        <v>0</v>
      </c>
      <c r="L22" s="1982">
        <f>'NUHM Metro Abst'!K16</f>
        <v>0</v>
      </c>
      <c r="M22" s="1982">
        <f>'NUHM Metro Abst'!L16</f>
        <v>0</v>
      </c>
      <c r="N22" s="1982">
        <f>'NUHM Metro Abst'!M16</f>
        <v>0</v>
      </c>
      <c r="O22" s="1982">
        <f>'NUHM Metro Abst'!N16</f>
        <v>0</v>
      </c>
      <c r="P22" s="1982">
        <f>'NUHM Metro Abst'!O16</f>
        <v>0</v>
      </c>
      <c r="Q22" s="1982"/>
      <c r="R22" s="1982"/>
    </row>
  </sheetData>
  <sheetProtection sheet="1" formatCells="0" formatColumns="0"/>
  <autoFilter ref="A5:M16"/>
  <mergeCells count="11">
    <mergeCell ref="A19:C19"/>
    <mergeCell ref="A21:C21"/>
    <mergeCell ref="Q4:R4"/>
    <mergeCell ref="E4:E5"/>
    <mergeCell ref="A1:C1"/>
    <mergeCell ref="A4:A5"/>
    <mergeCell ref="B4:B5"/>
    <mergeCell ref="C4:C5"/>
    <mergeCell ref="D4:D5"/>
    <mergeCell ref="F4:J4"/>
    <mergeCell ref="K4:P4"/>
  </mergeCells>
  <pageMargins left="0.7" right="0.7" top="0.75" bottom="0.75" header="0.3" footer="0.3"/>
  <pageSetup orientation="portrait" horizontalDpi="300" verticalDpi="3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R23"/>
  <sheetViews>
    <sheetView zoomScale="70" zoomScaleNormal="70" workbookViewId="0">
      <pane xSplit="3" ySplit="5" topLeftCell="D6" activePane="bottomRight" state="frozen"/>
      <selection activeCell="C107" sqref="C107"/>
      <selection pane="topRight" activeCell="C107" sqref="C107"/>
      <selection pane="bottomLeft" activeCell="C107" sqref="C107"/>
      <selection pane="bottomRight" activeCell="Q12" sqref="Q12:R12"/>
    </sheetView>
  </sheetViews>
  <sheetFormatPr defaultColWidth="8.7109375" defaultRowHeight="15" x14ac:dyDescent="0.2"/>
  <cols>
    <col min="1" max="1" width="10.5703125" style="881" bestFit="1" customWidth="1"/>
    <col min="2" max="2" width="16.42578125" style="881" hidden="1" customWidth="1"/>
    <col min="3" max="3" width="40.85546875" style="881" customWidth="1"/>
    <col min="4" max="4" width="5.5703125" style="835" hidden="1" customWidth="1"/>
    <col min="5" max="5" width="16.7109375" style="835" hidden="1" customWidth="1"/>
    <col min="6" max="6" width="17.28515625" style="835" hidden="1" customWidth="1"/>
    <col min="7" max="7" width="13.42578125" style="835" hidden="1" customWidth="1"/>
    <col min="8" max="8" width="15.85546875" style="956" hidden="1" customWidth="1"/>
    <col min="9" max="9" width="9.85546875" style="835" hidden="1" customWidth="1"/>
    <col min="10" max="10" width="11.28515625" style="956" hidden="1" customWidth="1"/>
    <col min="11" max="11" width="9.42578125" style="881" hidden="1" customWidth="1"/>
    <col min="12" max="12" width="12.140625" style="881" customWidth="1"/>
    <col min="13" max="13" width="9.85546875" style="956" hidden="1" customWidth="1"/>
    <col min="14" max="14" width="8.7109375" style="826"/>
    <col min="15" max="15" width="8.7109375" style="1180"/>
    <col min="16" max="16" width="24.5703125" style="826" hidden="1" customWidth="1"/>
    <col min="17" max="17" width="27.28515625" style="826" customWidth="1"/>
    <col min="18" max="18" width="8.7109375" style="1180"/>
    <col min="19" max="16384" width="8.7109375" style="826"/>
  </cols>
  <sheetData>
    <row r="1" spans="1:18" x14ac:dyDescent="0.2">
      <c r="A1" s="4087" t="s">
        <v>4502</v>
      </c>
      <c r="B1" s="4087"/>
      <c r="C1" s="4087"/>
      <c r="D1" s="2114"/>
      <c r="E1" s="2115"/>
      <c r="F1" s="98" t="s">
        <v>4606</v>
      </c>
      <c r="G1" s="1864"/>
      <c r="H1" s="1864"/>
      <c r="I1" s="1864"/>
      <c r="J1" s="2116"/>
      <c r="K1" s="2117"/>
      <c r="L1" s="2117"/>
      <c r="M1" s="2116"/>
    </row>
    <row r="2" spans="1:18" x14ac:dyDescent="0.25">
      <c r="A2" s="1859" t="str">
        <f>HYPERLINK("#Index!F3", "Index Pg")</f>
        <v>Index Pg</v>
      </c>
      <c r="B2" s="1864"/>
      <c r="C2" s="831" t="str">
        <f>HYPERLINK("#'Budget Summary I'!A1:AL1", "Budget Summary I")</f>
        <v>Budget Summary I</v>
      </c>
      <c r="D2" s="1104"/>
      <c r="E2" s="1460" t="s">
        <v>4608</v>
      </c>
      <c r="F2" s="956">
        <f>R6+R9+R11+R15</f>
        <v>0</v>
      </c>
      <c r="G2" s="1864"/>
      <c r="H2" s="1864"/>
      <c r="I2" s="1864"/>
      <c r="J2" s="1103"/>
      <c r="K2" s="2049"/>
      <c r="L2" s="2049"/>
      <c r="M2" s="1103"/>
    </row>
    <row r="3" spans="1:18" x14ac:dyDescent="0.25">
      <c r="A3" s="1863"/>
      <c r="B3" s="1864"/>
      <c r="C3" s="1937" t="str">
        <f>HYPERLINK("#'Budget Summary II'!A3:B5", "Budget Summary II")</f>
        <v>Budget Summary II</v>
      </c>
      <c r="D3" s="1104"/>
      <c r="E3" s="2065" t="s">
        <v>4609</v>
      </c>
      <c r="F3" s="725">
        <f>O6+O9+O11+O15</f>
        <v>27.65</v>
      </c>
      <c r="G3" s="1864"/>
      <c r="H3" s="1864"/>
      <c r="I3" s="1864"/>
      <c r="J3" s="1103"/>
      <c r="K3" s="2049"/>
      <c r="L3" s="2049"/>
      <c r="M3" s="1103"/>
    </row>
    <row r="4" spans="1:18" s="835" customFormat="1" ht="14.45" customHeigh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s="835" customFormat="1" ht="60"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897" t="s">
        <v>63</v>
      </c>
      <c r="Q5" s="899" t="s">
        <v>2540</v>
      </c>
      <c r="R5" s="900" t="s">
        <v>4671</v>
      </c>
    </row>
    <row r="6" spans="1:18" x14ac:dyDescent="0.2">
      <c r="A6" s="2032">
        <f>'6.Procurement Annex'!A7</f>
        <v>6</v>
      </c>
      <c r="B6" s="2032"/>
      <c r="C6" s="2032" t="str">
        <f>'6.Procurement Annex'!C7</f>
        <v>Procurement</v>
      </c>
      <c r="D6" s="724"/>
      <c r="E6" s="724"/>
      <c r="F6" s="724"/>
      <c r="G6" s="724"/>
      <c r="H6" s="528"/>
      <c r="I6" s="724"/>
      <c r="J6" s="528"/>
      <c r="K6" s="2032"/>
      <c r="L6" s="2032"/>
      <c r="M6" s="528"/>
      <c r="N6" s="2118"/>
      <c r="O6" s="2119">
        <f>SUM(O7:O8)</f>
        <v>27.65</v>
      </c>
      <c r="P6" s="2118"/>
      <c r="Q6" s="2118"/>
      <c r="R6" s="2119">
        <f>SUM(R7:R8)</f>
        <v>0</v>
      </c>
    </row>
    <row r="7" spans="1:18" ht="45" x14ac:dyDescent="0.2">
      <c r="A7" s="4088" t="str">
        <f>'6.Procurement Annex'!A77</f>
        <v>6.2.3.6</v>
      </c>
      <c r="B7" s="104"/>
      <c r="C7" s="101" t="str">
        <f>'6-A. Proc. Sub-Annex'!D247</f>
        <v xml:space="preserve">Procurement of drugs, diagnostic kits, supplies etc under Programme for Prevention and Control of Leptospirosis </v>
      </c>
      <c r="D7" s="175" t="str">
        <f>'6-A. Proc. Sub-Annex'!E247</f>
        <v>NDCP</v>
      </c>
      <c r="E7" s="175" t="str">
        <f>'6-A. Proc. Sub-Annex'!F247</f>
        <v>PPCL</v>
      </c>
      <c r="F7" s="175">
        <f>'6-A. Proc. Sub-Annex'!G247</f>
        <v>0</v>
      </c>
      <c r="G7" s="175">
        <f>'6-A. Proc. Sub-Annex'!H247</f>
        <v>0</v>
      </c>
      <c r="H7" s="175">
        <f>'6-A. Proc. Sub-Annex'!I247</f>
        <v>0</v>
      </c>
      <c r="I7" s="175">
        <f>'6-A. Proc. Sub-Annex'!J247</f>
        <v>0</v>
      </c>
      <c r="J7" s="175">
        <f>'6-A. Proc. Sub-Annex'!K247</f>
        <v>0</v>
      </c>
      <c r="K7" s="175">
        <f>'6-A. Proc. Sub-Annex'!L247</f>
        <v>0</v>
      </c>
      <c r="L7" s="175">
        <f>'6-A. Proc. Sub-Annex'!M247</f>
        <v>0</v>
      </c>
      <c r="M7" s="729">
        <f>'6-A. Proc. Sub-Annex'!N247</f>
        <v>0</v>
      </c>
      <c r="N7" s="175">
        <f>'6-A. Proc. Sub-Annex'!O247</f>
        <v>0</v>
      </c>
      <c r="O7" s="729">
        <f>'6-A. Proc. Sub-Annex'!P247</f>
        <v>0</v>
      </c>
      <c r="P7" s="101">
        <f>'6-A. Proc. Sub-Annex'!Q247</f>
        <v>0</v>
      </c>
      <c r="Q7" s="67"/>
      <c r="R7" s="679"/>
    </row>
    <row r="8" spans="1:18" ht="315" x14ac:dyDescent="0.2">
      <c r="A8" s="4088"/>
      <c r="B8" s="104"/>
      <c r="C8" s="101" t="str">
        <f>'6-A. Proc. Sub-Annex'!D248</f>
        <v>Any other (please specify)</v>
      </c>
      <c r="D8" s="175" t="str">
        <f>'6-A. Proc. Sub-Annex'!E248</f>
        <v>NDCP</v>
      </c>
      <c r="E8" s="175" t="str">
        <f>'6-A. Proc. Sub-Annex'!F248</f>
        <v>PPCL</v>
      </c>
      <c r="F8" s="175">
        <f>'6-A. Proc. Sub-Annex'!G248</f>
        <v>0</v>
      </c>
      <c r="G8" s="175">
        <f>'6-A. Proc. Sub-Annex'!H248</f>
        <v>0</v>
      </c>
      <c r="H8" s="175">
        <f>'6-A. Proc. Sub-Annex'!I248</f>
        <v>0</v>
      </c>
      <c r="I8" s="175">
        <f>'6-A. Proc. Sub-Annex'!J248</f>
        <v>0</v>
      </c>
      <c r="J8" s="175">
        <f>'6-A. Proc. Sub-Annex'!K248</f>
        <v>0</v>
      </c>
      <c r="K8" s="175" t="str">
        <f>'6-A. Proc. Sub-Annex'!L248</f>
        <v>Cost per centre</v>
      </c>
      <c r="L8" s="175">
        <f>'6-A. Proc. Sub-Annex'!M248</f>
        <v>2765000</v>
      </c>
      <c r="M8" s="729">
        <f>'6-A. Proc. Sub-Annex'!N248</f>
        <v>27.65</v>
      </c>
      <c r="N8" s="175">
        <f>'6-A. Proc. Sub-Annex'!O248</f>
        <v>1</v>
      </c>
      <c r="O8" s="729">
        <f>'6-A. Proc. Sub-Annex'!P248</f>
        <v>27.65</v>
      </c>
      <c r="P8" s="101" t="str">
        <f>'6-A. Proc. Sub-Annex'!Q248</f>
        <v xml:space="preserve">New activity.
Proposed to establish a State Referral Lab for Leptospirosis in Hosur, Krishnagiri 
1. Equipments such as Dark Field Microscope, Fridge, -20 deg Freezer and -80 deg Freezer, Magnetic Stirrer, Vortex, Centrifuge, Water Bath, Incubator and BSL-II @ Rs. 20.15 Lakhs
2. Chemicals, Glasswares, Reagents etc. @ Rs. 7.5 Lakhs
Details enclosed in Annex 6.2.24.3
</v>
      </c>
      <c r="Q8" s="67"/>
      <c r="R8" s="679"/>
    </row>
    <row r="9" spans="1:18" x14ac:dyDescent="0.2">
      <c r="A9" s="2032">
        <f>'9.Training Annex'!A7</f>
        <v>9</v>
      </c>
      <c r="B9" s="2032"/>
      <c r="C9" s="2032" t="str">
        <f>'9.Training Annex'!C7</f>
        <v>Training and Capacity Building</v>
      </c>
      <c r="D9" s="724"/>
      <c r="E9" s="724"/>
      <c r="F9" s="724"/>
      <c r="G9" s="724"/>
      <c r="H9" s="528"/>
      <c r="I9" s="724"/>
      <c r="J9" s="528"/>
      <c r="K9" s="2032"/>
      <c r="L9" s="2032"/>
      <c r="M9" s="528"/>
      <c r="N9" s="2118"/>
      <c r="O9" s="2119">
        <f>O10</f>
        <v>0</v>
      </c>
      <c r="P9" s="2120"/>
      <c r="Q9" s="2121"/>
      <c r="R9" s="2122">
        <f>R10</f>
        <v>0</v>
      </c>
    </row>
    <row r="10" spans="1:18" ht="45" x14ac:dyDescent="0.2">
      <c r="A10" s="103" t="str">
        <f>'9.Training Annex'!A53</f>
        <v>9.2.3.7</v>
      </c>
      <c r="B10" s="103"/>
      <c r="C10" s="103" t="str">
        <f>'9-A.Training Sub-Annex'!D246</f>
        <v>Training at State and District level under Programme for Prevention and Control of Leptospirosis</v>
      </c>
      <c r="D10" s="2002" t="str">
        <f>'9-A.Training Sub-Annex'!E246</f>
        <v>NDCP</v>
      </c>
      <c r="E10" s="2002" t="str">
        <f>'9-A.Training Sub-Annex'!F246</f>
        <v>PPCL</v>
      </c>
      <c r="F10" s="2002">
        <f>'9-A.Training Sub-Annex'!G246</f>
        <v>0</v>
      </c>
      <c r="G10" s="2002">
        <f>'9-A.Training Sub-Annex'!H246</f>
        <v>0</v>
      </c>
      <c r="H10" s="2002">
        <f>'9-A.Training Sub-Annex'!I246</f>
        <v>0</v>
      </c>
      <c r="I10" s="2002">
        <f>'9-A.Training Sub-Annex'!J246</f>
        <v>0</v>
      </c>
      <c r="J10" s="2002">
        <f>'9-A.Training Sub-Annex'!K246</f>
        <v>0</v>
      </c>
      <c r="K10" s="2002">
        <f>'9-A.Training Sub-Annex'!L246</f>
        <v>0</v>
      </c>
      <c r="L10" s="2002">
        <f>'9-A.Training Sub-Annex'!M246</f>
        <v>0</v>
      </c>
      <c r="M10" s="178">
        <f>'9-A.Training Sub-Annex'!N246</f>
        <v>0</v>
      </c>
      <c r="N10" s="2002">
        <f>'9-A.Training Sub-Annex'!O246</f>
        <v>0</v>
      </c>
      <c r="O10" s="178">
        <f>'9-A.Training Sub-Annex'!P246</f>
        <v>0</v>
      </c>
      <c r="P10" s="103">
        <f>'9-A.Training Sub-Annex'!Q246</f>
        <v>0</v>
      </c>
      <c r="Q10" s="67"/>
      <c r="R10" s="679"/>
    </row>
    <row r="11" spans="1:18" x14ac:dyDescent="0.2">
      <c r="A11" s="2032">
        <f>'11.IEC-BCC Annex'!A7</f>
        <v>11</v>
      </c>
      <c r="B11" s="2032"/>
      <c r="C11" s="2032" t="str">
        <f>'11.IEC-BCC Annex'!C7</f>
        <v>IEC/BCC</v>
      </c>
      <c r="D11" s="724"/>
      <c r="E11" s="724"/>
      <c r="F11" s="724"/>
      <c r="G11" s="724"/>
      <c r="H11" s="528"/>
      <c r="I11" s="724"/>
      <c r="J11" s="528"/>
      <c r="K11" s="2032"/>
      <c r="L11" s="2032"/>
      <c r="M11" s="528"/>
      <c r="N11" s="2118"/>
      <c r="O11" s="2119">
        <f>O12</f>
        <v>0</v>
      </c>
      <c r="P11" s="2120"/>
      <c r="Q11" s="2121"/>
      <c r="R11" s="2122">
        <f>R12</f>
        <v>0</v>
      </c>
    </row>
    <row r="12" spans="1:18" ht="30" x14ac:dyDescent="0.2">
      <c r="A12" s="103" t="str">
        <f>'11.IEC-BCC Annex'!A29</f>
        <v>11.3.5</v>
      </c>
      <c r="B12" s="103"/>
      <c r="C12" s="103" t="str">
        <f>'11-A. IEC Sub-Annex'!D74</f>
        <v>IEC under Programme for Prevention and Control of Leptospirosis</v>
      </c>
      <c r="D12" s="2002" t="str">
        <f>'11-A. IEC Sub-Annex'!E74</f>
        <v>NDCP</v>
      </c>
      <c r="E12" s="2002" t="str">
        <f>'11-A. IEC Sub-Annex'!F74</f>
        <v>PPCL</v>
      </c>
      <c r="F12" s="2002">
        <f>'11-A. IEC Sub-Annex'!G74</f>
        <v>0</v>
      </c>
      <c r="G12" s="2002">
        <f>'11-A. IEC Sub-Annex'!H74</f>
        <v>0</v>
      </c>
      <c r="H12" s="2002">
        <f>'11-A. IEC Sub-Annex'!I74</f>
        <v>0</v>
      </c>
      <c r="I12" s="2002">
        <f>'11-A. IEC Sub-Annex'!J74</f>
        <v>0</v>
      </c>
      <c r="J12" s="2002">
        <f>'11-A. IEC Sub-Annex'!K74</f>
        <v>0</v>
      </c>
      <c r="K12" s="2002">
        <f>'11-A. IEC Sub-Annex'!L74</f>
        <v>0</v>
      </c>
      <c r="L12" s="2002">
        <f>'11-A. IEC Sub-Annex'!M74</f>
        <v>0</v>
      </c>
      <c r="M12" s="178">
        <f>'11-A. IEC Sub-Annex'!N74</f>
        <v>0</v>
      </c>
      <c r="N12" s="2002">
        <f>'11-A. IEC Sub-Annex'!O74</f>
        <v>0</v>
      </c>
      <c r="O12" s="178">
        <f>'11-A. IEC Sub-Annex'!P74</f>
        <v>0</v>
      </c>
      <c r="P12" s="103">
        <f>'11-A. IEC Sub-Annex'!Q74</f>
        <v>0</v>
      </c>
      <c r="Q12" s="67"/>
      <c r="R12" s="679"/>
    </row>
    <row r="13" spans="1:18" x14ac:dyDescent="0.2">
      <c r="A13" s="2032">
        <f>'12.Printing Annex'!A7</f>
        <v>12</v>
      </c>
      <c r="B13" s="2032"/>
      <c r="C13" s="2032" t="str">
        <f>'12.Printing Annex'!C7</f>
        <v>Printing</v>
      </c>
      <c r="D13" s="724"/>
      <c r="E13" s="724"/>
      <c r="F13" s="724"/>
      <c r="G13" s="724"/>
      <c r="H13" s="528"/>
      <c r="I13" s="724"/>
      <c r="J13" s="528"/>
      <c r="K13" s="2032"/>
      <c r="L13" s="2032"/>
      <c r="M13" s="528"/>
      <c r="N13" s="2118"/>
      <c r="O13" s="2119">
        <f>O14</f>
        <v>0</v>
      </c>
      <c r="P13" s="2120"/>
      <c r="Q13" s="2121"/>
      <c r="R13" s="2122">
        <f>R14</f>
        <v>0</v>
      </c>
    </row>
    <row r="14" spans="1:18" ht="30" x14ac:dyDescent="0.2">
      <c r="A14" s="103" t="str">
        <f>'12.Printing Annex'!A32</f>
        <v>12.3.7</v>
      </c>
      <c r="B14" s="103"/>
      <c r="C14" s="103" t="str">
        <f>'12.Printing Annex'!C32</f>
        <v>Printing activities under PPCL</v>
      </c>
      <c r="D14" s="103" t="str">
        <f>'12.Printing Annex'!D32</f>
        <v>NDCP</v>
      </c>
      <c r="E14" s="2002" t="str">
        <f>'12.Printing Annex'!E32</f>
        <v>PPCL</v>
      </c>
      <c r="F14" s="2002">
        <f>'12.Printing Annex'!F32</f>
        <v>0</v>
      </c>
      <c r="G14" s="2002">
        <f>'12.Printing Annex'!G32</f>
        <v>0</v>
      </c>
      <c r="H14" s="2002">
        <f>'12.Printing Annex'!H32</f>
        <v>0</v>
      </c>
      <c r="I14" s="2002">
        <f>'12.Printing Annex'!I32</f>
        <v>0</v>
      </c>
      <c r="J14" s="2002">
        <f>'12.Printing Annex'!J32</f>
        <v>0</v>
      </c>
      <c r="K14" s="2002">
        <f>'12.Printing Annex'!K32</f>
        <v>0</v>
      </c>
      <c r="L14" s="2002">
        <f>'12.Printing Annex'!L32</f>
        <v>0</v>
      </c>
      <c r="M14" s="178">
        <f>'12.Printing Annex'!M32</f>
        <v>0</v>
      </c>
      <c r="N14" s="2002">
        <f>'12.Printing Annex'!N32</f>
        <v>0</v>
      </c>
      <c r="O14" s="178">
        <f>'12.Printing Annex'!O32</f>
        <v>0</v>
      </c>
      <c r="P14" s="103">
        <f>'12.Printing Annex'!P32</f>
        <v>0</v>
      </c>
      <c r="Q14" s="67"/>
      <c r="R14" s="679"/>
    </row>
    <row r="15" spans="1:18" x14ac:dyDescent="0.2">
      <c r="A15" s="844">
        <f>'16.PM Annex'!A7</f>
        <v>16</v>
      </c>
      <c r="B15" s="844"/>
      <c r="C15" s="844" t="str">
        <f>'16.PM Annex'!C7</f>
        <v>Programme Management</v>
      </c>
      <c r="D15" s="2098"/>
      <c r="E15" s="2098"/>
      <c r="F15" s="2098"/>
      <c r="G15" s="2098"/>
      <c r="H15" s="2020"/>
      <c r="I15" s="2098"/>
      <c r="J15" s="528"/>
      <c r="K15" s="2120"/>
      <c r="L15" s="2120"/>
      <c r="M15" s="528"/>
      <c r="N15" s="2118"/>
      <c r="O15" s="2119">
        <f>SUM(O16:O17)</f>
        <v>0</v>
      </c>
      <c r="P15" s="2120"/>
      <c r="Q15" s="2121"/>
      <c r="R15" s="2122">
        <f>SUM(R16:R17)</f>
        <v>0</v>
      </c>
    </row>
    <row r="16" spans="1:18" ht="30" x14ac:dyDescent="0.2">
      <c r="A16" s="103" t="str">
        <f>'16-A. PM sub Annex'!B48</f>
        <v>16.1.2.1.27</v>
      </c>
      <c r="B16" s="103"/>
      <c r="C16" s="103" t="str">
        <f>'16-A. PM sub Annex'!E48</f>
        <v>Review meetings under Programme for Prevention and Control of Leptospirosis</v>
      </c>
      <c r="D16" s="2002" t="str">
        <f>'16-A. PM sub Annex'!F48</f>
        <v>NDCP</v>
      </c>
      <c r="E16" s="2002" t="str">
        <f>'16-A. PM sub Annex'!G48</f>
        <v>HRH&amp;HPIP/PPCL</v>
      </c>
      <c r="F16" s="2002">
        <f>'16-A. PM sub Annex'!H48</f>
        <v>0</v>
      </c>
      <c r="G16" s="2002">
        <f>'16-A. PM sub Annex'!I48</f>
        <v>0</v>
      </c>
      <c r="H16" s="2002">
        <f>'16-A. PM sub Annex'!J48</f>
        <v>0</v>
      </c>
      <c r="I16" s="2002">
        <f>'16-A. PM sub Annex'!K48</f>
        <v>0</v>
      </c>
      <c r="J16" s="2002">
        <f>'16-A. PM sub Annex'!L48</f>
        <v>0</v>
      </c>
      <c r="K16" s="2002">
        <f>'16-A. PM sub Annex'!M48</f>
        <v>0</v>
      </c>
      <c r="L16" s="2002">
        <f>'16-A. PM sub Annex'!N48</f>
        <v>0</v>
      </c>
      <c r="M16" s="178">
        <f>'16-A. PM sub Annex'!O48</f>
        <v>0</v>
      </c>
      <c r="N16" s="2002">
        <f>'16-A. PM sub Annex'!P48</f>
        <v>0</v>
      </c>
      <c r="O16" s="178">
        <f>'16-A. PM sub Annex'!Q48</f>
        <v>0</v>
      </c>
      <c r="P16" s="103">
        <f>'16-A. PM sub Annex'!R48</f>
        <v>0</v>
      </c>
      <c r="Q16" s="67"/>
      <c r="R16" s="679"/>
    </row>
    <row r="17" spans="1:18" ht="30" x14ac:dyDescent="0.2">
      <c r="A17" s="103" t="str">
        <f>'16-A. PM sub Annex'!B89</f>
        <v>16.1.3.1.20</v>
      </c>
      <c r="B17" s="103"/>
      <c r="C17" s="103" t="str">
        <f>'16-A. PM sub Annex'!E89</f>
        <v>Mobility support under Programme for Prevention and Control of Leptospirosis</v>
      </c>
      <c r="D17" s="2002" t="str">
        <f>'16-A. PM sub Annex'!F89</f>
        <v>NDCP</v>
      </c>
      <c r="E17" s="2002" t="str">
        <f>'16-A. PM sub Annex'!G89</f>
        <v>HRH&amp;HPIP/PPCL</v>
      </c>
      <c r="F17" s="2002">
        <f>'16-A. PM sub Annex'!H89</f>
        <v>0</v>
      </c>
      <c r="G17" s="2002">
        <f>'16-A. PM sub Annex'!I89</f>
        <v>0</v>
      </c>
      <c r="H17" s="2002">
        <f>'16-A. PM sub Annex'!J89</f>
        <v>0</v>
      </c>
      <c r="I17" s="2002">
        <f>'16-A. PM sub Annex'!K89</f>
        <v>0</v>
      </c>
      <c r="J17" s="2002">
        <f>'16-A. PM sub Annex'!L89</f>
        <v>0</v>
      </c>
      <c r="K17" s="2002">
        <f>'16-A. PM sub Annex'!M89</f>
        <v>0</v>
      </c>
      <c r="L17" s="2002">
        <f>'16-A. PM sub Annex'!N89</f>
        <v>0</v>
      </c>
      <c r="M17" s="178">
        <f>'16-A. PM sub Annex'!O89</f>
        <v>0</v>
      </c>
      <c r="N17" s="2002">
        <f>'16-A. PM sub Annex'!P89</f>
        <v>0</v>
      </c>
      <c r="O17" s="178">
        <f>'16-A. PM sub Annex'!Q89</f>
        <v>0</v>
      </c>
      <c r="P17" s="103">
        <f>'16-A. PM sub Annex'!R89</f>
        <v>0</v>
      </c>
      <c r="Q17" s="67"/>
      <c r="R17" s="679"/>
    </row>
    <row r="18" spans="1:18" x14ac:dyDescent="0.2">
      <c r="Q18" s="578"/>
      <c r="R18" s="2043"/>
    </row>
    <row r="19" spans="1:18" x14ac:dyDescent="0.2">
      <c r="Q19" s="578"/>
      <c r="R19" s="2043"/>
    </row>
    <row r="20" spans="1:18" s="1963" customFormat="1" x14ac:dyDescent="0.2">
      <c r="A20" s="4074" t="s">
        <v>5688</v>
      </c>
      <c r="B20" s="4074"/>
      <c r="C20" s="4074"/>
      <c r="D20" s="724"/>
      <c r="E20" s="724"/>
      <c r="F20" s="724"/>
      <c r="G20" s="724"/>
      <c r="H20" s="528"/>
      <c r="I20" s="724"/>
      <c r="J20" s="528"/>
      <c r="K20" s="2032"/>
      <c r="L20" s="2032"/>
      <c r="M20" s="528"/>
      <c r="N20" s="2022"/>
      <c r="O20" s="1981"/>
      <c r="P20" s="1976"/>
      <c r="Q20" s="1989"/>
      <c r="R20" s="1990"/>
    </row>
    <row r="21" spans="1:18" s="1963" customFormat="1" x14ac:dyDescent="0.2">
      <c r="A21" s="1982" t="str">
        <f>'NUHM-Non Metro Abst'!A17</f>
        <v>U.1.1.1.7</v>
      </c>
      <c r="B21" s="1982">
        <f>'NUHM-Non Metro Abst'!B17</f>
        <v>0</v>
      </c>
      <c r="C21" s="1982" t="str">
        <f>'NUHM-Non Metro Abst'!C17</f>
        <v>Support for implementation of PPCL</v>
      </c>
      <c r="E21" s="1982" t="str">
        <f>'NUHM-Non Metro Abst'!D17</f>
        <v>PPCL</v>
      </c>
      <c r="F21" s="1982">
        <f>'NUHM-Non Metro Abst'!E17</f>
        <v>0</v>
      </c>
      <c r="G21" s="1982">
        <f>'NUHM-Non Metro Abst'!F17</f>
        <v>0</v>
      </c>
      <c r="H21" s="1982">
        <f>'NUHM-Non Metro Abst'!G17</f>
        <v>0</v>
      </c>
      <c r="I21" s="1982">
        <f>'NUHM-Non Metro Abst'!H17</f>
        <v>0</v>
      </c>
      <c r="J21" s="1982">
        <f>'NUHM-Non Metro Abst'!I17</f>
        <v>0</v>
      </c>
      <c r="K21" s="1982">
        <f>'NUHM-Non Metro Abst'!J17</f>
        <v>0</v>
      </c>
      <c r="L21" s="1982">
        <f>'NUHM-Non Metro Abst'!K17</f>
        <v>0</v>
      </c>
      <c r="M21" s="1982">
        <f>'NUHM-Non Metro Abst'!L17</f>
        <v>0</v>
      </c>
      <c r="N21" s="1982">
        <f>'NUHM-Non Metro Abst'!M17</f>
        <v>0</v>
      </c>
      <c r="O21" s="1982">
        <f>'NUHM-Non Metro Abst'!N17</f>
        <v>0</v>
      </c>
      <c r="P21" s="1982">
        <f>'NUHM-Non Metro Abst'!O17</f>
        <v>0</v>
      </c>
      <c r="Q21" s="68"/>
      <c r="R21" s="1991"/>
    </row>
    <row r="22" spans="1:18" s="1963" customFormat="1" x14ac:dyDescent="0.2">
      <c r="A22" s="4074" t="s">
        <v>5687</v>
      </c>
      <c r="B22" s="4074"/>
      <c r="C22" s="4074"/>
      <c r="D22" s="724"/>
      <c r="E22" s="724"/>
      <c r="F22" s="724"/>
      <c r="G22" s="724"/>
      <c r="H22" s="724"/>
      <c r="I22" s="724"/>
      <c r="J22" s="724"/>
      <c r="K22" s="724"/>
      <c r="L22" s="724"/>
      <c r="M22" s="724"/>
      <c r="N22" s="724"/>
      <c r="O22" s="724"/>
      <c r="P22" s="724"/>
      <c r="Q22" s="1989"/>
      <c r="R22" s="1990"/>
    </row>
    <row r="23" spans="1:18" s="1963" customFormat="1" x14ac:dyDescent="0.2">
      <c r="A23" s="1982" t="str">
        <f>'NUHM Metro Abst'!A17</f>
        <v>U.1.1.1.7</v>
      </c>
      <c r="B23" s="1982">
        <f>'NUHM Metro Abst'!B17</f>
        <v>0</v>
      </c>
      <c r="C23" s="1982" t="str">
        <f>'NUHM Metro Abst'!C17</f>
        <v>Support for implementation of PPCL</v>
      </c>
      <c r="E23" s="1982" t="str">
        <f>'NUHM Metro Abst'!D17</f>
        <v>PPCL</v>
      </c>
      <c r="F23" s="1982">
        <f>'NUHM Metro Abst'!E17</f>
        <v>0</v>
      </c>
      <c r="G23" s="1982">
        <f>'NUHM Metro Abst'!F17</f>
        <v>0</v>
      </c>
      <c r="H23" s="1982">
        <f>'NUHM Metro Abst'!G17</f>
        <v>0</v>
      </c>
      <c r="I23" s="1982">
        <f>'NUHM Metro Abst'!H17</f>
        <v>0</v>
      </c>
      <c r="J23" s="1982">
        <f>'NUHM Metro Abst'!I17</f>
        <v>0</v>
      </c>
      <c r="K23" s="1982">
        <f>'NUHM Metro Abst'!J17</f>
        <v>0</v>
      </c>
      <c r="L23" s="1982">
        <f>'NUHM Metro Abst'!K17</f>
        <v>0</v>
      </c>
      <c r="M23" s="1982">
        <f>'NUHM Metro Abst'!L17</f>
        <v>0</v>
      </c>
      <c r="N23" s="1982">
        <f>'NUHM Metro Abst'!M17</f>
        <v>0</v>
      </c>
      <c r="O23" s="1982">
        <f>'NUHM Metro Abst'!N17</f>
        <v>0</v>
      </c>
      <c r="P23" s="1982">
        <f>'NUHM Metro Abst'!O17</f>
        <v>0</v>
      </c>
      <c r="Q23" s="68"/>
      <c r="R23" s="68"/>
    </row>
  </sheetData>
  <sheetProtection sheet="1" formatCells="0" formatColumns="0" formatRows="0"/>
  <autoFilter ref="A5:M17"/>
  <mergeCells count="12">
    <mergeCell ref="A1:C1"/>
    <mergeCell ref="A4:A5"/>
    <mergeCell ref="B4:B5"/>
    <mergeCell ref="C4:C5"/>
    <mergeCell ref="D4:D5"/>
    <mergeCell ref="A20:C20"/>
    <mergeCell ref="A22:C22"/>
    <mergeCell ref="A7:A8"/>
    <mergeCell ref="Q4:R4"/>
    <mergeCell ref="E4:E5"/>
    <mergeCell ref="F4:J4"/>
    <mergeCell ref="K4:P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theme="7" tint="0.79998168889431442"/>
  </sheetPr>
  <dimension ref="A1:R43"/>
  <sheetViews>
    <sheetView zoomScale="90" zoomScaleNormal="90" workbookViewId="0">
      <pane xSplit="3" ySplit="5" topLeftCell="L6" activePane="bottomRight" state="frozen"/>
      <selection activeCell="A4" sqref="A4:R11"/>
      <selection pane="topRight" activeCell="A4" sqref="A4:R11"/>
      <selection pane="bottomLeft" activeCell="A4" sqref="A4:R11"/>
      <selection pane="bottomRight" activeCell="U9" sqref="U9"/>
    </sheetView>
  </sheetViews>
  <sheetFormatPr defaultColWidth="10.42578125" defaultRowHeight="15" x14ac:dyDescent="0.2"/>
  <cols>
    <col min="1" max="1" width="10.42578125" style="881"/>
    <col min="2" max="2" width="15.7109375" style="881" hidden="1" customWidth="1"/>
    <col min="3" max="3" width="40" style="881" customWidth="1"/>
    <col min="4" max="4" width="7.5703125" style="835" hidden="1" customWidth="1"/>
    <col min="5" max="5" width="14.28515625" style="835" hidden="1" customWidth="1"/>
    <col min="6" max="6" width="22.140625" style="835" hidden="1" customWidth="1"/>
    <col min="7" max="7" width="16.140625" style="835" hidden="1" customWidth="1"/>
    <col min="8" max="8" width="17.140625" style="956" hidden="1" customWidth="1"/>
    <col min="9" max="9" width="22.5703125" style="835" hidden="1" customWidth="1"/>
    <col min="10" max="10" width="13.140625" style="956" hidden="1" customWidth="1"/>
    <col min="11" max="11" width="15.85546875" style="881" hidden="1" customWidth="1"/>
    <col min="12" max="12" width="15.42578125" style="881" customWidth="1"/>
    <col min="13" max="13" width="13.140625" style="956" hidden="1" customWidth="1"/>
    <col min="14" max="14" width="10.42578125" style="826"/>
    <col min="15" max="15" width="10.42578125" style="1180"/>
    <col min="16" max="16" width="44.42578125" style="881" hidden="1" customWidth="1"/>
    <col min="17" max="17" width="45.85546875" style="881" customWidth="1"/>
    <col min="18" max="18" width="10.42578125" style="1180"/>
    <col min="19" max="16384" width="10.42578125" style="826"/>
  </cols>
  <sheetData>
    <row r="1" spans="1:18" s="828" customFormat="1" x14ac:dyDescent="0.2">
      <c r="A1" s="4089" t="s">
        <v>4613</v>
      </c>
      <c r="B1" s="4089"/>
      <c r="C1" s="4089"/>
      <c r="D1" s="1857"/>
      <c r="E1" s="1854"/>
      <c r="F1" s="98" t="s">
        <v>3972</v>
      </c>
      <c r="G1" s="1864"/>
      <c r="H1" s="1864"/>
      <c r="I1" s="1864"/>
      <c r="J1" s="1858"/>
      <c r="K1" s="2047"/>
      <c r="L1" s="2047"/>
      <c r="M1" s="1858"/>
      <c r="O1" s="1181"/>
      <c r="P1" s="2038"/>
      <c r="Q1" s="2038"/>
      <c r="R1" s="1181"/>
    </row>
    <row r="2" spans="1:18" s="828" customFormat="1" x14ac:dyDescent="0.25">
      <c r="A2" s="1859" t="str">
        <f>HYPERLINK("#Index!F3", "Index Pg")</f>
        <v>Index Pg</v>
      </c>
      <c r="B2" s="1864"/>
      <c r="C2" s="831" t="str">
        <f>HYPERLINK("#'Budget Summary I'!A1:AL1", "Budget Summary I")</f>
        <v>Budget Summary I</v>
      </c>
      <c r="D2" s="2045"/>
      <c r="E2" s="1460" t="s">
        <v>4608</v>
      </c>
      <c r="F2" s="177">
        <f>R6+R11+R13+R22+R25+R27+R32+R40+R42+R30</f>
        <v>0</v>
      </c>
      <c r="G2" s="1864"/>
      <c r="H2" s="1864"/>
      <c r="I2" s="1864"/>
      <c r="J2" s="1858"/>
      <c r="K2" s="2008"/>
      <c r="L2" s="2008"/>
      <c r="M2" s="1858"/>
      <c r="O2" s="1181"/>
      <c r="P2" s="2038"/>
      <c r="Q2" s="2038"/>
      <c r="R2" s="1181"/>
    </row>
    <row r="3" spans="1:18" s="828" customFormat="1" x14ac:dyDescent="0.25">
      <c r="A3" s="1863"/>
      <c r="B3" s="1864"/>
      <c r="C3" s="1937" t="str">
        <f>HYPERLINK("#'Budget Summary II'!A3:B5", "Budget Summary II")</f>
        <v>Budget Summary II</v>
      </c>
      <c r="D3" s="2045"/>
      <c r="E3" s="2065" t="s">
        <v>4609</v>
      </c>
      <c r="F3" s="725">
        <f>O6+O11+O13+O22+O25+O27+O32+O40+O42+O30</f>
        <v>0</v>
      </c>
      <c r="G3" s="1864"/>
      <c r="H3" s="1864"/>
      <c r="I3" s="1864"/>
      <c r="J3" s="1858"/>
      <c r="K3" s="2008"/>
      <c r="M3" s="1858"/>
      <c r="O3" s="1181"/>
      <c r="P3" s="2038"/>
      <c r="Q3" s="2038"/>
      <c r="R3" s="1181"/>
    </row>
    <row r="4" spans="1:18" s="835" customForma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s="835" customFormat="1" ht="60"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897" t="s">
        <v>63</v>
      </c>
      <c r="Q5" s="899" t="s">
        <v>2540</v>
      </c>
      <c r="R5" s="900" t="s">
        <v>4671</v>
      </c>
    </row>
    <row r="6" spans="1:18" x14ac:dyDescent="0.2">
      <c r="A6" s="2032">
        <f>'2.SD Community Based Annex'!A7</f>
        <v>2</v>
      </c>
      <c r="B6" s="2032"/>
      <c r="C6" s="2032" t="str">
        <f>'2.SD Community Based Annex'!C7</f>
        <v>Service Delivery - Community Based</v>
      </c>
      <c r="D6" s="724"/>
      <c r="E6" s="724"/>
      <c r="F6" s="2019"/>
      <c r="G6" s="2019"/>
      <c r="H6" s="2020"/>
      <c r="I6" s="2019"/>
      <c r="J6" s="528"/>
      <c r="K6" s="2021"/>
      <c r="L6" s="2021"/>
      <c r="M6" s="528"/>
      <c r="N6" s="2118"/>
      <c r="O6" s="2119">
        <f>SUM(O7:O10)</f>
        <v>0</v>
      </c>
      <c r="P6" s="2120"/>
      <c r="Q6" s="2120"/>
      <c r="R6" s="2119">
        <f>SUM(R7:R10)</f>
        <v>0</v>
      </c>
    </row>
    <row r="7" spans="1:18" x14ac:dyDescent="0.2">
      <c r="A7" s="103" t="str">
        <f>'2.SD Community Based Annex'!A17</f>
        <v>2.1.3.2</v>
      </c>
      <c r="B7" s="103" t="str">
        <f>'2.SD Community Based Annex'!B17</f>
        <v>I.2.8</v>
      </c>
      <c r="C7" s="103" t="str">
        <f>'2.SD Community Based Annex'!C17</f>
        <v xml:space="preserve">Grant in aid for Mobile Ophthalmic Units </v>
      </c>
      <c r="D7" s="2002" t="str">
        <f>'2.SD Community Based Annex'!D17</f>
        <v>NCD</v>
      </c>
      <c r="E7" s="2002" t="str">
        <f>'2.SD Community Based Annex'!E17</f>
        <v>NPCB</v>
      </c>
      <c r="F7" s="2002">
        <f>'2.SD Community Based Annex'!F17</f>
        <v>0</v>
      </c>
      <c r="G7" s="2002">
        <f>'2.SD Community Based Annex'!G17</f>
        <v>0</v>
      </c>
      <c r="H7" s="2002">
        <f>'2.SD Community Based Annex'!H17</f>
        <v>0</v>
      </c>
      <c r="I7" s="2002">
        <f>'2.SD Community Based Annex'!I17</f>
        <v>0</v>
      </c>
      <c r="J7" s="2002">
        <f>'2.SD Community Based Annex'!J17</f>
        <v>0</v>
      </c>
      <c r="K7" s="2002">
        <f>'2.SD Community Based Annex'!K17</f>
        <v>0</v>
      </c>
      <c r="L7" s="2002">
        <f>'2.SD Community Based Annex'!L17</f>
        <v>0</v>
      </c>
      <c r="M7" s="178">
        <f>'2.SD Community Based Annex'!M17</f>
        <v>0</v>
      </c>
      <c r="N7" s="2002">
        <f>'2.SD Community Based Annex'!N17</f>
        <v>0</v>
      </c>
      <c r="O7" s="178">
        <f>'2.SD Community Based Annex'!O17</f>
        <v>0</v>
      </c>
      <c r="P7" s="103">
        <f>'2.SD Community Based Annex'!P17</f>
        <v>0</v>
      </c>
      <c r="Q7" s="67"/>
      <c r="R7" s="679"/>
    </row>
    <row r="8" spans="1:18" ht="30" x14ac:dyDescent="0.2">
      <c r="A8" s="441" t="str">
        <f>'2.SD Community Based Annex'!A50</f>
        <v>2.3.2.4</v>
      </c>
      <c r="B8" s="441" t="str">
        <f>'2.SD Community Based Annex'!B50</f>
        <v>I.1.5</v>
      </c>
      <c r="C8" s="441" t="str">
        <f>'2.SD Community Based Annex'!C50</f>
        <v>Recurring grant for collection of eye balls by eye banks and eye donation centres</v>
      </c>
      <c r="D8" s="1138" t="str">
        <f>'2.SD Community Based Annex'!D50</f>
        <v>NCD</v>
      </c>
      <c r="E8" s="1138" t="str">
        <f>'2.SD Community Based Annex'!E50</f>
        <v>NPCB</v>
      </c>
      <c r="F8" s="1138">
        <f>'2.SD Community Based Annex'!F50</f>
        <v>0</v>
      </c>
      <c r="G8" s="1138">
        <f>'2.SD Community Based Annex'!G50</f>
        <v>0</v>
      </c>
      <c r="H8" s="1138">
        <f>'2.SD Community Based Annex'!H50</f>
        <v>0</v>
      </c>
      <c r="I8" s="1138">
        <f>'2.SD Community Based Annex'!I50</f>
        <v>0</v>
      </c>
      <c r="J8" s="1138">
        <f>'2.SD Community Based Annex'!J50</f>
        <v>0</v>
      </c>
      <c r="K8" s="1138">
        <f>'2.SD Community Based Annex'!K50</f>
        <v>0</v>
      </c>
      <c r="L8" s="1138">
        <f>'2.SD Community Based Annex'!L50</f>
        <v>0</v>
      </c>
      <c r="M8" s="178">
        <f>'2.SD Community Based Annex'!M50</f>
        <v>0</v>
      </c>
      <c r="N8" s="1138">
        <f>'2.SD Community Based Annex'!N50</f>
        <v>0</v>
      </c>
      <c r="O8" s="178">
        <f>'2.SD Community Based Annex'!O50</f>
        <v>0</v>
      </c>
      <c r="P8" s="441">
        <f>'2.SD Community Based Annex'!P50</f>
        <v>0</v>
      </c>
      <c r="Q8" s="67"/>
      <c r="R8" s="679"/>
    </row>
    <row r="9" spans="1:18" ht="30" x14ac:dyDescent="0.2">
      <c r="A9" s="103" t="str">
        <f>'2.SD Community Based Annex'!A57</f>
        <v>2.3.3.2</v>
      </c>
      <c r="B9" s="103" t="str">
        <f>'2.SD Community Based Annex'!B57</f>
        <v>I.1.3</v>
      </c>
      <c r="C9" s="103" t="str">
        <f>'2.SD Community Based Annex'!C57</f>
        <v>Screening and free spectacles to school children</v>
      </c>
      <c r="D9" s="2002" t="str">
        <f>'2.SD Community Based Annex'!D57</f>
        <v>NCD</v>
      </c>
      <c r="E9" s="2002" t="str">
        <f>'2.SD Community Based Annex'!E57</f>
        <v>NPCB</v>
      </c>
      <c r="F9" s="2002">
        <f>'2.SD Community Based Annex'!F57</f>
        <v>0</v>
      </c>
      <c r="G9" s="2002">
        <f>'2.SD Community Based Annex'!G57</f>
        <v>0</v>
      </c>
      <c r="H9" s="2002">
        <f>'2.SD Community Based Annex'!H57</f>
        <v>0</v>
      </c>
      <c r="I9" s="2002">
        <f>'2.SD Community Based Annex'!I57</f>
        <v>0</v>
      </c>
      <c r="J9" s="2002">
        <f>'2.SD Community Based Annex'!J57</f>
        <v>0</v>
      </c>
      <c r="K9" s="2002">
        <f>'2.SD Community Based Annex'!K57</f>
        <v>0</v>
      </c>
      <c r="L9" s="2002">
        <f>'2.SD Community Based Annex'!L57</f>
        <v>0</v>
      </c>
      <c r="M9" s="178">
        <f>'2.SD Community Based Annex'!M57</f>
        <v>0</v>
      </c>
      <c r="N9" s="2002">
        <f>'2.SD Community Based Annex'!N57</f>
        <v>0</v>
      </c>
      <c r="O9" s="178">
        <f>'2.SD Community Based Annex'!O57</f>
        <v>0</v>
      </c>
      <c r="P9" s="103">
        <f>'2.SD Community Based Annex'!P57</f>
        <v>0</v>
      </c>
      <c r="Q9" s="67"/>
      <c r="R9" s="679"/>
    </row>
    <row r="10" spans="1:18" ht="30" x14ac:dyDescent="0.2">
      <c r="A10" s="103" t="str">
        <f>'2.SD Community Based Annex'!A58</f>
        <v>2.3.3.3</v>
      </c>
      <c r="B10" s="103" t="str">
        <f>'2.SD Community Based Annex'!B58</f>
        <v>I.1.4</v>
      </c>
      <c r="C10" s="103" t="str">
        <f>'2.SD Community Based Annex'!C58</f>
        <v>Screening and free spectacles for near work to Old Person</v>
      </c>
      <c r="D10" s="2002" t="str">
        <f>'2.SD Community Based Annex'!D58</f>
        <v>NCD</v>
      </c>
      <c r="E10" s="2002" t="str">
        <f>'2.SD Community Based Annex'!E58</f>
        <v>NPCB</v>
      </c>
      <c r="F10" s="2002">
        <f>'2.SD Community Based Annex'!F58</f>
        <v>0</v>
      </c>
      <c r="G10" s="2002">
        <f>'2.SD Community Based Annex'!G58</f>
        <v>0</v>
      </c>
      <c r="H10" s="2002">
        <f>'2.SD Community Based Annex'!H58</f>
        <v>0</v>
      </c>
      <c r="I10" s="2002">
        <f>'2.SD Community Based Annex'!I58</f>
        <v>0</v>
      </c>
      <c r="J10" s="2002">
        <f>'2.SD Community Based Annex'!J58</f>
        <v>0</v>
      </c>
      <c r="K10" s="2002">
        <f>'2.SD Community Based Annex'!K58</f>
        <v>0</v>
      </c>
      <c r="L10" s="2002">
        <f>'2.SD Community Based Annex'!L58</f>
        <v>0</v>
      </c>
      <c r="M10" s="178">
        <f>'2.SD Community Based Annex'!M58</f>
        <v>0</v>
      </c>
      <c r="N10" s="2002">
        <f>'2.SD Community Based Annex'!N58</f>
        <v>0</v>
      </c>
      <c r="O10" s="178">
        <f>'2.SD Community Based Annex'!O58</f>
        <v>0</v>
      </c>
      <c r="P10" s="103">
        <f>'2.SD Community Based Annex'!P58</f>
        <v>0</v>
      </c>
      <c r="Q10" s="67"/>
      <c r="R10" s="679"/>
    </row>
    <row r="11" spans="1:18" x14ac:dyDescent="0.2">
      <c r="A11" s="2032">
        <f>'5.Infrastructure Annex'!A7</f>
        <v>5</v>
      </c>
      <c r="B11" s="2032"/>
      <c r="C11" s="2032" t="str">
        <f>'5.Infrastructure Annex'!C7</f>
        <v>Infrastructure</v>
      </c>
      <c r="D11" s="724"/>
      <c r="E11" s="724"/>
      <c r="F11" s="724"/>
      <c r="G11" s="724"/>
      <c r="H11" s="528"/>
      <c r="I11" s="724"/>
      <c r="J11" s="528"/>
      <c r="K11" s="2032"/>
      <c r="L11" s="2032"/>
      <c r="M11" s="528"/>
      <c r="N11" s="2118"/>
      <c r="O11" s="2119">
        <f>O12</f>
        <v>0</v>
      </c>
      <c r="P11" s="2120"/>
      <c r="Q11" s="2121"/>
      <c r="R11" s="2122">
        <f>R12</f>
        <v>0</v>
      </c>
    </row>
    <row r="12" spans="1:18" ht="45" x14ac:dyDescent="0.2">
      <c r="A12" s="103" t="str">
        <f>'5.Infrastructure Annex'!A18</f>
        <v>5.1.1.1.8</v>
      </c>
      <c r="B12" s="103" t="str">
        <f>'5.Infrastructure Annex'!B18</f>
        <v>I.2.7</v>
      </c>
      <c r="C12" s="103" t="str">
        <f>'5.Infrastructure Annex'!C18</f>
        <v>Grant-in-aid for construction of Eye Wards and Eye OTS (renamed as  dedicated eye unit)</v>
      </c>
      <c r="D12" s="2002" t="str">
        <f>'5.Infrastructure Annex'!D18</f>
        <v>NCD</v>
      </c>
      <c r="E12" s="2002" t="str">
        <f>'5.Infrastructure Annex'!E18</f>
        <v>NPCB</v>
      </c>
      <c r="F12" s="2002">
        <f>'5.Infrastructure Annex'!F18</f>
        <v>0</v>
      </c>
      <c r="G12" s="2002">
        <f>'5.Infrastructure Annex'!G18</f>
        <v>0</v>
      </c>
      <c r="H12" s="2002">
        <f>'5.Infrastructure Annex'!H18</f>
        <v>0</v>
      </c>
      <c r="I12" s="2002">
        <f>'5.Infrastructure Annex'!I18</f>
        <v>0</v>
      </c>
      <c r="J12" s="2002">
        <f>'5.Infrastructure Annex'!J18</f>
        <v>0</v>
      </c>
      <c r="K12" s="2002">
        <f>'5.Infrastructure Annex'!K18</f>
        <v>0</v>
      </c>
      <c r="L12" s="2002">
        <f>'5.Infrastructure Annex'!L18</f>
        <v>0</v>
      </c>
      <c r="M12" s="178">
        <f>'5.Infrastructure Annex'!M18</f>
        <v>0</v>
      </c>
      <c r="N12" s="2002">
        <f>'5.Infrastructure Annex'!N18</f>
        <v>0</v>
      </c>
      <c r="O12" s="178">
        <f>'5.Infrastructure Annex'!O18</f>
        <v>0</v>
      </c>
      <c r="P12" s="103">
        <f>'5.Infrastructure Annex'!P18</f>
        <v>0</v>
      </c>
      <c r="Q12" s="67"/>
      <c r="R12" s="679"/>
    </row>
    <row r="13" spans="1:18" x14ac:dyDescent="0.2">
      <c r="A13" s="2032">
        <f>'6.Procurement Annex'!A7</f>
        <v>6</v>
      </c>
      <c r="B13" s="2032"/>
      <c r="C13" s="2032" t="str">
        <f>'6.Procurement Annex'!C7</f>
        <v>Procurement</v>
      </c>
      <c r="D13" s="724"/>
      <c r="E13" s="724"/>
      <c r="F13" s="2019"/>
      <c r="G13" s="2019"/>
      <c r="H13" s="2020"/>
      <c r="I13" s="2019"/>
      <c r="J13" s="528"/>
      <c r="K13" s="2021"/>
      <c r="L13" s="2021"/>
      <c r="M13" s="528"/>
      <c r="N13" s="2118"/>
      <c r="O13" s="2119">
        <f>SUM(O14:O21)</f>
        <v>0</v>
      </c>
      <c r="P13" s="2120"/>
      <c r="Q13" s="2121"/>
      <c r="R13" s="2122">
        <f>SUM(R14:R21)</f>
        <v>0</v>
      </c>
    </row>
    <row r="14" spans="1:18" x14ac:dyDescent="0.2">
      <c r="A14" s="4072" t="str">
        <f>'6.Procurement Annex'!A36</f>
        <v>6.1.5.1</v>
      </c>
      <c r="B14" s="103" t="str">
        <f>'6-A. Proc. Sub-Annex'!C94</f>
        <v>I.2.1.</v>
      </c>
      <c r="C14" s="103" t="str">
        <f>'6-A. Proc. Sub-Annex'!D94</f>
        <v>Grant-in-aid for District Hospitals</v>
      </c>
      <c r="D14" s="2002" t="str">
        <f>'6-A. Proc. Sub-Annex'!E94</f>
        <v>NCD</v>
      </c>
      <c r="E14" s="2002" t="str">
        <f>'6-A. Proc. Sub-Annex'!F94</f>
        <v>NPCB</v>
      </c>
      <c r="F14" s="2002">
        <f>'6-A. Proc. Sub-Annex'!G94</f>
        <v>0</v>
      </c>
      <c r="G14" s="2002">
        <f>'6-A. Proc. Sub-Annex'!H94</f>
        <v>0</v>
      </c>
      <c r="H14" s="2002">
        <f>'6-A. Proc. Sub-Annex'!I94</f>
        <v>0</v>
      </c>
      <c r="I14" s="2002">
        <f>'6-A. Proc. Sub-Annex'!J94</f>
        <v>0</v>
      </c>
      <c r="J14" s="2002">
        <f>'6-A. Proc. Sub-Annex'!K94</f>
        <v>0</v>
      </c>
      <c r="K14" s="2002">
        <f>'6-A. Proc. Sub-Annex'!L94</f>
        <v>0</v>
      </c>
      <c r="L14" s="2002">
        <f>'6-A. Proc. Sub-Annex'!M94</f>
        <v>0</v>
      </c>
      <c r="M14" s="178">
        <f>'6-A. Proc. Sub-Annex'!N94</f>
        <v>0</v>
      </c>
      <c r="N14" s="2002">
        <f>'6-A. Proc. Sub-Annex'!O94</f>
        <v>0</v>
      </c>
      <c r="O14" s="178">
        <f>'6-A. Proc. Sub-Annex'!P94</f>
        <v>0</v>
      </c>
      <c r="P14" s="103">
        <f>'6-A. Proc. Sub-Annex'!Q94</f>
        <v>0</v>
      </c>
      <c r="Q14" s="67"/>
      <c r="R14" s="679"/>
    </row>
    <row r="15" spans="1:18" x14ac:dyDescent="0.2">
      <c r="A15" s="4072"/>
      <c r="B15" s="103" t="str">
        <f>'6-A. Proc. Sub-Annex'!C95</f>
        <v>I.2.2.</v>
      </c>
      <c r="C15" s="103" t="str">
        <f>'6-A. Proc. Sub-Annex'!D95</f>
        <v>Grant-in-aid for Sub Divisional Hospitals</v>
      </c>
      <c r="D15" s="2002" t="str">
        <f>'6-A. Proc. Sub-Annex'!E95</f>
        <v>NCD</v>
      </c>
      <c r="E15" s="2002" t="str">
        <f>'6-A. Proc. Sub-Annex'!F95</f>
        <v>NPCB</v>
      </c>
      <c r="F15" s="2002">
        <f>'6-A. Proc. Sub-Annex'!G95</f>
        <v>0</v>
      </c>
      <c r="G15" s="2002">
        <f>'6-A. Proc. Sub-Annex'!H95</f>
        <v>0</v>
      </c>
      <c r="H15" s="2002">
        <f>'6-A. Proc. Sub-Annex'!I95</f>
        <v>0</v>
      </c>
      <c r="I15" s="2002">
        <f>'6-A. Proc. Sub-Annex'!J95</f>
        <v>0</v>
      </c>
      <c r="J15" s="2002">
        <f>'6-A. Proc. Sub-Annex'!K95</f>
        <v>0</v>
      </c>
      <c r="K15" s="2002">
        <f>'6-A. Proc. Sub-Annex'!L95</f>
        <v>0</v>
      </c>
      <c r="L15" s="2002">
        <f>'6-A. Proc. Sub-Annex'!M95</f>
        <v>0</v>
      </c>
      <c r="M15" s="178">
        <f>'6-A. Proc. Sub-Annex'!N95</f>
        <v>0</v>
      </c>
      <c r="N15" s="2002">
        <f>'6-A. Proc. Sub-Annex'!O95</f>
        <v>0</v>
      </c>
      <c r="O15" s="178">
        <f>'6-A. Proc. Sub-Annex'!P95</f>
        <v>0</v>
      </c>
      <c r="P15" s="103">
        <f>'6-A. Proc. Sub-Annex'!Q95</f>
        <v>0</v>
      </c>
      <c r="Q15" s="67"/>
      <c r="R15" s="679"/>
    </row>
    <row r="16" spans="1:18" ht="30" x14ac:dyDescent="0.2">
      <c r="A16" s="4072"/>
      <c r="B16" s="103" t="str">
        <f>'6-A. Proc. Sub-Annex'!C96</f>
        <v>I.2.3</v>
      </c>
      <c r="C16" s="103" t="str">
        <f>'6-A. Proc. Sub-Annex'!D96</f>
        <v xml:space="preserve">Grant-in-aid for Vision Centre (PHC) (Govt.) </v>
      </c>
      <c r="D16" s="2002" t="str">
        <f>'6-A. Proc. Sub-Annex'!E96</f>
        <v>NCD</v>
      </c>
      <c r="E16" s="2002" t="str">
        <f>'6-A. Proc. Sub-Annex'!F96</f>
        <v>NPCB</v>
      </c>
      <c r="F16" s="2002">
        <f>'6-A. Proc. Sub-Annex'!G96</f>
        <v>0</v>
      </c>
      <c r="G16" s="2002">
        <f>'6-A. Proc. Sub-Annex'!H96</f>
        <v>0</v>
      </c>
      <c r="H16" s="2002">
        <f>'6-A. Proc. Sub-Annex'!I96</f>
        <v>0</v>
      </c>
      <c r="I16" s="2002">
        <f>'6-A. Proc. Sub-Annex'!J96</f>
        <v>0</v>
      </c>
      <c r="J16" s="2002">
        <f>'6-A. Proc. Sub-Annex'!K96</f>
        <v>0</v>
      </c>
      <c r="K16" s="2002">
        <f>'6-A. Proc. Sub-Annex'!L96</f>
        <v>0</v>
      </c>
      <c r="L16" s="2002">
        <f>'6-A. Proc. Sub-Annex'!M96</f>
        <v>0</v>
      </c>
      <c r="M16" s="178">
        <f>'6-A. Proc. Sub-Annex'!N96</f>
        <v>0</v>
      </c>
      <c r="N16" s="2002">
        <f>'6-A. Proc. Sub-Annex'!O96</f>
        <v>0</v>
      </c>
      <c r="O16" s="178">
        <f>'6-A. Proc. Sub-Annex'!P96</f>
        <v>0</v>
      </c>
      <c r="P16" s="103">
        <f>'6-A. Proc. Sub-Annex'!Q96</f>
        <v>0</v>
      </c>
      <c r="Q16" s="67"/>
      <c r="R16" s="679"/>
    </row>
    <row r="17" spans="1:18" x14ac:dyDescent="0.2">
      <c r="A17" s="4072"/>
      <c r="B17" s="103" t="str">
        <f>'6-A. Proc. Sub-Annex'!C97</f>
        <v>I.2.4</v>
      </c>
      <c r="C17" s="103" t="str">
        <f>'6-A. Proc. Sub-Annex'!D97</f>
        <v>Grant-in-aid for Eye Bank (Govt.)</v>
      </c>
      <c r="D17" s="2002" t="str">
        <f>'6-A. Proc. Sub-Annex'!E97</f>
        <v>NCD</v>
      </c>
      <c r="E17" s="2002" t="str">
        <f>'6-A. Proc. Sub-Annex'!F97</f>
        <v>NPCB</v>
      </c>
      <c r="F17" s="2002">
        <f>'6-A. Proc. Sub-Annex'!G97</f>
        <v>0</v>
      </c>
      <c r="G17" s="2002">
        <f>'6-A. Proc. Sub-Annex'!H97</f>
        <v>0</v>
      </c>
      <c r="H17" s="2002">
        <f>'6-A. Proc. Sub-Annex'!I97</f>
        <v>0</v>
      </c>
      <c r="I17" s="2002">
        <f>'6-A. Proc. Sub-Annex'!J97</f>
        <v>0</v>
      </c>
      <c r="J17" s="2002">
        <f>'6-A. Proc. Sub-Annex'!K97</f>
        <v>0</v>
      </c>
      <c r="K17" s="2002">
        <f>'6-A. Proc. Sub-Annex'!L97</f>
        <v>0</v>
      </c>
      <c r="L17" s="2002">
        <f>'6-A. Proc. Sub-Annex'!M97</f>
        <v>0</v>
      </c>
      <c r="M17" s="178">
        <f>'6-A. Proc. Sub-Annex'!N97</f>
        <v>0</v>
      </c>
      <c r="N17" s="2002">
        <f>'6-A. Proc. Sub-Annex'!O97</f>
        <v>0</v>
      </c>
      <c r="O17" s="178">
        <f>'6-A. Proc. Sub-Annex'!P97</f>
        <v>0</v>
      </c>
      <c r="P17" s="103">
        <f>'6-A. Proc. Sub-Annex'!Q97</f>
        <v>0</v>
      </c>
      <c r="Q17" s="67"/>
      <c r="R17" s="679"/>
    </row>
    <row r="18" spans="1:18" ht="30" x14ac:dyDescent="0.2">
      <c r="A18" s="4072"/>
      <c r="B18" s="103" t="str">
        <f>'6-A. Proc. Sub-Annex'!C98</f>
        <v>I.2.5</v>
      </c>
      <c r="C18" s="103" t="str">
        <f>'6-A. Proc. Sub-Annex'!D98</f>
        <v>Grant-in-aid for Eye Donation Centre (Govt.)</v>
      </c>
      <c r="D18" s="2002" t="str">
        <f>'6-A. Proc. Sub-Annex'!E98</f>
        <v>NCD</v>
      </c>
      <c r="E18" s="2002" t="str">
        <f>'6-A. Proc. Sub-Annex'!F98</f>
        <v>NPCB</v>
      </c>
      <c r="F18" s="2002">
        <f>'6-A. Proc. Sub-Annex'!G98</f>
        <v>0</v>
      </c>
      <c r="G18" s="2002">
        <f>'6-A. Proc. Sub-Annex'!H98</f>
        <v>0</v>
      </c>
      <c r="H18" s="2002">
        <f>'6-A. Proc. Sub-Annex'!I98</f>
        <v>0</v>
      </c>
      <c r="I18" s="2002">
        <f>'6-A. Proc. Sub-Annex'!J98</f>
        <v>0</v>
      </c>
      <c r="J18" s="2002">
        <f>'6-A. Proc. Sub-Annex'!K98</f>
        <v>0</v>
      </c>
      <c r="K18" s="2002">
        <f>'6-A. Proc. Sub-Annex'!L98</f>
        <v>0</v>
      </c>
      <c r="L18" s="2002">
        <f>'6-A. Proc. Sub-Annex'!M98</f>
        <v>0</v>
      </c>
      <c r="M18" s="178">
        <f>'6-A. Proc. Sub-Annex'!N98</f>
        <v>0</v>
      </c>
      <c r="N18" s="2002">
        <f>'6-A. Proc. Sub-Annex'!O98</f>
        <v>0</v>
      </c>
      <c r="O18" s="178">
        <f>'6-A. Proc. Sub-Annex'!P98</f>
        <v>0</v>
      </c>
      <c r="P18" s="103">
        <f>'6-A. Proc. Sub-Annex'!Q98</f>
        <v>0</v>
      </c>
      <c r="Q18" s="67"/>
      <c r="R18" s="679"/>
    </row>
    <row r="19" spans="1:18" x14ac:dyDescent="0.2">
      <c r="A19" s="103" t="str">
        <f>'6.Procurement Annex'!A51</f>
        <v>6.1.6.5</v>
      </c>
      <c r="B19" s="103" t="str">
        <f>'6-A. Proc. Sub-Annex'!C141</f>
        <v>I.1.8</v>
      </c>
      <c r="C19" s="103" t="str">
        <f>'6-A. Proc. Sub-Annex'!D141</f>
        <v>Maintenance of Ophthalmic Equipment</v>
      </c>
      <c r="D19" s="2002" t="str">
        <f>'6-A. Proc. Sub-Annex'!E141</f>
        <v>NCD</v>
      </c>
      <c r="E19" s="2002" t="str">
        <f>'6-A. Proc. Sub-Annex'!F141</f>
        <v>NPCB</v>
      </c>
      <c r="F19" s="2002">
        <f>'6-A. Proc. Sub-Annex'!G141</f>
        <v>0</v>
      </c>
      <c r="G19" s="2002">
        <f>'6-A. Proc. Sub-Annex'!H141</f>
        <v>0</v>
      </c>
      <c r="H19" s="2002">
        <f>'6-A. Proc. Sub-Annex'!I141</f>
        <v>0</v>
      </c>
      <c r="I19" s="2002">
        <f>'6-A. Proc. Sub-Annex'!J141</f>
        <v>0</v>
      </c>
      <c r="J19" s="2002">
        <f>'6-A. Proc. Sub-Annex'!K141</f>
        <v>0</v>
      </c>
      <c r="K19" s="2002">
        <f>'6-A. Proc. Sub-Annex'!L141</f>
        <v>0</v>
      </c>
      <c r="L19" s="2002">
        <f>'6-A. Proc. Sub-Annex'!M141</f>
        <v>0</v>
      </c>
      <c r="M19" s="178">
        <f>'6-A. Proc. Sub-Annex'!N141</f>
        <v>0</v>
      </c>
      <c r="N19" s="2002">
        <f>'6-A. Proc. Sub-Annex'!O141</f>
        <v>0</v>
      </c>
      <c r="O19" s="178">
        <f>'6-A. Proc. Sub-Annex'!P141</f>
        <v>0</v>
      </c>
      <c r="P19" s="103">
        <f>'6-A. Proc. Sub-Annex'!Q141</f>
        <v>0</v>
      </c>
      <c r="Q19" s="67"/>
      <c r="R19" s="679"/>
    </row>
    <row r="20" spans="1:18" ht="45" x14ac:dyDescent="0.2">
      <c r="A20" s="4072" t="str">
        <f>'6.Procurement Annex'!A79</f>
        <v>6.2.4.1</v>
      </c>
      <c r="B20" s="103" t="str">
        <f>'6-A. Proc. Sub-Annex'!C251</f>
        <v>B.16.2.11.4.a</v>
      </c>
      <c r="C20" s="103" t="str">
        <f>'6-A. Proc. Sub-Annex'!D251</f>
        <v>Assistance for consumables/drugs/medicines to the Govt./District Hospital for Cat sx etc</v>
      </c>
      <c r="D20" s="2002" t="str">
        <f>'6-A. Proc. Sub-Annex'!E251</f>
        <v>NCD</v>
      </c>
      <c r="E20" s="2002" t="str">
        <f>'6-A. Proc. Sub-Annex'!F251</f>
        <v>NPCB</v>
      </c>
      <c r="F20" s="2002">
        <f>'6-A. Proc. Sub-Annex'!G251</f>
        <v>0</v>
      </c>
      <c r="G20" s="2002">
        <f>'6-A. Proc. Sub-Annex'!H251</f>
        <v>0</v>
      </c>
      <c r="H20" s="2002">
        <f>'6-A. Proc. Sub-Annex'!I251</f>
        <v>0</v>
      </c>
      <c r="I20" s="2002">
        <f>'6-A. Proc. Sub-Annex'!J251</f>
        <v>0</v>
      </c>
      <c r="J20" s="2002">
        <f>'6-A. Proc. Sub-Annex'!K251</f>
        <v>0</v>
      </c>
      <c r="K20" s="2002">
        <f>'6-A. Proc. Sub-Annex'!L251</f>
        <v>0</v>
      </c>
      <c r="L20" s="2002">
        <f>'6-A. Proc. Sub-Annex'!M251</f>
        <v>0</v>
      </c>
      <c r="M20" s="178">
        <f>'6-A. Proc. Sub-Annex'!N251</f>
        <v>0</v>
      </c>
      <c r="N20" s="2002">
        <f>'6-A. Proc. Sub-Annex'!O251</f>
        <v>0</v>
      </c>
      <c r="O20" s="178">
        <f>'6-A. Proc. Sub-Annex'!P251</f>
        <v>0</v>
      </c>
      <c r="P20" s="103">
        <f>'6-A. Proc. Sub-Annex'!Q251</f>
        <v>0</v>
      </c>
      <c r="Q20" s="67"/>
      <c r="R20" s="679"/>
    </row>
    <row r="21" spans="1:18" ht="30" x14ac:dyDescent="0.2">
      <c r="A21" s="4072"/>
      <c r="B21" s="103"/>
      <c r="C21" s="103" t="str">
        <f>'6-A. Proc. Sub-Annex'!D252</f>
        <v>Any other drugs &amp; supplies (please specify)</v>
      </c>
      <c r="D21" s="2002" t="str">
        <f>'6-A. Proc. Sub-Annex'!E252</f>
        <v>NCD</v>
      </c>
      <c r="E21" s="2002" t="str">
        <f>'6-A. Proc. Sub-Annex'!F252</f>
        <v>NPCB</v>
      </c>
      <c r="F21" s="2002">
        <f>'6-A. Proc. Sub-Annex'!G252</f>
        <v>0</v>
      </c>
      <c r="G21" s="2002">
        <f>'6-A. Proc. Sub-Annex'!H252</f>
        <v>0</v>
      </c>
      <c r="H21" s="2002">
        <f>'6-A. Proc. Sub-Annex'!I252</f>
        <v>0</v>
      </c>
      <c r="I21" s="2002">
        <f>'6-A. Proc. Sub-Annex'!J252</f>
        <v>0</v>
      </c>
      <c r="J21" s="2002">
        <f>'6-A. Proc. Sub-Annex'!K252</f>
        <v>0</v>
      </c>
      <c r="K21" s="2002">
        <f>'6-A. Proc. Sub-Annex'!L252</f>
        <v>0</v>
      </c>
      <c r="L21" s="2002">
        <f>'6-A. Proc. Sub-Annex'!M252</f>
        <v>0</v>
      </c>
      <c r="M21" s="178">
        <f>'6-A. Proc. Sub-Annex'!N252</f>
        <v>0</v>
      </c>
      <c r="N21" s="2002">
        <f>'6-A. Proc. Sub-Annex'!O252</f>
        <v>0</v>
      </c>
      <c r="O21" s="178">
        <f>'6-A. Proc. Sub-Annex'!P252</f>
        <v>0</v>
      </c>
      <c r="P21" s="103">
        <f>'6-A. Proc. Sub-Annex'!Q252</f>
        <v>0</v>
      </c>
      <c r="Q21" s="67"/>
      <c r="R21" s="679"/>
    </row>
    <row r="22" spans="1:18" x14ac:dyDescent="0.2">
      <c r="A22" s="2032">
        <f>'9.Training Annex'!A7</f>
        <v>9</v>
      </c>
      <c r="B22" s="2032"/>
      <c r="C22" s="2032" t="str">
        <f>'9.Training Annex'!C7</f>
        <v>Training and Capacity Building</v>
      </c>
      <c r="D22" s="724"/>
      <c r="E22" s="724"/>
      <c r="F22" s="724"/>
      <c r="G22" s="724"/>
      <c r="H22" s="528"/>
      <c r="I22" s="724"/>
      <c r="J22" s="528"/>
      <c r="K22" s="2032"/>
      <c r="L22" s="2032"/>
      <c r="M22" s="528"/>
      <c r="N22" s="2118"/>
      <c r="O22" s="2119">
        <f>SUM(O23:O24)</f>
        <v>0</v>
      </c>
      <c r="P22" s="2120"/>
      <c r="Q22" s="2121"/>
      <c r="R22" s="2122">
        <f>SUM(R23:R24)</f>
        <v>0</v>
      </c>
    </row>
    <row r="23" spans="1:18" x14ac:dyDescent="0.2">
      <c r="A23" s="4072" t="str">
        <f>'9.Training Annex'!A55</f>
        <v>9.2.4.1</v>
      </c>
      <c r="B23" s="103" t="str">
        <f>'9-A.Training Sub-Annex'!C249</f>
        <v>I.1.6</v>
      </c>
      <c r="C23" s="103" t="str">
        <f>'9-A.Training Sub-Annex'!D249</f>
        <v>Training of PMOA under NPCB</v>
      </c>
      <c r="D23" s="2002" t="str">
        <f>'9-A.Training Sub-Annex'!E249</f>
        <v>NCD</v>
      </c>
      <c r="E23" s="2002" t="str">
        <f>'9-A.Training Sub-Annex'!F249</f>
        <v>NPCB</v>
      </c>
      <c r="F23" s="2002">
        <f>'9-A.Training Sub-Annex'!G249</f>
        <v>0</v>
      </c>
      <c r="G23" s="2002">
        <f>'9-A.Training Sub-Annex'!H249</f>
        <v>0</v>
      </c>
      <c r="H23" s="2002">
        <f>'9-A.Training Sub-Annex'!I249</f>
        <v>0</v>
      </c>
      <c r="I23" s="2002">
        <f>'9-A.Training Sub-Annex'!J249</f>
        <v>0</v>
      </c>
      <c r="J23" s="2002">
        <f>'9-A.Training Sub-Annex'!K249</f>
        <v>0</v>
      </c>
      <c r="K23" s="2002">
        <f>'9-A.Training Sub-Annex'!L249</f>
        <v>0</v>
      </c>
      <c r="L23" s="2002">
        <f>'9-A.Training Sub-Annex'!M249</f>
        <v>0</v>
      </c>
      <c r="M23" s="178">
        <f>'9-A.Training Sub-Annex'!N249</f>
        <v>0</v>
      </c>
      <c r="N23" s="2002">
        <f>'9-A.Training Sub-Annex'!O249</f>
        <v>0</v>
      </c>
      <c r="O23" s="178">
        <f>'9-A.Training Sub-Annex'!P249</f>
        <v>0</v>
      </c>
      <c r="P23" s="103">
        <f>'9-A.Training Sub-Annex'!Q249</f>
        <v>0</v>
      </c>
      <c r="Q23" s="67"/>
      <c r="R23" s="679"/>
    </row>
    <row r="24" spans="1:18" x14ac:dyDescent="0.2">
      <c r="A24" s="4072"/>
      <c r="B24" s="103"/>
      <c r="C24" s="103" t="str">
        <f>'9-A.Training Sub-Annex'!D250</f>
        <v>Any other (please specify)</v>
      </c>
      <c r="D24" s="2002" t="str">
        <f>'9-A.Training Sub-Annex'!E250</f>
        <v>NCD</v>
      </c>
      <c r="E24" s="2002" t="str">
        <f>'9-A.Training Sub-Annex'!F250</f>
        <v>NPCB</v>
      </c>
      <c r="F24" s="2002">
        <f>'9-A.Training Sub-Annex'!G250</f>
        <v>0</v>
      </c>
      <c r="G24" s="2002">
        <f>'9-A.Training Sub-Annex'!H250</f>
        <v>0</v>
      </c>
      <c r="H24" s="2002">
        <f>'9-A.Training Sub-Annex'!I250</f>
        <v>0</v>
      </c>
      <c r="I24" s="2002">
        <f>'9-A.Training Sub-Annex'!J250</f>
        <v>0</v>
      </c>
      <c r="J24" s="2002">
        <f>'9-A.Training Sub-Annex'!K250</f>
        <v>0</v>
      </c>
      <c r="K24" s="2002">
        <f>'9-A.Training Sub-Annex'!L250</f>
        <v>0</v>
      </c>
      <c r="L24" s="2002">
        <f>'9-A.Training Sub-Annex'!M250</f>
        <v>0</v>
      </c>
      <c r="M24" s="178">
        <f>'9-A.Training Sub-Annex'!N250</f>
        <v>0</v>
      </c>
      <c r="N24" s="2002">
        <f>'9-A.Training Sub-Annex'!O250</f>
        <v>0</v>
      </c>
      <c r="O24" s="178">
        <f>'9-A.Training Sub-Annex'!P250</f>
        <v>0</v>
      </c>
      <c r="P24" s="103">
        <f>'9-A.Training Sub-Annex'!Q250</f>
        <v>0</v>
      </c>
      <c r="Q24" s="67"/>
      <c r="R24" s="679"/>
    </row>
    <row r="25" spans="1:18" ht="30" x14ac:dyDescent="0.2">
      <c r="A25" s="2032">
        <f>'10.Review Research &amp; Surveillen'!A7</f>
        <v>10</v>
      </c>
      <c r="B25" s="2032">
        <f>'10.Review Research &amp; Surveillen'!B7</f>
        <v>0</v>
      </c>
      <c r="C25" s="2032" t="str">
        <f>'10.Review Research &amp; Surveillen'!C7</f>
        <v>Reviews, Research, Surveys and Surveillance</v>
      </c>
      <c r="D25" s="724"/>
      <c r="E25" s="724"/>
      <c r="F25" s="724"/>
      <c r="G25" s="724"/>
      <c r="H25" s="528"/>
      <c r="I25" s="724"/>
      <c r="J25" s="528"/>
      <c r="K25" s="2032"/>
      <c r="L25" s="2032"/>
      <c r="M25" s="528"/>
      <c r="N25" s="2118"/>
      <c r="O25" s="2119">
        <f>O26</f>
        <v>0</v>
      </c>
      <c r="P25" s="2120"/>
      <c r="Q25" s="2121"/>
      <c r="R25" s="2122">
        <f>R26</f>
        <v>0</v>
      </c>
    </row>
    <row r="26" spans="1:18" ht="30" x14ac:dyDescent="0.2">
      <c r="A26" s="103" t="str">
        <f>'10.Review Research &amp; Surveillen'!A61</f>
        <v>10.5.6</v>
      </c>
      <c r="B26" s="103">
        <f>'10.Review Research &amp; Surveillen'!B61</f>
        <v>0</v>
      </c>
      <c r="C26" s="103" t="str">
        <f>'10.Review Research &amp; Surveillen'!C61</f>
        <v>Sub-national Disease Free Certification: Cataract/Blindness</v>
      </c>
      <c r="D26" s="2002" t="str">
        <f>'10.Review Research &amp; Surveillen'!D61</f>
        <v>NCD</v>
      </c>
      <c r="E26" s="2002" t="str">
        <f>'10.Review Research &amp; Surveillen'!E61</f>
        <v>NPCB</v>
      </c>
      <c r="F26" s="2002">
        <f>'10.Review Research &amp; Surveillen'!F61</f>
        <v>0</v>
      </c>
      <c r="G26" s="2002">
        <f>'10.Review Research &amp; Surveillen'!G61</f>
        <v>0</v>
      </c>
      <c r="H26" s="2002">
        <f>'10.Review Research &amp; Surveillen'!H61</f>
        <v>0</v>
      </c>
      <c r="I26" s="2002">
        <f>'10.Review Research &amp; Surveillen'!I61</f>
        <v>0</v>
      </c>
      <c r="J26" s="2002">
        <f>'10.Review Research &amp; Surveillen'!J61</f>
        <v>0</v>
      </c>
      <c r="K26" s="2002">
        <f>'10.Review Research &amp; Surveillen'!K61</f>
        <v>0</v>
      </c>
      <c r="L26" s="2002">
        <f>'10.Review Research &amp; Surveillen'!L61</f>
        <v>0</v>
      </c>
      <c r="M26" s="178">
        <f>'10.Review Research &amp; Surveillen'!M61</f>
        <v>0</v>
      </c>
      <c r="N26" s="2002">
        <f>'10.Review Research &amp; Surveillen'!N61</f>
        <v>0</v>
      </c>
      <c r="O26" s="178">
        <f>'10.Review Research &amp; Surveillen'!O61</f>
        <v>0</v>
      </c>
      <c r="P26" s="103">
        <f>'10.Review Research &amp; Surveillen'!P61</f>
        <v>0</v>
      </c>
      <c r="Q26" s="67"/>
      <c r="R26" s="679"/>
    </row>
    <row r="27" spans="1:18" x14ac:dyDescent="0.2">
      <c r="A27" s="2032">
        <f>'11.IEC-BCC Annex'!A7</f>
        <v>11</v>
      </c>
      <c r="B27" s="2032"/>
      <c r="C27" s="2032" t="str">
        <f>'11.IEC-BCC Annex'!C7</f>
        <v>IEC/BCC</v>
      </c>
      <c r="D27" s="724"/>
      <c r="E27" s="724"/>
      <c r="F27" s="2019"/>
      <c r="G27" s="2019"/>
      <c r="H27" s="2020"/>
      <c r="I27" s="2019"/>
      <c r="J27" s="528"/>
      <c r="K27" s="2021"/>
      <c r="L27" s="2021"/>
      <c r="M27" s="528"/>
      <c r="N27" s="2118"/>
      <c r="O27" s="2119">
        <f>SUM(O28:O29)</f>
        <v>0</v>
      </c>
      <c r="P27" s="2120"/>
      <c r="Q27" s="2121"/>
      <c r="R27" s="2122">
        <f>SUM(R28:R29)</f>
        <v>0</v>
      </c>
    </row>
    <row r="28" spans="1:18" ht="45" x14ac:dyDescent="0.2">
      <c r="A28" s="4072" t="str">
        <f>'11.IEC-BCC Annex'!A32</f>
        <v>11.4.1</v>
      </c>
      <c r="B28" s="103" t="str">
        <f>'11-A. IEC Sub-Annex'!C78</f>
        <v>B.10.6.11</v>
      </c>
      <c r="C28" s="103" t="str">
        <f>'11-A. IEC Sub-Annex'!D78</f>
        <v>State level IEC for Minor State @ Rs. 10 lakh and for Major States @ Rs. 20 lakh under NPCB&amp;VI</v>
      </c>
      <c r="D28" s="2002" t="str">
        <f>'11-A. IEC Sub-Annex'!E78</f>
        <v>NCD</v>
      </c>
      <c r="E28" s="2002" t="str">
        <f>'11-A. IEC Sub-Annex'!F78</f>
        <v>NPCB</v>
      </c>
      <c r="F28" s="2002">
        <f>'11-A. IEC Sub-Annex'!G78</f>
        <v>0</v>
      </c>
      <c r="G28" s="2002">
        <f>'11-A. IEC Sub-Annex'!H78</f>
        <v>0</v>
      </c>
      <c r="H28" s="2002">
        <f>'11-A. IEC Sub-Annex'!I78</f>
        <v>0</v>
      </c>
      <c r="I28" s="2002">
        <f>'11-A. IEC Sub-Annex'!J78</f>
        <v>0</v>
      </c>
      <c r="J28" s="2002">
        <f>'11-A. IEC Sub-Annex'!K78</f>
        <v>0</v>
      </c>
      <c r="K28" s="2002">
        <f>'11-A. IEC Sub-Annex'!L78</f>
        <v>0</v>
      </c>
      <c r="L28" s="2002">
        <f>'11-A. IEC Sub-Annex'!M78</f>
        <v>0</v>
      </c>
      <c r="M28" s="178">
        <f>'11-A. IEC Sub-Annex'!N78</f>
        <v>0</v>
      </c>
      <c r="N28" s="2002">
        <f>'11-A. IEC Sub-Annex'!O78</f>
        <v>0</v>
      </c>
      <c r="O28" s="178">
        <f>'11-A. IEC Sub-Annex'!P78</f>
        <v>0</v>
      </c>
      <c r="P28" s="103">
        <f>'11-A. IEC Sub-Annex'!Q78</f>
        <v>0</v>
      </c>
      <c r="Q28" s="67"/>
      <c r="R28" s="679"/>
    </row>
    <row r="29" spans="1:18" ht="30" x14ac:dyDescent="0.2">
      <c r="A29" s="4072"/>
      <c r="B29" s="103"/>
      <c r="C29" s="103" t="str">
        <f>'11-A. IEC Sub-Annex'!D79</f>
        <v>Any other IEC/BCC activities (please specify)</v>
      </c>
      <c r="D29" s="2002" t="str">
        <f>'11-A. IEC Sub-Annex'!E79</f>
        <v>NCD</v>
      </c>
      <c r="E29" s="2002" t="str">
        <f>'11-A. IEC Sub-Annex'!F79</f>
        <v>NPCB</v>
      </c>
      <c r="F29" s="2002">
        <f>'11-A. IEC Sub-Annex'!G79</f>
        <v>0</v>
      </c>
      <c r="G29" s="2002">
        <f>'11-A. IEC Sub-Annex'!H79</f>
        <v>0</v>
      </c>
      <c r="H29" s="2002">
        <f>'11-A. IEC Sub-Annex'!I79</f>
        <v>0</v>
      </c>
      <c r="I29" s="2002">
        <f>'11-A. IEC Sub-Annex'!J79</f>
        <v>0</v>
      </c>
      <c r="J29" s="2002">
        <f>'11-A. IEC Sub-Annex'!K79</f>
        <v>0</v>
      </c>
      <c r="K29" s="2002">
        <f>'11-A. IEC Sub-Annex'!L79</f>
        <v>0</v>
      </c>
      <c r="L29" s="2002">
        <f>'11-A. IEC Sub-Annex'!M79</f>
        <v>0</v>
      </c>
      <c r="M29" s="178">
        <f>'11-A. IEC Sub-Annex'!N79</f>
        <v>0</v>
      </c>
      <c r="N29" s="2002">
        <f>'11-A. IEC Sub-Annex'!O79</f>
        <v>0</v>
      </c>
      <c r="O29" s="178">
        <f>'11-A. IEC Sub-Annex'!P79</f>
        <v>0</v>
      </c>
      <c r="P29" s="103">
        <f>'11-A. IEC Sub-Annex'!Q79</f>
        <v>0</v>
      </c>
      <c r="Q29" s="67"/>
      <c r="R29" s="679"/>
    </row>
    <row r="30" spans="1:18" x14ac:dyDescent="0.2">
      <c r="A30" s="2032">
        <f>'12.Printing Annex'!A7</f>
        <v>12</v>
      </c>
      <c r="B30" s="2032"/>
      <c r="C30" s="2032" t="str">
        <f>'11.IEC-BCC Annex'!C10</f>
        <v>IEC/BCC activities under CH</v>
      </c>
      <c r="D30" s="724"/>
      <c r="E30" s="724"/>
      <c r="F30" s="2019"/>
      <c r="G30" s="2019"/>
      <c r="H30" s="2020"/>
      <c r="I30" s="2019"/>
      <c r="J30" s="528"/>
      <c r="K30" s="2021"/>
      <c r="L30" s="2021"/>
      <c r="M30" s="528"/>
      <c r="N30" s="2118"/>
      <c r="O30" s="2119">
        <f>SUM(O31:O31)</f>
        <v>0</v>
      </c>
      <c r="P30" s="2120"/>
      <c r="Q30" s="2121"/>
      <c r="R30" s="2122">
        <f>SUM(R31:R31)</f>
        <v>0</v>
      </c>
    </row>
    <row r="31" spans="1:18" s="828" customFormat="1" x14ac:dyDescent="0.2">
      <c r="A31" s="2208" t="str">
        <f>'12.Printing Annex'!A34</f>
        <v>12.4.1</v>
      </c>
      <c r="B31" s="2209">
        <f>'12-A. Print Sub-Annex'!C92</f>
        <v>0</v>
      </c>
      <c r="C31" s="2209" t="str">
        <f>'12-A. Print Sub-Annex'!D92</f>
        <v>Printing activities under NPCB+VI</v>
      </c>
      <c r="D31" s="2208" t="str">
        <f>'12-A. Print Sub-Annex'!E92</f>
        <v>NCD</v>
      </c>
      <c r="E31" s="2208" t="str">
        <f>'12-A. Print Sub-Annex'!F92</f>
        <v>NPCB</v>
      </c>
      <c r="F31" s="2208">
        <f>'12-A. Print Sub-Annex'!G92</f>
        <v>0</v>
      </c>
      <c r="G31" s="2208">
        <f>'12-A. Print Sub-Annex'!H92</f>
        <v>0</v>
      </c>
      <c r="H31" s="2208">
        <f>'12-A. Print Sub-Annex'!I92</f>
        <v>0</v>
      </c>
      <c r="I31" s="2208">
        <f>'12-A. Print Sub-Annex'!J92</f>
        <v>0</v>
      </c>
      <c r="J31" s="2208">
        <f>'12-A. Print Sub-Annex'!K92</f>
        <v>0</v>
      </c>
      <c r="K31" s="2208">
        <f>'12-A. Print Sub-Annex'!L92</f>
        <v>0</v>
      </c>
      <c r="L31" s="2208">
        <f>'12-A. Print Sub-Annex'!M92</f>
        <v>0</v>
      </c>
      <c r="M31" s="1979">
        <f>'12-A. Print Sub-Annex'!N92</f>
        <v>0</v>
      </c>
      <c r="N31" s="2208">
        <f>'12-A. Print Sub-Annex'!O92</f>
        <v>0</v>
      </c>
      <c r="O31" s="1979">
        <f>'12-A. Print Sub-Annex'!P92</f>
        <v>0</v>
      </c>
      <c r="P31" s="2209">
        <f>'12-A. Print Sub-Annex'!Q92</f>
        <v>0</v>
      </c>
      <c r="Q31" s="2210"/>
      <c r="R31" s="2211"/>
    </row>
    <row r="32" spans="1:18" x14ac:dyDescent="0.2">
      <c r="A32" s="2032">
        <f>'15.PPP Annex'!A7</f>
        <v>15</v>
      </c>
      <c r="B32" s="2032"/>
      <c r="C32" s="2032" t="str">
        <f>'15.PPP Annex'!C7</f>
        <v>PPP</v>
      </c>
      <c r="D32" s="724"/>
      <c r="E32" s="724"/>
      <c r="F32" s="2019"/>
      <c r="G32" s="2019"/>
      <c r="H32" s="2020"/>
      <c r="I32" s="2019"/>
      <c r="J32" s="528"/>
      <c r="K32" s="2021"/>
      <c r="L32" s="2021"/>
      <c r="M32" s="528"/>
      <c r="N32" s="2118"/>
      <c r="O32" s="2119">
        <f>SUM(O33:O39)</f>
        <v>0</v>
      </c>
      <c r="P32" s="2120"/>
      <c r="Q32" s="2121"/>
      <c r="R32" s="2122">
        <f>SUM(R33:R39)</f>
        <v>0</v>
      </c>
    </row>
    <row r="33" spans="1:18" ht="45" x14ac:dyDescent="0.2">
      <c r="A33" s="103" t="str">
        <f>'15.PPP Annex'!A36</f>
        <v>15.4.2</v>
      </c>
      <c r="B33" s="103" t="str">
        <f>'15.PPP Annex'!B36</f>
        <v>15.6.1/ I.1.1</v>
      </c>
      <c r="C33" s="103" t="str">
        <f>'15.PPP Annex'!C36</f>
        <v>Reimbursement for cataract operation for NGO and Private  Practitioners as per NGO norms @ Rs. 2000</v>
      </c>
      <c r="D33" s="2002" t="str">
        <f>'15.PPP Annex'!D36</f>
        <v>NCD</v>
      </c>
      <c r="E33" s="2002" t="str">
        <f>'15.PPP Annex'!E36</f>
        <v>NPCB</v>
      </c>
      <c r="F33" s="2002">
        <f>'15.PPP Annex'!F36</f>
        <v>0</v>
      </c>
      <c r="G33" s="2002">
        <f>'15.PPP Annex'!G36</f>
        <v>0</v>
      </c>
      <c r="H33" s="2002">
        <f>'15.PPP Annex'!H36</f>
        <v>0</v>
      </c>
      <c r="I33" s="2002">
        <f>'15.PPP Annex'!I36</f>
        <v>0</v>
      </c>
      <c r="J33" s="2002">
        <f>'15.PPP Annex'!J36</f>
        <v>0</v>
      </c>
      <c r="K33" s="2002">
        <f>'15.PPP Annex'!K36</f>
        <v>0</v>
      </c>
      <c r="L33" s="2002">
        <f>'15.PPP Annex'!L36</f>
        <v>0</v>
      </c>
      <c r="M33" s="178">
        <f>'15.PPP Annex'!M36</f>
        <v>0</v>
      </c>
      <c r="N33" s="2002">
        <f>'15.PPP Annex'!N36</f>
        <v>0</v>
      </c>
      <c r="O33" s="178">
        <f>'15.PPP Annex'!O36</f>
        <v>0</v>
      </c>
      <c r="P33" s="103">
        <f>'15.PPP Annex'!P36</f>
        <v>0</v>
      </c>
      <c r="Q33" s="67"/>
      <c r="R33" s="679"/>
    </row>
    <row r="34" spans="1:18" x14ac:dyDescent="0.2">
      <c r="A34" s="103" t="str">
        <f>'15.PPP Annex'!A38</f>
        <v>15.4.3.1</v>
      </c>
      <c r="B34" s="103"/>
      <c r="C34" s="103" t="str">
        <f>'15.PPP Annex'!C38</f>
        <v>Diabetic Retinopathy @ Rs. 2000</v>
      </c>
      <c r="D34" s="2002" t="str">
        <f>'15.PPP Annex'!D38</f>
        <v>NCD</v>
      </c>
      <c r="E34" s="2002" t="str">
        <f>'15.PPP Annex'!E38</f>
        <v>NPCB</v>
      </c>
      <c r="F34" s="2002">
        <f>'15.PPP Annex'!F38</f>
        <v>0</v>
      </c>
      <c r="G34" s="2002">
        <f>'15.PPP Annex'!G38</f>
        <v>0</v>
      </c>
      <c r="H34" s="2002">
        <f>'15.PPP Annex'!H38</f>
        <v>0</v>
      </c>
      <c r="I34" s="2002">
        <f>'15.PPP Annex'!I38</f>
        <v>0</v>
      </c>
      <c r="J34" s="2002">
        <f>'15.PPP Annex'!J38</f>
        <v>0</v>
      </c>
      <c r="K34" s="2002">
        <f>'15.PPP Annex'!K38</f>
        <v>0</v>
      </c>
      <c r="L34" s="2002">
        <f>'15.PPP Annex'!L38</f>
        <v>0</v>
      </c>
      <c r="M34" s="178">
        <f>'15.PPP Annex'!M38</f>
        <v>0</v>
      </c>
      <c r="N34" s="2002">
        <f>'15.PPP Annex'!N38</f>
        <v>0</v>
      </c>
      <c r="O34" s="178">
        <f>'15.PPP Annex'!O38</f>
        <v>0</v>
      </c>
      <c r="P34" s="103">
        <f>'15.PPP Annex'!P38</f>
        <v>0</v>
      </c>
      <c r="Q34" s="67"/>
      <c r="R34" s="679"/>
    </row>
    <row r="35" spans="1:18" x14ac:dyDescent="0.2">
      <c r="A35" s="103" t="str">
        <f>'15.PPP Annex'!A39</f>
        <v>15.4.3.2</v>
      </c>
      <c r="B35" s="103"/>
      <c r="C35" s="103" t="str">
        <f>'15.PPP Annex'!C39</f>
        <v>Childhood Blindness @ Rs. 2000</v>
      </c>
      <c r="D35" s="2002" t="str">
        <f>'15.PPP Annex'!D39</f>
        <v>NCD</v>
      </c>
      <c r="E35" s="2002" t="str">
        <f>'15.PPP Annex'!E39</f>
        <v>NPCB</v>
      </c>
      <c r="F35" s="2002">
        <f>'15.PPP Annex'!F39</f>
        <v>0</v>
      </c>
      <c r="G35" s="2002">
        <f>'15.PPP Annex'!G39</f>
        <v>0</v>
      </c>
      <c r="H35" s="2002">
        <f>'15.PPP Annex'!H39</f>
        <v>0</v>
      </c>
      <c r="I35" s="2002">
        <f>'15.PPP Annex'!I39</f>
        <v>0</v>
      </c>
      <c r="J35" s="2002">
        <f>'15.PPP Annex'!J39</f>
        <v>0</v>
      </c>
      <c r="K35" s="2002">
        <f>'15.PPP Annex'!K39</f>
        <v>0</v>
      </c>
      <c r="L35" s="2002">
        <f>'15.PPP Annex'!L39</f>
        <v>0</v>
      </c>
      <c r="M35" s="178">
        <f>'15.PPP Annex'!M39</f>
        <v>0</v>
      </c>
      <c r="N35" s="2002">
        <f>'15.PPP Annex'!N39</f>
        <v>0</v>
      </c>
      <c r="O35" s="178">
        <f>'15.PPP Annex'!O39</f>
        <v>0</v>
      </c>
      <c r="P35" s="103">
        <f>'15.PPP Annex'!P39</f>
        <v>0</v>
      </c>
      <c r="Q35" s="67"/>
      <c r="R35" s="679"/>
    </row>
    <row r="36" spans="1:18" x14ac:dyDescent="0.2">
      <c r="A36" s="103" t="str">
        <f>'15.PPP Annex'!A40</f>
        <v>15.5.3</v>
      </c>
      <c r="B36" s="103"/>
      <c r="C36" s="103" t="str">
        <f>'15.PPP Annex'!C40</f>
        <v>Glaucoma @ Rs. 2000</v>
      </c>
      <c r="D36" s="2002" t="str">
        <f>'15.PPP Annex'!D40</f>
        <v>NCD</v>
      </c>
      <c r="E36" s="2002" t="str">
        <f>'15.PPP Annex'!E40</f>
        <v>NPCB</v>
      </c>
      <c r="F36" s="2002">
        <f>'15.PPP Annex'!F40</f>
        <v>0</v>
      </c>
      <c r="G36" s="2002">
        <f>'15.PPP Annex'!G40</f>
        <v>0</v>
      </c>
      <c r="H36" s="2002">
        <f>'15.PPP Annex'!H40</f>
        <v>0</v>
      </c>
      <c r="I36" s="2002">
        <f>'15.PPP Annex'!I40</f>
        <v>0</v>
      </c>
      <c r="J36" s="2002">
        <f>'15.PPP Annex'!J40</f>
        <v>0</v>
      </c>
      <c r="K36" s="2002">
        <f>'15.PPP Annex'!K40</f>
        <v>0</v>
      </c>
      <c r="L36" s="2002">
        <f>'15.PPP Annex'!L40</f>
        <v>0</v>
      </c>
      <c r="M36" s="178">
        <f>'15.PPP Annex'!M40</f>
        <v>0</v>
      </c>
      <c r="N36" s="2002">
        <f>'15.PPP Annex'!N40</f>
        <v>0</v>
      </c>
      <c r="O36" s="178">
        <f>'15.PPP Annex'!O40</f>
        <v>0</v>
      </c>
      <c r="P36" s="103">
        <f>'15.PPP Annex'!P40</f>
        <v>0</v>
      </c>
      <c r="Q36" s="67"/>
      <c r="R36" s="679"/>
    </row>
    <row r="37" spans="1:18" x14ac:dyDescent="0.2">
      <c r="A37" s="103" t="str">
        <f>'15.PPP Annex'!A41</f>
        <v>15.4.3.4</v>
      </c>
      <c r="B37" s="103"/>
      <c r="C37" s="103" t="str">
        <f>'15.PPP Annex'!C41</f>
        <v>Keratoplasty @ Rs. 5000</v>
      </c>
      <c r="D37" s="2002" t="str">
        <f>'15.PPP Annex'!D41</f>
        <v>NCD</v>
      </c>
      <c r="E37" s="2002" t="str">
        <f>'15.PPP Annex'!E41</f>
        <v>NPCB</v>
      </c>
      <c r="F37" s="2002">
        <f>'15.PPP Annex'!F41</f>
        <v>0</v>
      </c>
      <c r="G37" s="2002">
        <f>'15.PPP Annex'!G41</f>
        <v>0</v>
      </c>
      <c r="H37" s="2002">
        <f>'15.PPP Annex'!H41</f>
        <v>0</v>
      </c>
      <c r="I37" s="2002">
        <f>'15.PPP Annex'!I41</f>
        <v>0</v>
      </c>
      <c r="J37" s="2002">
        <f>'15.PPP Annex'!J41</f>
        <v>0</v>
      </c>
      <c r="K37" s="2002">
        <f>'15.PPP Annex'!K41</f>
        <v>0</v>
      </c>
      <c r="L37" s="2002">
        <f>'15.PPP Annex'!L41</f>
        <v>0</v>
      </c>
      <c r="M37" s="178">
        <f>'15.PPP Annex'!M41</f>
        <v>0</v>
      </c>
      <c r="N37" s="2002">
        <f>'15.PPP Annex'!N41</f>
        <v>0</v>
      </c>
      <c r="O37" s="178">
        <f>'15.PPP Annex'!O41</f>
        <v>0</v>
      </c>
      <c r="P37" s="103">
        <f>'15.PPP Annex'!P41</f>
        <v>0</v>
      </c>
      <c r="Q37" s="67"/>
      <c r="R37" s="679"/>
    </row>
    <row r="38" spans="1:18" x14ac:dyDescent="0.2">
      <c r="A38" s="103" t="str">
        <f>'15.PPP Annex'!A42</f>
        <v>15.4.3.5</v>
      </c>
      <c r="B38" s="103"/>
      <c r="C38" s="103" t="str">
        <f>'15.PPP Annex'!C42</f>
        <v>Vitreoretinal Surgery@ Rs. 7500</v>
      </c>
      <c r="D38" s="2002" t="str">
        <f>'15.PPP Annex'!D42</f>
        <v>NCD</v>
      </c>
      <c r="E38" s="2002" t="str">
        <f>'15.PPP Annex'!E42</f>
        <v>NPCB</v>
      </c>
      <c r="F38" s="2002">
        <f>'15.PPP Annex'!F42</f>
        <v>0</v>
      </c>
      <c r="G38" s="2002">
        <f>'15.PPP Annex'!G42</f>
        <v>0</v>
      </c>
      <c r="H38" s="2002">
        <f>'15.PPP Annex'!H42</f>
        <v>0</v>
      </c>
      <c r="I38" s="2002">
        <f>'15.PPP Annex'!I42</f>
        <v>0</v>
      </c>
      <c r="J38" s="2002">
        <f>'15.PPP Annex'!J42</f>
        <v>0</v>
      </c>
      <c r="K38" s="2002">
        <f>'15.PPP Annex'!K42</f>
        <v>0</v>
      </c>
      <c r="L38" s="2002">
        <f>'15.PPP Annex'!L42</f>
        <v>0</v>
      </c>
      <c r="M38" s="178">
        <f>'15.PPP Annex'!M42</f>
        <v>0</v>
      </c>
      <c r="N38" s="2002">
        <f>'15.PPP Annex'!N42</f>
        <v>0</v>
      </c>
      <c r="O38" s="178">
        <f>'15.PPP Annex'!O42</f>
        <v>0</v>
      </c>
      <c r="P38" s="103">
        <f>'15.PPP Annex'!P42</f>
        <v>0</v>
      </c>
      <c r="Q38" s="67"/>
      <c r="R38" s="679"/>
    </row>
    <row r="39" spans="1:18" x14ac:dyDescent="0.2">
      <c r="A39" s="103" t="str">
        <f>'15.PPP Annex'!A45</f>
        <v>15.4.3.6</v>
      </c>
      <c r="B39" s="103"/>
      <c r="C39" s="103" t="str">
        <f>'15.PPP Annex'!C45</f>
        <v>Any other (please specify)</v>
      </c>
      <c r="D39" s="2002" t="str">
        <f>'15.PPP Annex'!D45</f>
        <v>NCD</v>
      </c>
      <c r="E39" s="2002" t="str">
        <f>'15.PPP Annex'!E45</f>
        <v>NPCB</v>
      </c>
      <c r="F39" s="2002">
        <f>'15.PPP Annex'!F45</f>
        <v>0</v>
      </c>
      <c r="G39" s="2002">
        <f>'15.PPP Annex'!G45</f>
        <v>0</v>
      </c>
      <c r="H39" s="2002">
        <f>'15.PPP Annex'!H45</f>
        <v>0</v>
      </c>
      <c r="I39" s="2002">
        <f>'15.PPP Annex'!I45</f>
        <v>0</v>
      </c>
      <c r="J39" s="2002">
        <f>'15.PPP Annex'!J45</f>
        <v>0</v>
      </c>
      <c r="K39" s="2002">
        <f>'15.PPP Annex'!K45</f>
        <v>0</v>
      </c>
      <c r="L39" s="2002">
        <f>'15.PPP Annex'!L45</f>
        <v>0</v>
      </c>
      <c r="M39" s="178">
        <f>'15.PPP Annex'!M45</f>
        <v>0</v>
      </c>
      <c r="N39" s="2002">
        <f>'15.PPP Annex'!N45</f>
        <v>0</v>
      </c>
      <c r="O39" s="178">
        <f>'15.PPP Annex'!O45</f>
        <v>0</v>
      </c>
      <c r="P39" s="103">
        <f>'15.PPP Annex'!P45</f>
        <v>0</v>
      </c>
      <c r="Q39" s="67"/>
      <c r="R39" s="679"/>
    </row>
    <row r="40" spans="1:18" x14ac:dyDescent="0.2">
      <c r="A40" s="844">
        <f>'16.PM Annex'!A7</f>
        <v>16</v>
      </c>
      <c r="B40" s="844">
        <f>'16.PM Annex'!B7</f>
        <v>0</v>
      </c>
      <c r="C40" s="844" t="str">
        <f>'16.PM Annex'!C7</f>
        <v>Programme Management</v>
      </c>
      <c r="D40" s="845"/>
      <c r="E40" s="845"/>
      <c r="F40" s="845"/>
      <c r="G40" s="845"/>
      <c r="H40" s="528"/>
      <c r="I40" s="845"/>
      <c r="J40" s="528"/>
      <c r="K40" s="844"/>
      <c r="L40" s="844"/>
      <c r="M40" s="528"/>
      <c r="N40" s="2118"/>
      <c r="O40" s="2119">
        <f>SUM(O41)</f>
        <v>0</v>
      </c>
      <c r="P40" s="2120"/>
      <c r="Q40" s="2121"/>
      <c r="R40" s="2122">
        <f>SUM(R41)</f>
        <v>0</v>
      </c>
    </row>
    <row r="41" spans="1:18" ht="45" x14ac:dyDescent="0.2">
      <c r="A41" s="103" t="str">
        <f>'16-A. PM sub Annex'!B171</f>
        <v>16.1.5.3.10</v>
      </c>
      <c r="B41" s="103" t="str">
        <f>'16-A. PM sub Annex'!D171</f>
        <v>I.1.7</v>
      </c>
      <c r="C41" s="103" t="str">
        <f>'16-A. PM sub Annex'!E171</f>
        <v>Management of Health Society (State to provide details of PM Staff in the remarks column separately)</v>
      </c>
      <c r="D41" s="2002" t="str">
        <f>'16-A. PM sub Annex'!F171</f>
        <v>NCD</v>
      </c>
      <c r="E41" s="2002" t="str">
        <f>'16-A. PM sub Annex'!G171</f>
        <v>HRH&amp;HPIP/NPCB</v>
      </c>
      <c r="F41" s="2002">
        <f>'16-A. PM sub Annex'!H171</f>
        <v>0</v>
      </c>
      <c r="G41" s="2002">
        <f>'16-A. PM sub Annex'!I171</f>
        <v>0</v>
      </c>
      <c r="H41" s="2002">
        <f>'16-A. PM sub Annex'!J171</f>
        <v>0</v>
      </c>
      <c r="I41" s="2002">
        <f>'16-A. PM sub Annex'!K171</f>
        <v>0</v>
      </c>
      <c r="J41" s="2002">
        <f>'16-A. PM sub Annex'!L171</f>
        <v>0</v>
      </c>
      <c r="K41" s="2002">
        <f>'16-A. PM sub Annex'!M171</f>
        <v>0</v>
      </c>
      <c r="L41" s="2002">
        <f>'16-A. PM sub Annex'!N171</f>
        <v>0</v>
      </c>
      <c r="M41" s="178">
        <f>'16-A. PM sub Annex'!O171</f>
        <v>0</v>
      </c>
      <c r="N41" s="2002">
        <f>'16-A. PM sub Annex'!P171</f>
        <v>0</v>
      </c>
      <c r="O41" s="178">
        <f>'16-A. PM sub Annex'!Q171</f>
        <v>0</v>
      </c>
      <c r="P41" s="103">
        <f>'16-A. PM sub Annex'!R171</f>
        <v>0</v>
      </c>
      <c r="Q41" s="67"/>
      <c r="R41" s="679"/>
    </row>
    <row r="42" spans="1:18" ht="30" x14ac:dyDescent="0.2">
      <c r="A42" s="2032">
        <f>'17.IT Initiatives_SD'!A7</f>
        <v>17</v>
      </c>
      <c r="B42" s="2032"/>
      <c r="C42" s="2032" t="str">
        <f>'17.IT Initiatives_SD'!C7</f>
        <v>IT Initiatives for strengthening Service Delivery</v>
      </c>
      <c r="D42" s="724"/>
      <c r="E42" s="724"/>
      <c r="F42" s="724"/>
      <c r="G42" s="724"/>
      <c r="H42" s="528"/>
      <c r="I42" s="724"/>
      <c r="J42" s="528"/>
      <c r="K42" s="2032"/>
      <c r="L42" s="2032"/>
      <c r="M42" s="528"/>
      <c r="N42" s="2118"/>
      <c r="O42" s="2119">
        <f>O43</f>
        <v>0</v>
      </c>
      <c r="P42" s="2120"/>
      <c r="Q42" s="2121"/>
      <c r="R42" s="2122">
        <f>R43</f>
        <v>0</v>
      </c>
    </row>
    <row r="43" spans="1:18" ht="45" x14ac:dyDescent="0.2">
      <c r="A43" s="2040">
        <f>'17.IT Initiatives_SD'!A8</f>
        <v>17.100000000000001</v>
      </c>
      <c r="B43" s="2040" t="str">
        <f>'17.IT Initiatives_SD'!B8</f>
        <v>I.2.9</v>
      </c>
      <c r="C43" s="2040" t="str">
        <f>'17.IT Initiatives_SD'!C8</f>
        <v>Fixed tele- ophthalmic network unit in Got. Set up/ internet based ophthalmic consultation unit)</v>
      </c>
      <c r="D43" s="979" t="str">
        <f>'17.IT Initiatives_SD'!D8</f>
        <v>NCD</v>
      </c>
      <c r="E43" s="979" t="str">
        <f>'17.IT Initiatives_SD'!E8</f>
        <v>NPCB</v>
      </c>
      <c r="F43" s="979">
        <f>'17.IT Initiatives_SD'!F8</f>
        <v>0</v>
      </c>
      <c r="G43" s="979">
        <f>'17.IT Initiatives_SD'!G8</f>
        <v>0</v>
      </c>
      <c r="H43" s="979">
        <f>'17.IT Initiatives_SD'!H8</f>
        <v>0</v>
      </c>
      <c r="I43" s="979">
        <f>'17.IT Initiatives_SD'!I8</f>
        <v>0</v>
      </c>
      <c r="J43" s="979">
        <f>'17.IT Initiatives_SD'!J8</f>
        <v>0</v>
      </c>
      <c r="K43" s="979">
        <f>'17.IT Initiatives_SD'!K8</f>
        <v>0</v>
      </c>
      <c r="L43" s="979">
        <f>'17.IT Initiatives_SD'!L8</f>
        <v>0</v>
      </c>
      <c r="M43" s="178">
        <f>'17.IT Initiatives_SD'!M8</f>
        <v>0</v>
      </c>
      <c r="N43" s="979">
        <f>'17.IT Initiatives_SD'!N8</f>
        <v>0</v>
      </c>
      <c r="O43" s="178">
        <f>'17.IT Initiatives_SD'!O8</f>
        <v>0</v>
      </c>
      <c r="P43" s="2040">
        <f>'17.IT Initiatives_SD'!P8</f>
        <v>0</v>
      </c>
      <c r="Q43" s="67"/>
      <c r="R43" s="679"/>
    </row>
  </sheetData>
  <sheetProtection sheet="1" formatCells="0" formatColumns="0" formatRows="0" autoFilter="0"/>
  <autoFilter ref="A5:M43"/>
  <mergeCells count="13">
    <mergeCell ref="A14:A18"/>
    <mergeCell ref="A20:A21"/>
    <mergeCell ref="A23:A24"/>
    <mergeCell ref="A28:A29"/>
    <mergeCell ref="Q4:R4"/>
    <mergeCell ref="E4:E5"/>
    <mergeCell ref="F4:J4"/>
    <mergeCell ref="K4:P4"/>
    <mergeCell ref="A1:C1"/>
    <mergeCell ref="A4:A5"/>
    <mergeCell ref="B4:B5"/>
    <mergeCell ref="C4:C5"/>
    <mergeCell ref="D4:D5"/>
  </mergeCells>
  <pageMargins left="0.7" right="0.7" top="0.75" bottom="0.75" header="0.3" footer="0.3"/>
  <pageSetup orientation="portrait" horizontalDpi="4294967295" verticalDpi="4294967295"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theme="7" tint="0.79998168889431442"/>
  </sheetPr>
  <dimension ref="A1:R33"/>
  <sheetViews>
    <sheetView zoomScale="70" zoomScaleNormal="70" workbookViewId="0">
      <pane xSplit="3" ySplit="5" topLeftCell="D15" activePane="bottomRight" state="frozen"/>
      <selection activeCell="A4" sqref="A4:R11"/>
      <selection pane="topRight" activeCell="A4" sqref="A4:R11"/>
      <selection pane="bottomLeft" activeCell="A4" sqref="A4:R11"/>
      <selection pane="bottomRight" activeCell="Q31" sqref="Q31:R33"/>
    </sheetView>
  </sheetViews>
  <sheetFormatPr defaultColWidth="9.140625" defaultRowHeight="15" x14ac:dyDescent="0.2"/>
  <cols>
    <col min="1" max="1" width="10.28515625" style="881" bestFit="1" customWidth="1"/>
    <col min="2" max="2" width="15.7109375" style="881" hidden="1" customWidth="1"/>
    <col min="3" max="3" width="37.28515625" style="881" customWidth="1"/>
    <col min="4" max="4" width="4.5703125" style="835" hidden="1" customWidth="1"/>
    <col min="5" max="5" width="15.85546875" style="835" hidden="1" customWidth="1"/>
    <col min="6" max="6" width="22.140625" style="835" hidden="1" customWidth="1"/>
    <col min="7" max="7" width="16.140625" style="835" hidden="1" customWidth="1"/>
    <col min="8" max="8" width="17.140625" style="956" hidden="1" customWidth="1"/>
    <col min="9" max="9" width="19.42578125" style="835" hidden="1" customWidth="1"/>
    <col min="10" max="10" width="14.85546875" style="956" hidden="1" customWidth="1"/>
    <col min="11" max="11" width="13.7109375" style="881" hidden="1" customWidth="1"/>
    <col min="12" max="12" width="12.7109375" style="881" customWidth="1"/>
    <col min="13" max="13" width="9.140625" style="956" hidden="1" customWidth="1"/>
    <col min="14" max="14" width="9.140625" style="826"/>
    <col min="15" max="15" width="11" style="1180" customWidth="1"/>
    <col min="16" max="16" width="35.42578125" style="826" hidden="1" customWidth="1"/>
    <col min="17" max="17" width="35.5703125" style="826" customWidth="1"/>
    <col min="18" max="18" width="9.140625" style="1180"/>
    <col min="19" max="16384" width="9.140625" style="826"/>
  </cols>
  <sheetData>
    <row r="1" spans="1:18" s="940" customFormat="1" x14ac:dyDescent="0.2">
      <c r="A1" s="4079" t="s">
        <v>2104</v>
      </c>
      <c r="B1" s="4079"/>
      <c r="C1" s="4079"/>
      <c r="D1" s="2212"/>
      <c r="E1" s="2124"/>
      <c r="F1" s="98" t="s">
        <v>3983</v>
      </c>
      <c r="G1" s="1862"/>
      <c r="H1" s="1862"/>
      <c r="I1" s="1862"/>
      <c r="J1" s="1862"/>
      <c r="K1" s="2213"/>
      <c r="L1" s="2213"/>
      <c r="M1" s="1862"/>
      <c r="O1" s="2128"/>
      <c r="R1" s="2128"/>
    </row>
    <row r="2" spans="1:18" s="940" customFormat="1" x14ac:dyDescent="0.25">
      <c r="A2" s="1859" t="str">
        <f>HYPERLINK("#Index!F3", "Index Pg")</f>
        <v>Index Pg</v>
      </c>
      <c r="B2" s="1864"/>
      <c r="C2" s="831" t="str">
        <f>HYPERLINK("#'Budget Summary I'!A1:AL1", "Budget Summary I")</f>
        <v>Budget Summary I</v>
      </c>
      <c r="D2" s="2214"/>
      <c r="E2" s="1460" t="s">
        <v>4608</v>
      </c>
      <c r="F2" s="177">
        <f>R27+R21+R18+R12+R10+R6+R8+R16+R29+R25</f>
        <v>0</v>
      </c>
      <c r="G2" s="1862"/>
      <c r="H2" s="1862"/>
      <c r="I2" s="1862"/>
      <c r="J2" s="1862"/>
      <c r="L2" s="2215"/>
      <c r="M2" s="1862"/>
      <c r="O2" s="2128"/>
      <c r="R2" s="2128"/>
    </row>
    <row r="3" spans="1:18" s="940" customFormat="1" x14ac:dyDescent="0.25">
      <c r="A3" s="1863"/>
      <c r="B3" s="1864"/>
      <c r="C3" s="831" t="str">
        <f>HYPERLINK("#'Budget Summary II'!A3:B5", "Budget Summary II")</f>
        <v>Budget Summary II</v>
      </c>
      <c r="D3" s="2214"/>
      <c r="E3" s="1460" t="s">
        <v>4609</v>
      </c>
      <c r="F3" s="177">
        <f>O27+O21+O18+O12+O10+O6+O8+O16+O29+O25</f>
        <v>0</v>
      </c>
      <c r="G3" s="1862"/>
      <c r="H3" s="1862"/>
      <c r="I3" s="1862"/>
      <c r="J3" s="1862"/>
      <c r="M3" s="1862"/>
      <c r="O3" s="2128"/>
      <c r="R3" s="2128"/>
    </row>
    <row r="4" spans="1:18" s="835" customFormat="1" x14ac:dyDescent="0.2">
      <c r="A4" s="3823" t="s">
        <v>53</v>
      </c>
      <c r="B4" s="3823" t="s">
        <v>54</v>
      </c>
      <c r="C4" s="3823" t="s">
        <v>55</v>
      </c>
      <c r="D4" s="3823" t="s">
        <v>56</v>
      </c>
      <c r="E4" s="3823" t="s">
        <v>57</v>
      </c>
      <c r="F4" s="3822" t="s">
        <v>4629</v>
      </c>
      <c r="G4" s="3822"/>
      <c r="H4" s="3822"/>
      <c r="I4" s="3822"/>
      <c r="J4" s="3822"/>
      <c r="K4" s="3822" t="s">
        <v>4640</v>
      </c>
      <c r="L4" s="3822"/>
      <c r="M4" s="3822"/>
      <c r="N4" s="3822"/>
      <c r="O4" s="3822"/>
      <c r="P4" s="3822"/>
      <c r="Q4" s="3826" t="s">
        <v>4670</v>
      </c>
      <c r="R4" s="3826"/>
    </row>
    <row r="5" spans="1:18" s="835" customFormat="1" ht="60" x14ac:dyDescent="0.2">
      <c r="A5" s="3823"/>
      <c r="B5" s="3823"/>
      <c r="C5" s="3823"/>
      <c r="D5" s="3823"/>
      <c r="E5" s="3823"/>
      <c r="F5" s="896" t="s">
        <v>4630</v>
      </c>
      <c r="G5" s="896" t="s">
        <v>4638</v>
      </c>
      <c r="H5" s="896" t="s">
        <v>4631</v>
      </c>
      <c r="I5" s="896" t="s">
        <v>4639</v>
      </c>
      <c r="J5" s="2079" t="s">
        <v>2538</v>
      </c>
      <c r="K5" s="2080" t="s">
        <v>58</v>
      </c>
      <c r="L5" s="2080" t="s">
        <v>59</v>
      </c>
      <c r="M5" s="2081" t="s">
        <v>60</v>
      </c>
      <c r="N5" s="2080" t="s">
        <v>61</v>
      </c>
      <c r="O5" s="2081" t="s">
        <v>62</v>
      </c>
      <c r="P5" s="2080" t="s">
        <v>63</v>
      </c>
      <c r="Q5" s="1609" t="s">
        <v>2540</v>
      </c>
      <c r="R5" s="1686" t="s">
        <v>4671</v>
      </c>
    </row>
    <row r="6" spans="1:18" x14ac:dyDescent="0.2">
      <c r="A6" s="1465">
        <f>'2.SD Community Based Annex'!A7</f>
        <v>2</v>
      </c>
      <c r="B6" s="1465"/>
      <c r="C6" s="1465" t="str">
        <f>'2.SD Community Based Annex'!C7</f>
        <v>Service Delivery - Community Based</v>
      </c>
      <c r="D6" s="1410"/>
      <c r="E6" s="1410"/>
      <c r="F6" s="1410"/>
      <c r="G6" s="1410"/>
      <c r="H6" s="528"/>
      <c r="I6" s="1410"/>
      <c r="J6" s="528"/>
      <c r="K6" s="1465"/>
      <c r="L6" s="1465"/>
      <c r="M6" s="528"/>
      <c r="N6" s="2118"/>
      <c r="O6" s="2119">
        <f>O7</f>
        <v>0</v>
      </c>
      <c r="P6" s="2118"/>
      <c r="Q6" s="2118"/>
      <c r="R6" s="2119">
        <f>R7</f>
        <v>0</v>
      </c>
    </row>
    <row r="7" spans="1:18" ht="90" x14ac:dyDescent="0.2">
      <c r="A7" s="103" t="str">
        <f>+'2.SD Community Based Annex'!A49</f>
        <v>2.3.2.3</v>
      </c>
      <c r="B7" s="103" t="str">
        <f>+'2.SD Community Based Annex'!B49</f>
        <v>J.1.3</v>
      </c>
      <c r="C7" s="103" t="str">
        <f>+'2.SD Community Based Annex'!C49</f>
        <v>DMHP: Targeted interventions at community level Activities &amp; interventions targeted at schools, colleges, workplaces, out of school adolescents, urban slums and suicide prevention.</v>
      </c>
      <c r="D7" s="2002" t="str">
        <f>+'2.SD Community Based Annex'!D49</f>
        <v>NCD</v>
      </c>
      <c r="E7" s="2002" t="str">
        <f>+'2.SD Community Based Annex'!E49</f>
        <v>NMHP</v>
      </c>
      <c r="F7" s="2002">
        <f>+'2.SD Community Based Annex'!F49</f>
        <v>0</v>
      </c>
      <c r="G7" s="2002">
        <f>+'2.SD Community Based Annex'!G49</f>
        <v>0</v>
      </c>
      <c r="H7" s="2002">
        <f>+'2.SD Community Based Annex'!H49</f>
        <v>0</v>
      </c>
      <c r="I7" s="2002">
        <f>+'2.SD Community Based Annex'!I49</f>
        <v>0</v>
      </c>
      <c r="J7" s="2002">
        <f>+'2.SD Community Based Annex'!J49</f>
        <v>0</v>
      </c>
      <c r="K7" s="2002">
        <f>+'2.SD Community Based Annex'!K49</f>
        <v>0</v>
      </c>
      <c r="L7" s="2002">
        <f>+'2.SD Community Based Annex'!L49</f>
        <v>0</v>
      </c>
      <c r="M7" s="178">
        <f>+'2.SD Community Based Annex'!M49</f>
        <v>0</v>
      </c>
      <c r="N7" s="2002">
        <f>+'2.SD Community Based Annex'!N49</f>
        <v>0</v>
      </c>
      <c r="O7" s="178">
        <f>+'2.SD Community Based Annex'!O49</f>
        <v>0</v>
      </c>
      <c r="P7" s="103">
        <f>+'2.SD Community Based Annex'!P49</f>
        <v>0</v>
      </c>
      <c r="Q7" s="67"/>
      <c r="R7" s="679"/>
    </row>
    <row r="8" spans="1:18" x14ac:dyDescent="0.2">
      <c r="A8" s="2032">
        <f>'3.Community Intervention Annexn'!A7</f>
        <v>3</v>
      </c>
      <c r="B8" s="2032"/>
      <c r="C8" s="2032" t="str">
        <f>'3.Community Intervention Annexn'!C7</f>
        <v>Community Interventions</v>
      </c>
      <c r="D8" s="724"/>
      <c r="E8" s="2216"/>
      <c r="F8" s="2217"/>
      <c r="G8" s="2217"/>
      <c r="H8" s="2218"/>
      <c r="I8" s="2217"/>
      <c r="J8" s="2219"/>
      <c r="K8" s="2220"/>
      <c r="L8" s="2220"/>
      <c r="M8" s="2219"/>
      <c r="N8" s="2221"/>
      <c r="O8" s="2222">
        <f>O9</f>
        <v>0</v>
      </c>
      <c r="P8" s="2223"/>
      <c r="Q8" s="2233"/>
      <c r="R8" s="2234">
        <f>R9</f>
        <v>0</v>
      </c>
    </row>
    <row r="9" spans="1:18" ht="45" x14ac:dyDescent="0.2">
      <c r="A9" s="103">
        <f>+'3-A. CI Sub-Annex'!A117</f>
        <v>1</v>
      </c>
      <c r="B9" s="103" t="str">
        <f>+'3-A. CI Sub-Annex'!C117</f>
        <v>J.1.3</v>
      </c>
      <c r="C9" s="103" t="str">
        <f>+'3-A. CI Sub-Annex'!D117</f>
        <v>District counselling centre (DCC) and crisis helpline outsourced to psychology department/ NGO per year</v>
      </c>
      <c r="D9" s="2002" t="str">
        <f>+'3-A. CI Sub-Annex'!E117</f>
        <v>NCD</v>
      </c>
      <c r="E9" s="2002" t="str">
        <f>+'3-A. CI Sub-Annex'!F117</f>
        <v>NMHP</v>
      </c>
      <c r="F9" s="2002">
        <f>+'3-A. CI Sub-Annex'!G117</f>
        <v>0</v>
      </c>
      <c r="G9" s="2002">
        <f>+'3-A. CI Sub-Annex'!H117</f>
        <v>0</v>
      </c>
      <c r="H9" s="2002">
        <f>+'3-A. CI Sub-Annex'!I117</f>
        <v>0</v>
      </c>
      <c r="I9" s="2002">
        <f>+'3-A. CI Sub-Annex'!J117</f>
        <v>0</v>
      </c>
      <c r="J9" s="2002">
        <f>+'3-A. CI Sub-Annex'!K117</f>
        <v>0</v>
      </c>
      <c r="K9" s="2002">
        <f>+'3-A. CI Sub-Annex'!L117</f>
        <v>0</v>
      </c>
      <c r="L9" s="2002">
        <f>+'3-A. CI Sub-Annex'!M117</f>
        <v>0</v>
      </c>
      <c r="M9" s="178">
        <f>+'3-A. CI Sub-Annex'!N117</f>
        <v>0</v>
      </c>
      <c r="N9" s="2002">
        <f>+'3-A. CI Sub-Annex'!O117</f>
        <v>0</v>
      </c>
      <c r="O9" s="178">
        <f>+'3-A. CI Sub-Annex'!P117</f>
        <v>0</v>
      </c>
      <c r="P9" s="103">
        <f>+'3-A. CI Sub-Annex'!Q117</f>
        <v>0</v>
      </c>
      <c r="Q9" s="67"/>
      <c r="R9" s="679"/>
    </row>
    <row r="10" spans="1:18" x14ac:dyDescent="0.2">
      <c r="A10" s="1465">
        <f>'5.Infrastructure Annex'!A7</f>
        <v>5</v>
      </c>
      <c r="B10" s="1465"/>
      <c r="C10" s="1465" t="str">
        <f>'5.Infrastructure Annex'!C7</f>
        <v>Infrastructure</v>
      </c>
      <c r="D10" s="1410"/>
      <c r="E10" s="2224"/>
      <c r="F10" s="2224"/>
      <c r="G10" s="2224"/>
      <c r="H10" s="2219"/>
      <c r="I10" s="2224"/>
      <c r="J10" s="2219"/>
      <c r="K10" s="2225"/>
      <c r="L10" s="2225"/>
      <c r="M10" s="2219"/>
      <c r="N10" s="2221"/>
      <c r="O10" s="2222">
        <f>O11</f>
        <v>0</v>
      </c>
      <c r="P10" s="2223"/>
      <c r="Q10" s="2233"/>
      <c r="R10" s="2234">
        <f>R11</f>
        <v>0</v>
      </c>
    </row>
    <row r="11" spans="1:18" ht="60" x14ac:dyDescent="0.2">
      <c r="A11" s="103" t="str">
        <f>+'5.Infrastructure Annex'!A95</f>
        <v>5.3.15</v>
      </c>
      <c r="B11" s="103" t="str">
        <f>+'5.Infrastructure Annex'!B95</f>
        <v>J.1.1</v>
      </c>
      <c r="C11" s="103" t="str">
        <f>+'5.Infrastructure Annex'!C95</f>
        <v>District DMHP Centre, Counselling Centre under psychology dept.. In a selected college including crisis helpline</v>
      </c>
      <c r="D11" s="2002" t="str">
        <f>+'5.Infrastructure Annex'!D95</f>
        <v>NCD</v>
      </c>
      <c r="E11" s="2002" t="str">
        <f>+'5.Infrastructure Annex'!E95</f>
        <v>NMHP</v>
      </c>
      <c r="F11" s="2002">
        <f>+'5.Infrastructure Annex'!F95</f>
        <v>0</v>
      </c>
      <c r="G11" s="2002">
        <f>+'5.Infrastructure Annex'!G95</f>
        <v>0</v>
      </c>
      <c r="H11" s="2002">
        <f>+'5.Infrastructure Annex'!H95</f>
        <v>0</v>
      </c>
      <c r="I11" s="2002">
        <f>+'5.Infrastructure Annex'!I95</f>
        <v>0</v>
      </c>
      <c r="J11" s="2002">
        <f>+'5.Infrastructure Annex'!J95</f>
        <v>0</v>
      </c>
      <c r="K11" s="2002">
        <f>+'5.Infrastructure Annex'!K95</f>
        <v>0</v>
      </c>
      <c r="L11" s="2002">
        <f>+'5.Infrastructure Annex'!L95</f>
        <v>0</v>
      </c>
      <c r="M11" s="178">
        <f>+'5.Infrastructure Annex'!M95</f>
        <v>0</v>
      </c>
      <c r="N11" s="2002">
        <f>+'5.Infrastructure Annex'!N95</f>
        <v>0</v>
      </c>
      <c r="O11" s="178">
        <f>+'5.Infrastructure Annex'!O95</f>
        <v>0</v>
      </c>
      <c r="P11" s="103">
        <f>+'5.Infrastructure Annex'!P95</f>
        <v>0</v>
      </c>
      <c r="Q11" s="67"/>
      <c r="R11" s="679"/>
    </row>
    <row r="12" spans="1:18" x14ac:dyDescent="0.2">
      <c r="A12" s="1754">
        <f>'6.Procurement Annex'!A7</f>
        <v>6</v>
      </c>
      <c r="B12" s="1754"/>
      <c r="C12" s="1754" t="str">
        <f>'6.Procurement Annex'!C7</f>
        <v>Procurement</v>
      </c>
      <c r="D12" s="1755"/>
      <c r="E12" s="2226"/>
      <c r="F12" s="2226"/>
      <c r="G12" s="2226"/>
      <c r="H12" s="2219"/>
      <c r="I12" s="2226"/>
      <c r="J12" s="2219"/>
      <c r="K12" s="2227"/>
      <c r="L12" s="2227"/>
      <c r="M12" s="2219"/>
      <c r="N12" s="2221"/>
      <c r="O12" s="2222">
        <f>SUM(O13:O15)</f>
        <v>0</v>
      </c>
      <c r="P12" s="2223"/>
      <c r="Q12" s="2233"/>
      <c r="R12" s="2234">
        <f>SUM(R13:R15)</f>
        <v>0</v>
      </c>
    </row>
    <row r="13" spans="1:18" ht="30" x14ac:dyDescent="0.2">
      <c r="A13" s="4090" t="str">
        <f>'6.Procurement Annex'!A37</f>
        <v>6.1.5.2</v>
      </c>
      <c r="B13" s="2228" t="str">
        <f>+'6-A. Proc. Sub-Annex'!C100</f>
        <v>J.1.4</v>
      </c>
      <c r="C13" s="2228" t="str">
        <f>+'6-A. Proc. Sub-Annex'!D100</f>
        <v>Equipment</v>
      </c>
      <c r="D13" s="2229" t="str">
        <f>+'6-A. Proc. Sub-Annex'!E100</f>
        <v>NCD</v>
      </c>
      <c r="E13" s="2229" t="str">
        <f>+'6-A. Proc. Sub-Annex'!F100</f>
        <v>NMHP</v>
      </c>
      <c r="F13" s="2229">
        <f>+'6-A. Proc. Sub-Annex'!G100</f>
        <v>0</v>
      </c>
      <c r="G13" s="2229">
        <f>+'6-A. Proc. Sub-Annex'!H100</f>
        <v>0</v>
      </c>
      <c r="H13" s="2229">
        <f>+'6-A. Proc. Sub-Annex'!I100</f>
        <v>0</v>
      </c>
      <c r="I13" s="2229">
        <f>+'6-A. Proc. Sub-Annex'!J100</f>
        <v>0</v>
      </c>
      <c r="J13" s="2229">
        <f>+'6-A. Proc. Sub-Annex'!K100</f>
        <v>0</v>
      </c>
      <c r="K13" s="2229">
        <f>+'6-A. Proc. Sub-Annex'!L100</f>
        <v>0</v>
      </c>
      <c r="L13" s="2229">
        <f>+'6-A. Proc. Sub-Annex'!M100</f>
        <v>0</v>
      </c>
      <c r="M13" s="2230">
        <f>+'6-A. Proc. Sub-Annex'!N100</f>
        <v>0</v>
      </c>
      <c r="N13" s="2229">
        <f>+'6-A. Proc. Sub-Annex'!O100</f>
        <v>0</v>
      </c>
      <c r="O13" s="2230">
        <f>+'6-A. Proc. Sub-Annex'!P100</f>
        <v>0</v>
      </c>
      <c r="P13" s="2228">
        <f>+'6-A. Proc. Sub-Annex'!Q100</f>
        <v>0</v>
      </c>
      <c r="Q13" s="67"/>
      <c r="R13" s="679"/>
    </row>
    <row r="14" spans="1:18" ht="30" x14ac:dyDescent="0.2">
      <c r="A14" s="4091"/>
      <c r="B14" s="103"/>
      <c r="C14" s="103">
        <f>+'6-A. Proc. Sub-Annex'!D254</f>
        <v>0</v>
      </c>
      <c r="D14" s="2002" t="str">
        <f>+'6-A. Proc. Sub-Annex'!E254</f>
        <v>NCD</v>
      </c>
      <c r="E14" s="2002" t="str">
        <f>+'6-A. Proc. Sub-Annex'!F254</f>
        <v>NMHP</v>
      </c>
      <c r="F14" s="2002">
        <f>+'6-A. Proc. Sub-Annex'!G254</f>
        <v>0</v>
      </c>
      <c r="G14" s="2002">
        <f>+'6-A. Proc. Sub-Annex'!H254</f>
        <v>0</v>
      </c>
      <c r="H14" s="2002">
        <f>+'6-A. Proc. Sub-Annex'!I254</f>
        <v>0</v>
      </c>
      <c r="I14" s="2002">
        <f>+'6-A. Proc. Sub-Annex'!J254</f>
        <v>0</v>
      </c>
      <c r="J14" s="2002">
        <f>+'6-A. Proc. Sub-Annex'!K254</f>
        <v>0</v>
      </c>
      <c r="K14" s="2002">
        <f>+'6-A. Proc. Sub-Annex'!L254</f>
        <v>0</v>
      </c>
      <c r="L14" s="2002">
        <f>+'6-A. Proc. Sub-Annex'!M254</f>
        <v>0</v>
      </c>
      <c r="M14" s="178">
        <f>+'6-A. Proc. Sub-Annex'!N254</f>
        <v>0</v>
      </c>
      <c r="N14" s="2002">
        <f>+'6-A. Proc. Sub-Annex'!O254</f>
        <v>0</v>
      </c>
      <c r="O14" s="178">
        <f>+'6-A. Proc. Sub-Annex'!P254</f>
        <v>0</v>
      </c>
      <c r="P14" s="103">
        <f>+'6-A. Proc. Sub-Annex'!Q254</f>
        <v>0</v>
      </c>
      <c r="Q14" s="3342"/>
      <c r="R14" s="679"/>
    </row>
    <row r="15" spans="1:18" ht="30" x14ac:dyDescent="0.2">
      <c r="A15" s="103" t="str">
        <f>'6.Procurement Annex'!A80</f>
        <v>6.2.4.2</v>
      </c>
      <c r="B15" s="103"/>
      <c r="C15" s="103">
        <f>+'6-A. Proc. Sub-Annex'!D255</f>
        <v>0</v>
      </c>
      <c r="D15" s="2002" t="str">
        <f>+'6-A. Proc. Sub-Annex'!E255</f>
        <v>NCD</v>
      </c>
      <c r="E15" s="2002" t="str">
        <f>+'6-A. Proc. Sub-Annex'!F255</f>
        <v>NMHP</v>
      </c>
      <c r="F15" s="2002">
        <f>+'6-A. Proc. Sub-Annex'!G255</f>
        <v>0</v>
      </c>
      <c r="G15" s="2002">
        <f>+'6-A. Proc. Sub-Annex'!H255</f>
        <v>0</v>
      </c>
      <c r="H15" s="2002">
        <f>+'6-A. Proc. Sub-Annex'!I255</f>
        <v>0</v>
      </c>
      <c r="I15" s="2002">
        <f>+'6-A. Proc. Sub-Annex'!J255</f>
        <v>0</v>
      </c>
      <c r="J15" s="2002">
        <f>+'6-A. Proc. Sub-Annex'!K255</f>
        <v>0</v>
      </c>
      <c r="K15" s="2002">
        <f>+'6-A. Proc. Sub-Annex'!L255</f>
        <v>0</v>
      </c>
      <c r="L15" s="2002">
        <f>+'6-A. Proc. Sub-Annex'!M255</f>
        <v>0</v>
      </c>
      <c r="M15" s="178">
        <f>+'6-A. Proc. Sub-Annex'!N255</f>
        <v>0</v>
      </c>
      <c r="N15" s="2002">
        <f>+'6-A. Proc. Sub-Annex'!O255</f>
        <v>0</v>
      </c>
      <c r="O15" s="178">
        <f>+'6-A. Proc. Sub-Annex'!P255</f>
        <v>0</v>
      </c>
      <c r="P15" s="103">
        <f>+'6-A. Proc. Sub-Annex'!Q255</f>
        <v>0</v>
      </c>
      <c r="Q15" s="67"/>
      <c r="R15" s="679"/>
    </row>
    <row r="16" spans="1:18" x14ac:dyDescent="0.2">
      <c r="A16" s="1754">
        <f>'7.Referral Transport Annex'!A7</f>
        <v>7</v>
      </c>
      <c r="B16" s="1754"/>
      <c r="C16" s="1754" t="str">
        <f>'7.Referral Transport Annex'!C7</f>
        <v>Referral Transport</v>
      </c>
      <c r="D16" s="1755"/>
      <c r="E16" s="2226"/>
      <c r="F16" s="2226"/>
      <c r="G16" s="2226"/>
      <c r="H16" s="2219"/>
      <c r="I16" s="2226"/>
      <c r="J16" s="2219"/>
      <c r="K16" s="2227"/>
      <c r="L16" s="2227"/>
      <c r="M16" s="2219"/>
      <c r="N16" s="2221"/>
      <c r="O16" s="2222">
        <f>O17</f>
        <v>0</v>
      </c>
      <c r="P16" s="2223"/>
      <c r="Q16" s="2233"/>
      <c r="R16" s="2234">
        <f>R17</f>
        <v>0</v>
      </c>
    </row>
    <row r="17" spans="1:18" ht="30" x14ac:dyDescent="0.2">
      <c r="A17" s="103">
        <f>+'7.Referral Transport Annex'!A28</f>
        <v>7.7</v>
      </c>
      <c r="B17" s="103" t="str">
        <f>+'7.Referral Transport Annex'!B28</f>
        <v>J.1.6</v>
      </c>
      <c r="C17" s="103" t="str">
        <f>+'7.Referral Transport Annex'!C28</f>
        <v>Ambulatory Services</v>
      </c>
      <c r="D17" s="2002" t="str">
        <f>+'7.Referral Transport Annex'!D28</f>
        <v>NCD</v>
      </c>
      <c r="E17" s="2002" t="str">
        <f>+'7.Referral Transport Annex'!E28</f>
        <v>NMHP</v>
      </c>
      <c r="F17" s="2002">
        <f>+'7.Referral Transport Annex'!F28</f>
        <v>0</v>
      </c>
      <c r="G17" s="2002">
        <f>+'7.Referral Transport Annex'!G28</f>
        <v>0</v>
      </c>
      <c r="H17" s="2002">
        <f>+'7.Referral Transport Annex'!H28</f>
        <v>0</v>
      </c>
      <c r="I17" s="2002">
        <f>+'7.Referral Transport Annex'!I28</f>
        <v>0</v>
      </c>
      <c r="J17" s="2002">
        <f>+'7.Referral Transport Annex'!J28</f>
        <v>0</v>
      </c>
      <c r="K17" s="2002">
        <f>+'7.Referral Transport Annex'!K28</f>
        <v>0</v>
      </c>
      <c r="L17" s="2002">
        <f>+'7.Referral Transport Annex'!L28</f>
        <v>0</v>
      </c>
      <c r="M17" s="178">
        <f>+'7.Referral Transport Annex'!M28</f>
        <v>0</v>
      </c>
      <c r="N17" s="2002">
        <f>+'7.Referral Transport Annex'!N28</f>
        <v>0</v>
      </c>
      <c r="O17" s="178">
        <f>+'7.Referral Transport Annex'!O28</f>
        <v>0</v>
      </c>
      <c r="P17" s="103">
        <f>+'7.Referral Transport Annex'!P28</f>
        <v>0</v>
      </c>
      <c r="Q17" s="67"/>
      <c r="R17" s="679"/>
    </row>
    <row r="18" spans="1:18" x14ac:dyDescent="0.2">
      <c r="A18" s="1465">
        <f>'9.Training Annex'!A7</f>
        <v>9</v>
      </c>
      <c r="B18" s="1465"/>
      <c r="C18" s="1465" t="str">
        <f>'9.Training Annex'!C7</f>
        <v>Training and Capacity Building</v>
      </c>
      <c r="D18" s="1410"/>
      <c r="E18" s="2224"/>
      <c r="F18" s="2224"/>
      <c r="G18" s="2224"/>
      <c r="H18" s="2219"/>
      <c r="I18" s="2224"/>
      <c r="J18" s="2219"/>
      <c r="K18" s="2225"/>
      <c r="L18" s="2225"/>
      <c r="M18" s="2219"/>
      <c r="N18" s="2221"/>
      <c r="O18" s="2222">
        <f>SUM(O19:O20)</f>
        <v>0</v>
      </c>
      <c r="P18" s="2223"/>
      <c r="Q18" s="2233"/>
      <c r="R18" s="2234">
        <f>SUM(R19:R20)</f>
        <v>0</v>
      </c>
    </row>
    <row r="19" spans="1:18" ht="45" x14ac:dyDescent="0.2">
      <c r="A19" s="4092" t="str">
        <f>'9.Training Annex'!A56</f>
        <v>9.2.4.2</v>
      </c>
      <c r="B19" s="103" t="str">
        <f>+'9-A.Training Sub-Annex'!C252</f>
        <v>J.1.2</v>
      </c>
      <c r="C19" s="103" t="str">
        <f>+'9-A.Training Sub-Annex'!D252</f>
        <v>Training of PHC Medical Officers, Nurses, Paramedical Workers &amp; Other Health Staff working under NMHP</v>
      </c>
      <c r="D19" s="2002" t="str">
        <f>+'9-A.Training Sub-Annex'!E252</f>
        <v>NCD</v>
      </c>
      <c r="E19" s="2002" t="str">
        <f>+'9-A.Training Sub-Annex'!F252</f>
        <v>NMHP</v>
      </c>
      <c r="F19" s="2002">
        <f>+'9-A.Training Sub-Annex'!G252</f>
        <v>0</v>
      </c>
      <c r="G19" s="2002">
        <f>+'9-A.Training Sub-Annex'!H252</f>
        <v>0</v>
      </c>
      <c r="H19" s="2002">
        <f>+'9-A.Training Sub-Annex'!I252</f>
        <v>0</v>
      </c>
      <c r="I19" s="2002">
        <f>+'9-A.Training Sub-Annex'!J252</f>
        <v>0</v>
      </c>
      <c r="J19" s="2002">
        <f>+'9-A.Training Sub-Annex'!K252</f>
        <v>0</v>
      </c>
      <c r="K19" s="2002">
        <f>+'9-A.Training Sub-Annex'!L252</f>
        <v>0</v>
      </c>
      <c r="L19" s="2002">
        <f>+'9-A.Training Sub-Annex'!M252</f>
        <v>0</v>
      </c>
      <c r="M19" s="178">
        <f>+'9-A.Training Sub-Annex'!N252</f>
        <v>0</v>
      </c>
      <c r="N19" s="2002">
        <f>+'9-A.Training Sub-Annex'!O252</f>
        <v>0</v>
      </c>
      <c r="O19" s="178">
        <f>+'9-A.Training Sub-Annex'!P252</f>
        <v>0</v>
      </c>
      <c r="P19" s="103">
        <f>+'9-A.Training Sub-Annex'!Q252</f>
        <v>0</v>
      </c>
      <c r="Q19" s="67"/>
      <c r="R19" s="679"/>
    </row>
    <row r="20" spans="1:18" ht="30" x14ac:dyDescent="0.2">
      <c r="A20" s="4093"/>
      <c r="B20" s="103"/>
      <c r="C20" s="103" t="str">
        <f>+'9-A.Training Sub-Annex'!D253</f>
        <v>Any other (please specify)</v>
      </c>
      <c r="D20" s="2002" t="str">
        <f>+'9-A.Training Sub-Annex'!E253</f>
        <v>NCD</v>
      </c>
      <c r="E20" s="2002" t="str">
        <f>+'9-A.Training Sub-Annex'!F253</f>
        <v>NMHP</v>
      </c>
      <c r="F20" s="2002">
        <f>+'9-A.Training Sub-Annex'!G253</f>
        <v>0</v>
      </c>
      <c r="G20" s="2002">
        <f>+'9-A.Training Sub-Annex'!H253</f>
        <v>0</v>
      </c>
      <c r="H20" s="2002">
        <f>+'9-A.Training Sub-Annex'!I253</f>
        <v>0</v>
      </c>
      <c r="I20" s="2002">
        <f>+'9-A.Training Sub-Annex'!J253</f>
        <v>0</v>
      </c>
      <c r="J20" s="2002">
        <f>+'9-A.Training Sub-Annex'!K253</f>
        <v>0</v>
      </c>
      <c r="K20" s="2002">
        <f>+'9-A.Training Sub-Annex'!L253</f>
        <v>0</v>
      </c>
      <c r="L20" s="2002">
        <f>+'9-A.Training Sub-Annex'!M253</f>
        <v>0</v>
      </c>
      <c r="M20" s="178">
        <f>+'9-A.Training Sub-Annex'!N253</f>
        <v>0</v>
      </c>
      <c r="N20" s="2002">
        <f>+'9-A.Training Sub-Annex'!O253</f>
        <v>0</v>
      </c>
      <c r="O20" s="178">
        <f>+'9-A.Training Sub-Annex'!P253</f>
        <v>0</v>
      </c>
      <c r="P20" s="103">
        <f>+'9-A.Training Sub-Annex'!Q253</f>
        <v>0</v>
      </c>
      <c r="Q20" s="67"/>
      <c r="R20" s="679"/>
    </row>
    <row r="21" spans="1:18" x14ac:dyDescent="0.2">
      <c r="A21" s="1754">
        <f>'11.IEC-BCC Annex'!A7</f>
        <v>11</v>
      </c>
      <c r="B21" s="1754"/>
      <c r="C21" s="1754" t="str">
        <f>'11.IEC-BCC Annex'!C7</f>
        <v>IEC/BCC</v>
      </c>
      <c r="D21" s="1755"/>
      <c r="E21" s="2226"/>
      <c r="F21" s="2226"/>
      <c r="G21" s="2226"/>
      <c r="H21" s="2219"/>
      <c r="I21" s="2226"/>
      <c r="J21" s="2219"/>
      <c r="K21" s="2227"/>
      <c r="L21" s="2227"/>
      <c r="M21" s="2219"/>
      <c r="N21" s="2221"/>
      <c r="O21" s="2222">
        <f>SUM(O22:O24)</f>
        <v>0</v>
      </c>
      <c r="P21" s="2223"/>
      <c r="Q21" s="2233"/>
      <c r="R21" s="2234">
        <f>SUM(R22:R24)</f>
        <v>0</v>
      </c>
    </row>
    <row r="22" spans="1:18" ht="30" x14ac:dyDescent="0.2">
      <c r="A22" s="4080" t="str">
        <f>'11.IEC-BCC Annex'!A33</f>
        <v>11.4.2</v>
      </c>
      <c r="B22" s="103" t="str">
        <f>+'11-A. IEC Sub-Annex'!C81</f>
        <v>B.10.6.12.a</v>
      </c>
      <c r="C22" s="103" t="str">
        <f>+'11-A. IEC Sub-Annex'!D81</f>
        <v>Translation of IEC material and distribution</v>
      </c>
      <c r="D22" s="2002" t="str">
        <f>+'11-A. IEC Sub-Annex'!E81</f>
        <v>NCD</v>
      </c>
      <c r="E22" s="2002" t="str">
        <f>+'11-A. IEC Sub-Annex'!F81</f>
        <v>NMHP</v>
      </c>
      <c r="F22" s="2002">
        <f>+'11-A. IEC Sub-Annex'!G81</f>
        <v>0</v>
      </c>
      <c r="G22" s="2002">
        <f>+'11-A. IEC Sub-Annex'!H81</f>
        <v>0</v>
      </c>
      <c r="H22" s="2002">
        <f>+'11-A. IEC Sub-Annex'!I81</f>
        <v>0</v>
      </c>
      <c r="I22" s="2002">
        <f>+'11-A. IEC Sub-Annex'!J81</f>
        <v>0</v>
      </c>
      <c r="J22" s="2002">
        <f>+'11-A. IEC Sub-Annex'!K81</f>
        <v>0</v>
      </c>
      <c r="K22" s="2002">
        <f>+'11-A. IEC Sub-Annex'!L81</f>
        <v>0</v>
      </c>
      <c r="L22" s="2002">
        <f>+'11-A. IEC Sub-Annex'!M81</f>
        <v>0</v>
      </c>
      <c r="M22" s="178">
        <f>+'11-A. IEC Sub-Annex'!N81</f>
        <v>0</v>
      </c>
      <c r="N22" s="2002">
        <f>+'11-A. IEC Sub-Annex'!O81</f>
        <v>0</v>
      </c>
      <c r="O22" s="178">
        <f>+'11-A. IEC Sub-Annex'!P81</f>
        <v>0</v>
      </c>
      <c r="P22" s="103">
        <f>+'11-A. IEC Sub-Annex'!Q81</f>
        <v>0</v>
      </c>
      <c r="Q22" s="67"/>
      <c r="R22" s="679"/>
    </row>
    <row r="23" spans="1:18" ht="45" x14ac:dyDescent="0.2">
      <c r="A23" s="4081"/>
      <c r="B23" s="103" t="str">
        <f>+'11-A. IEC Sub-Annex'!C82</f>
        <v>B.10.6.12.b</v>
      </c>
      <c r="C23" s="103" t="str">
        <f>+'11-A. IEC Sub-Annex'!D82</f>
        <v>Awareness generation activities in the community, schools, workplaces with community involvement</v>
      </c>
      <c r="D23" s="2002" t="str">
        <f>+'11-A. IEC Sub-Annex'!E82</f>
        <v>NCD</v>
      </c>
      <c r="E23" s="2002" t="str">
        <f>+'11-A. IEC Sub-Annex'!F82</f>
        <v>NMHP</v>
      </c>
      <c r="F23" s="2002">
        <f>+'11-A. IEC Sub-Annex'!G82</f>
        <v>0</v>
      </c>
      <c r="G23" s="2002">
        <f>+'11-A. IEC Sub-Annex'!H82</f>
        <v>0</v>
      </c>
      <c r="H23" s="2002">
        <f>+'11-A. IEC Sub-Annex'!I82</f>
        <v>0</v>
      </c>
      <c r="I23" s="2002">
        <f>+'11-A. IEC Sub-Annex'!J82</f>
        <v>0</v>
      </c>
      <c r="J23" s="2002">
        <f>+'11-A. IEC Sub-Annex'!K82</f>
        <v>0</v>
      </c>
      <c r="K23" s="2002">
        <f>+'11-A. IEC Sub-Annex'!L82</f>
        <v>0</v>
      </c>
      <c r="L23" s="2002">
        <f>+'11-A. IEC Sub-Annex'!M82</f>
        <v>0</v>
      </c>
      <c r="M23" s="178">
        <f>+'11-A. IEC Sub-Annex'!N82</f>
        <v>0</v>
      </c>
      <c r="N23" s="2002">
        <f>+'11-A. IEC Sub-Annex'!O82</f>
        <v>0</v>
      </c>
      <c r="O23" s="178">
        <f>+'11-A. IEC Sub-Annex'!P82</f>
        <v>0</v>
      </c>
      <c r="P23" s="103">
        <f>+'11-A. IEC Sub-Annex'!Q82</f>
        <v>0</v>
      </c>
      <c r="Q23" s="67"/>
      <c r="R23" s="679"/>
    </row>
    <row r="24" spans="1:18" ht="30" x14ac:dyDescent="0.2">
      <c r="A24" s="4082"/>
      <c r="B24" s="103"/>
      <c r="C24" s="103" t="str">
        <f>+'11-A. IEC Sub-Annex'!D83</f>
        <v>Any other IEC/BCC activities (please specify)</v>
      </c>
      <c r="D24" s="2002" t="str">
        <f>+'11-A. IEC Sub-Annex'!E83</f>
        <v>NCD</v>
      </c>
      <c r="E24" s="2002" t="str">
        <f>+'11-A. IEC Sub-Annex'!F83</f>
        <v>NMHP</v>
      </c>
      <c r="F24" s="2002">
        <f>+'11-A. IEC Sub-Annex'!G83</f>
        <v>0</v>
      </c>
      <c r="G24" s="2002">
        <f>+'11-A. IEC Sub-Annex'!H83</f>
        <v>0</v>
      </c>
      <c r="H24" s="2002">
        <f>+'11-A. IEC Sub-Annex'!I83</f>
        <v>0</v>
      </c>
      <c r="I24" s="2002">
        <f>+'11-A. IEC Sub-Annex'!J83</f>
        <v>0</v>
      </c>
      <c r="J24" s="2002">
        <f>+'11-A. IEC Sub-Annex'!K83</f>
        <v>0</v>
      </c>
      <c r="K24" s="2002">
        <f>+'11-A. IEC Sub-Annex'!L83</f>
        <v>0</v>
      </c>
      <c r="L24" s="2002">
        <f>+'11-A. IEC Sub-Annex'!M83</f>
        <v>0</v>
      </c>
      <c r="M24" s="178">
        <f>+'11-A. IEC Sub-Annex'!N83</f>
        <v>0</v>
      </c>
      <c r="N24" s="2002">
        <f>+'11-A. IEC Sub-Annex'!O83</f>
        <v>0</v>
      </c>
      <c r="O24" s="178">
        <f>+'11-A. IEC Sub-Annex'!P83</f>
        <v>0</v>
      </c>
      <c r="P24" s="103">
        <f>+'11-A. IEC Sub-Annex'!Q83</f>
        <v>0</v>
      </c>
      <c r="Q24" s="67"/>
      <c r="R24" s="679"/>
    </row>
    <row r="25" spans="1:18" x14ac:dyDescent="0.2">
      <c r="A25" s="1754">
        <f>'12.Printing Annex'!A7</f>
        <v>12</v>
      </c>
      <c r="B25" s="1754"/>
      <c r="C25" s="1754" t="str">
        <f>'12.Printing Annex'!C7</f>
        <v>Printing</v>
      </c>
      <c r="D25" s="1755"/>
      <c r="E25" s="2226"/>
      <c r="F25" s="2226"/>
      <c r="G25" s="2226"/>
      <c r="H25" s="2219"/>
      <c r="I25" s="2226"/>
      <c r="J25" s="2219"/>
      <c r="K25" s="2227"/>
      <c r="L25" s="2227"/>
      <c r="M25" s="2219"/>
      <c r="N25" s="2221"/>
      <c r="O25" s="2222">
        <f>O26</f>
        <v>0</v>
      </c>
      <c r="P25" s="2223"/>
      <c r="Q25" s="2233"/>
      <c r="R25" s="2234">
        <f>R26</f>
        <v>0</v>
      </c>
    </row>
    <row r="26" spans="1:18" ht="30" x14ac:dyDescent="0.2">
      <c r="A26" s="103" t="str">
        <f>'12.Printing Annex'!A35</f>
        <v>12.4.2</v>
      </c>
      <c r="B26" s="103">
        <f>'12-A. Print Sub-Annex'!C93</f>
        <v>0</v>
      </c>
      <c r="C26" s="103" t="str">
        <f>'12-A. Print Sub-Annex'!D93</f>
        <v>Printing activities under NMHP</v>
      </c>
      <c r="D26" s="2002" t="str">
        <f>'12-A. Print Sub-Annex'!E93</f>
        <v>NCD</v>
      </c>
      <c r="E26" s="2002" t="str">
        <f>'12-A. Print Sub-Annex'!F93</f>
        <v>NMHP</v>
      </c>
      <c r="F26" s="2002">
        <f>'12-A. Print Sub-Annex'!G93</f>
        <v>0</v>
      </c>
      <c r="G26" s="2002">
        <f>'12-A. Print Sub-Annex'!H93</f>
        <v>0</v>
      </c>
      <c r="H26" s="2002">
        <f>'12-A. Print Sub-Annex'!I93</f>
        <v>0</v>
      </c>
      <c r="I26" s="2002">
        <f>'12-A. Print Sub-Annex'!J93</f>
        <v>0</v>
      </c>
      <c r="J26" s="2002">
        <f>'12-A. Print Sub-Annex'!K93</f>
        <v>0</v>
      </c>
      <c r="K26" s="2002">
        <f>'12-A. Print Sub-Annex'!L93</f>
        <v>0</v>
      </c>
      <c r="L26" s="2002">
        <f>'12-A. Print Sub-Annex'!M93</f>
        <v>0</v>
      </c>
      <c r="M26" s="178">
        <f>'12-A. Print Sub-Annex'!N93</f>
        <v>0</v>
      </c>
      <c r="N26" s="2002">
        <f>'12-A. Print Sub-Annex'!O93</f>
        <v>0</v>
      </c>
      <c r="O26" s="178">
        <f>'12-A. Print Sub-Annex'!P93</f>
        <v>0</v>
      </c>
      <c r="P26" s="103">
        <f>'12-A. Print Sub-Annex'!Q93</f>
        <v>0</v>
      </c>
      <c r="Q26" s="67"/>
      <c r="R26" s="679"/>
    </row>
    <row r="27" spans="1:18" x14ac:dyDescent="0.2">
      <c r="A27" s="1754">
        <f>'15.PPP Annex'!A7</f>
        <v>15</v>
      </c>
      <c r="B27" s="1754"/>
      <c r="C27" s="1754" t="str">
        <f>'15.PPP Annex'!C7</f>
        <v>PPP</v>
      </c>
      <c r="D27" s="1755"/>
      <c r="E27" s="2226"/>
      <c r="F27" s="2226"/>
      <c r="G27" s="2226"/>
      <c r="H27" s="2219"/>
      <c r="I27" s="2226"/>
      <c r="J27" s="2219"/>
      <c r="K27" s="2227"/>
      <c r="L27" s="2227"/>
      <c r="M27" s="2219"/>
      <c r="N27" s="2221"/>
      <c r="O27" s="2222">
        <f>O28</f>
        <v>0</v>
      </c>
      <c r="P27" s="2223"/>
      <c r="Q27" s="2233"/>
      <c r="R27" s="2234">
        <f>R28</f>
        <v>0</v>
      </c>
    </row>
    <row r="28" spans="1:18" ht="30" x14ac:dyDescent="0.2">
      <c r="A28" s="103" t="str">
        <f>+'15.PPP Annex'!A46</f>
        <v>15.4.4</v>
      </c>
      <c r="B28" s="103"/>
      <c r="C28" s="103" t="str">
        <f>+'15.PPP Annex'!C46</f>
        <v>NGO based activities under NMHP</v>
      </c>
      <c r="D28" s="2002" t="str">
        <f>+'15.PPP Annex'!D46</f>
        <v>NCD</v>
      </c>
      <c r="E28" s="2002" t="str">
        <f>+'15.PPP Annex'!E46</f>
        <v>NMHP</v>
      </c>
      <c r="F28" s="2002">
        <f>+'15.PPP Annex'!F46</f>
        <v>0</v>
      </c>
      <c r="G28" s="2002">
        <f>+'15.PPP Annex'!G46</f>
        <v>0</v>
      </c>
      <c r="H28" s="2002">
        <f>+'15.PPP Annex'!H46</f>
        <v>0</v>
      </c>
      <c r="I28" s="2002">
        <f>+'15.PPP Annex'!I46</f>
        <v>0</v>
      </c>
      <c r="J28" s="2002">
        <f>+'15.PPP Annex'!J46</f>
        <v>0</v>
      </c>
      <c r="K28" s="2002">
        <f>+'15.PPP Annex'!K46</f>
        <v>0</v>
      </c>
      <c r="L28" s="2002">
        <f>+'15.PPP Annex'!L46</f>
        <v>0</v>
      </c>
      <c r="M28" s="178">
        <f>+'15.PPP Annex'!M46</f>
        <v>0</v>
      </c>
      <c r="N28" s="2002">
        <f>+'15.PPP Annex'!N46</f>
        <v>0</v>
      </c>
      <c r="O28" s="178">
        <f>+'15.PPP Annex'!O46</f>
        <v>0</v>
      </c>
      <c r="P28" s="103">
        <f>+'15.PPP Annex'!P46</f>
        <v>0</v>
      </c>
      <c r="Q28" s="67"/>
      <c r="R28" s="679"/>
    </row>
    <row r="29" spans="1:18" x14ac:dyDescent="0.2">
      <c r="A29" s="844">
        <f>'16.PM Annex'!A7</f>
        <v>16</v>
      </c>
      <c r="B29" s="844"/>
      <c r="C29" s="844" t="str">
        <f>'16.PM Annex'!C7</f>
        <v>Programme Management</v>
      </c>
      <c r="D29" s="845"/>
      <c r="E29" s="2231"/>
      <c r="F29" s="2231"/>
      <c r="G29" s="2231"/>
      <c r="H29" s="2219"/>
      <c r="I29" s="2231"/>
      <c r="J29" s="2219"/>
      <c r="K29" s="2232"/>
      <c r="L29" s="2232"/>
      <c r="M29" s="2219"/>
      <c r="N29" s="2221"/>
      <c r="O29" s="2222">
        <f>SUM(O30:O33)</f>
        <v>0</v>
      </c>
      <c r="P29" s="2223"/>
      <c r="Q29" s="2233"/>
      <c r="R29" s="2234">
        <f>SUM(R30:R33)</f>
        <v>0</v>
      </c>
    </row>
    <row r="30" spans="1:18" ht="30" x14ac:dyDescent="0.2">
      <c r="A30" s="103" t="str">
        <f>'16-A. PM sub Annex'!B18</f>
        <v>16.1.1.8</v>
      </c>
      <c r="B30" s="103" t="str">
        <f>'16-A. PM sub Annex'!D18</f>
        <v>J.1.1</v>
      </c>
      <c r="C30" s="103" t="str">
        <f>'16-A. PM sub Annex'!E18</f>
        <v>Preparatory phase : Development of district plan</v>
      </c>
      <c r="D30" s="2002" t="str">
        <f>'16-A. PM sub Annex'!F18</f>
        <v>NCD</v>
      </c>
      <c r="E30" s="2002" t="str">
        <f>'16-A. PM sub Annex'!G18</f>
        <v>HRH&amp;HPIP/NMHP</v>
      </c>
      <c r="F30" s="2002">
        <f>'16-A. PM sub Annex'!H18</f>
        <v>0</v>
      </c>
      <c r="G30" s="2002">
        <f>'16-A. PM sub Annex'!I18</f>
        <v>0</v>
      </c>
      <c r="H30" s="2002">
        <f>'16-A. PM sub Annex'!J18</f>
        <v>0</v>
      </c>
      <c r="I30" s="2002">
        <f>'16-A. PM sub Annex'!K18</f>
        <v>0</v>
      </c>
      <c r="J30" s="2002">
        <f>'16-A. PM sub Annex'!L18</f>
        <v>0</v>
      </c>
      <c r="K30" s="2002">
        <f>'16-A. PM sub Annex'!M18</f>
        <v>0</v>
      </c>
      <c r="L30" s="2002">
        <f>'16-A. PM sub Annex'!N18</f>
        <v>0</v>
      </c>
      <c r="M30" s="178">
        <f>'16-A. PM sub Annex'!O18</f>
        <v>0</v>
      </c>
      <c r="N30" s="2002">
        <f>'16-A. PM sub Annex'!P18</f>
        <v>0</v>
      </c>
      <c r="O30" s="178">
        <f>'16-A. PM sub Annex'!Q18</f>
        <v>0</v>
      </c>
      <c r="P30" s="103">
        <f>'16-A. PM sub Annex'!R18</f>
        <v>0</v>
      </c>
      <c r="Q30" s="67"/>
      <c r="R30" s="679"/>
    </row>
    <row r="31" spans="1:18" ht="30" x14ac:dyDescent="0.2">
      <c r="A31" s="103" t="str">
        <f>'16-A. PM sub Annex'!B107</f>
        <v>16.1.3.3.13</v>
      </c>
      <c r="B31" s="103" t="str">
        <f>'16-A. PM sub Annex'!D107</f>
        <v>J.1.7</v>
      </c>
      <c r="C31" s="103" t="str">
        <f>'16-A. PM sub Annex'!E107</f>
        <v>Miscellaneous/ Travel</v>
      </c>
      <c r="D31" s="2002" t="str">
        <f>'16-A. PM sub Annex'!F107</f>
        <v>NCD</v>
      </c>
      <c r="E31" s="2002" t="str">
        <f>'16-A. PM sub Annex'!G107</f>
        <v>HRH&amp;HPIP/NMHP</v>
      </c>
      <c r="F31" s="2002">
        <f>'16-A. PM sub Annex'!H107</f>
        <v>0</v>
      </c>
      <c r="G31" s="2002">
        <f>'16-A. PM sub Annex'!I107</f>
        <v>0</v>
      </c>
      <c r="H31" s="2002">
        <f>'16-A. PM sub Annex'!J107</f>
        <v>0</v>
      </c>
      <c r="I31" s="2002">
        <f>'16-A. PM sub Annex'!K107</f>
        <v>0</v>
      </c>
      <c r="J31" s="2002">
        <f>'16-A. PM sub Annex'!L107</f>
        <v>0</v>
      </c>
      <c r="K31" s="2002">
        <f>'16-A. PM sub Annex'!M107</f>
        <v>0</v>
      </c>
      <c r="L31" s="2002">
        <f>'16-A. PM sub Annex'!N107</f>
        <v>0</v>
      </c>
      <c r="M31" s="178">
        <f>'16-A. PM sub Annex'!O107</f>
        <v>0</v>
      </c>
      <c r="N31" s="2002">
        <f>'16-A. PM sub Annex'!P107</f>
        <v>0</v>
      </c>
      <c r="O31" s="178">
        <f>'16-A. PM sub Annex'!Q107</f>
        <v>0</v>
      </c>
      <c r="P31" s="103">
        <f>'16-A. PM sub Annex'!R107</f>
        <v>0</v>
      </c>
      <c r="Q31" s="3342"/>
      <c r="R31" s="679"/>
    </row>
    <row r="32" spans="1:18" ht="45" x14ac:dyDescent="0.2">
      <c r="A32" s="103" t="str">
        <f>'16-A. PM sub Annex'!B142</f>
        <v>16.1.4.2.6</v>
      </c>
      <c r="B32" s="103" t="str">
        <f>'16-A. PM sub Annex'!D142</f>
        <v>J.1.5</v>
      </c>
      <c r="C32" s="103" t="str">
        <f>'16-A. PM sub Annex'!E142</f>
        <v>Operational expenses of the district centre : rent, telephone expenses, website etc.</v>
      </c>
      <c r="D32" s="2002" t="str">
        <f>'16-A. PM sub Annex'!F142</f>
        <v>NCD</v>
      </c>
      <c r="E32" s="2002" t="str">
        <f>'16-A. PM sub Annex'!G142</f>
        <v>HRH&amp;HPIP/NMHP</v>
      </c>
      <c r="F32" s="2002">
        <f>'16-A. PM sub Annex'!H142</f>
        <v>0</v>
      </c>
      <c r="G32" s="2002">
        <f>'16-A. PM sub Annex'!I142</f>
        <v>0</v>
      </c>
      <c r="H32" s="2002">
        <f>'16-A. PM sub Annex'!J142</f>
        <v>0</v>
      </c>
      <c r="I32" s="2002">
        <f>'16-A. PM sub Annex'!K142</f>
        <v>0</v>
      </c>
      <c r="J32" s="2002">
        <f>'16-A. PM sub Annex'!L142</f>
        <v>0</v>
      </c>
      <c r="K32" s="2002">
        <f>'16-A. PM sub Annex'!M142</f>
        <v>0</v>
      </c>
      <c r="L32" s="2002">
        <f>'16-A. PM sub Annex'!N142</f>
        <v>0</v>
      </c>
      <c r="M32" s="178">
        <f>'16-A. PM sub Annex'!O142</f>
        <v>0</v>
      </c>
      <c r="N32" s="2002">
        <f>'16-A. PM sub Annex'!P142</f>
        <v>0</v>
      </c>
      <c r="O32" s="178">
        <f>'16-A. PM sub Annex'!Q142</f>
        <v>0</v>
      </c>
      <c r="P32" s="103">
        <f>'16-A. PM sub Annex'!R142</f>
        <v>0</v>
      </c>
      <c r="Q32" s="67"/>
      <c r="R32" s="679"/>
    </row>
    <row r="33" spans="1:18" ht="30" x14ac:dyDescent="0.2">
      <c r="A33" s="103" t="str">
        <f>'16-A. PM sub Annex'!B143</f>
        <v>16.1.4.2.7</v>
      </c>
      <c r="B33" s="103" t="str">
        <f>'16-A. PM sub Annex'!D143</f>
        <v>J.1.7</v>
      </c>
      <c r="C33" s="103" t="str">
        <f>'16-A. PM sub Annex'!E143</f>
        <v>Contingency under NMHP</v>
      </c>
      <c r="D33" s="2002" t="str">
        <f>'16-A. PM sub Annex'!F143</f>
        <v>NCD</v>
      </c>
      <c r="E33" s="2002" t="str">
        <f>'16-A. PM sub Annex'!G143</f>
        <v>HRH&amp;HPIP/NMHP</v>
      </c>
      <c r="F33" s="2002">
        <f>'16-A. PM sub Annex'!H143</f>
        <v>0</v>
      </c>
      <c r="G33" s="2002">
        <f>'16-A. PM sub Annex'!I143</f>
        <v>0</v>
      </c>
      <c r="H33" s="2002">
        <f>'16-A. PM sub Annex'!J143</f>
        <v>0</v>
      </c>
      <c r="I33" s="2002">
        <f>'16-A. PM sub Annex'!K143</f>
        <v>0</v>
      </c>
      <c r="J33" s="2002">
        <f>'16-A. PM sub Annex'!L143</f>
        <v>0</v>
      </c>
      <c r="K33" s="2002">
        <f>'16-A. PM sub Annex'!M143</f>
        <v>0</v>
      </c>
      <c r="L33" s="2002">
        <f>'16-A. PM sub Annex'!N143</f>
        <v>0</v>
      </c>
      <c r="M33" s="178">
        <f>'16-A. PM sub Annex'!O143</f>
        <v>0</v>
      </c>
      <c r="N33" s="2002">
        <f>'16-A. PM sub Annex'!P143</f>
        <v>0</v>
      </c>
      <c r="O33" s="178">
        <f>'16-A. PM sub Annex'!Q143</f>
        <v>0</v>
      </c>
      <c r="P33" s="103">
        <f>'16-A. PM sub Annex'!R143</f>
        <v>0</v>
      </c>
      <c r="Q33" s="67"/>
      <c r="R33" s="679"/>
    </row>
  </sheetData>
  <sheetProtection sheet="1" formatCells="0" formatColumns="0" formatRows="0" autoFilter="0"/>
  <autoFilter ref="A5:M33"/>
  <mergeCells count="12">
    <mergeCell ref="A13:A14"/>
    <mergeCell ref="A19:A20"/>
    <mergeCell ref="A22:A24"/>
    <mergeCell ref="Q4:R4"/>
    <mergeCell ref="E4:E5"/>
    <mergeCell ref="F4:J4"/>
    <mergeCell ref="K4:P4"/>
    <mergeCell ref="A1:C1"/>
    <mergeCell ref="A4:A5"/>
    <mergeCell ref="B4:B5"/>
    <mergeCell ref="C4:C5"/>
    <mergeCell ref="D4:D5"/>
  </mergeCell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7" tint="0.79998168889431442"/>
  </sheetPr>
  <dimension ref="A1:R34"/>
  <sheetViews>
    <sheetView zoomScale="70" zoomScaleNormal="70" workbookViewId="0">
      <pane xSplit="3" ySplit="5" topLeftCell="L15" activePane="bottomRight" state="frozen"/>
      <selection activeCell="A4" sqref="A4:R11"/>
      <selection pane="topRight" activeCell="A4" sqref="A4:R11"/>
      <selection pane="bottomLeft" activeCell="A4" sqref="A4:R11"/>
      <selection pane="bottomRight" activeCell="Q28" sqref="Q28:R28"/>
    </sheetView>
  </sheetViews>
  <sheetFormatPr defaultColWidth="9.140625" defaultRowHeight="15" x14ac:dyDescent="0.2"/>
  <cols>
    <col min="1" max="1" width="11.42578125" style="881" customWidth="1"/>
    <col min="2" max="2" width="15.7109375" style="881" hidden="1" customWidth="1"/>
    <col min="3" max="3" width="52.85546875" style="881" bestFit="1" customWidth="1"/>
    <col min="4" max="4" width="4.5703125" style="835" hidden="1" customWidth="1"/>
    <col min="5" max="5" width="16.140625" style="835" hidden="1" customWidth="1"/>
    <col min="6" max="6" width="17.42578125" style="835" hidden="1" customWidth="1"/>
    <col min="7" max="7" width="16.140625" style="835" hidden="1" customWidth="1"/>
    <col min="8" max="8" width="17.140625" style="956" hidden="1" customWidth="1"/>
    <col min="9" max="9" width="16.7109375" style="835" hidden="1" customWidth="1"/>
    <col min="10" max="10" width="17.140625" style="956" hidden="1" customWidth="1"/>
    <col min="11" max="11" width="13.85546875" style="835" hidden="1" customWidth="1"/>
    <col min="12" max="12" width="13.140625" style="835" customWidth="1"/>
    <col min="13" max="13" width="19.85546875" style="956" hidden="1" customWidth="1"/>
    <col min="14" max="14" width="9.140625" style="835"/>
    <col min="15" max="15" width="10.42578125" style="956" customWidth="1"/>
    <col min="16" max="16" width="40.42578125" style="881" hidden="1" customWidth="1"/>
    <col min="17" max="17" width="32.5703125" style="881" customWidth="1"/>
    <col min="18" max="18" width="9.140625" style="1180"/>
    <col min="19" max="16384" width="9.140625" style="826"/>
  </cols>
  <sheetData>
    <row r="1" spans="1:18" s="940" customFormat="1" ht="30" x14ac:dyDescent="0.2">
      <c r="A1" s="4087" t="s">
        <v>2134</v>
      </c>
      <c r="B1" s="4087"/>
      <c r="C1" s="4087"/>
      <c r="D1" s="2123"/>
      <c r="E1" s="2124"/>
      <c r="F1" s="98" t="s">
        <v>3984</v>
      </c>
      <c r="G1" s="2074"/>
      <c r="H1" s="2074"/>
      <c r="I1" s="2074"/>
      <c r="J1" s="2074"/>
      <c r="K1" s="2072"/>
      <c r="L1" s="2072"/>
      <c r="M1" s="2074"/>
      <c r="N1" s="2125"/>
      <c r="O1" s="2126"/>
      <c r="P1" s="2127"/>
      <c r="Q1" s="2127"/>
      <c r="R1" s="2128"/>
    </row>
    <row r="2" spans="1:18" s="2134" customFormat="1" x14ac:dyDescent="0.25">
      <c r="A2" s="1859" t="str">
        <f>HYPERLINK("#Index!F3", "Index Pg")</f>
        <v>Index Pg</v>
      </c>
      <c r="B2" s="1864"/>
      <c r="C2" s="831" t="str">
        <f>HYPERLINK("#'Budget Summary I'!A1:AL1", "Budget Summary I")</f>
        <v>Budget Summary I</v>
      </c>
      <c r="D2" s="2129"/>
      <c r="E2" s="1457" t="s">
        <v>4608</v>
      </c>
      <c r="F2" s="177">
        <f>R6+R8+R10+R20+R25+R27+R30+R32</f>
        <v>0</v>
      </c>
      <c r="G2" s="1103"/>
      <c r="H2" s="1103"/>
      <c r="I2" s="1103"/>
      <c r="J2" s="1103"/>
      <c r="K2" s="1104"/>
      <c r="L2" s="1104"/>
      <c r="M2" s="1103"/>
      <c r="N2" s="2130"/>
      <c r="O2" s="2131"/>
      <c r="P2" s="2132"/>
      <c r="Q2" s="2132"/>
      <c r="R2" s="2133"/>
    </row>
    <row r="3" spans="1:18" s="2143" customFormat="1" x14ac:dyDescent="0.25">
      <c r="A3" s="1863"/>
      <c r="B3" s="1864"/>
      <c r="C3" s="1937" t="str">
        <f>HYPERLINK("#'Budget Summary II'!A3:B5", "Budget Summary II")</f>
        <v>Budget Summary II</v>
      </c>
      <c r="D3" s="2135"/>
      <c r="E3" s="2136" t="s">
        <v>4609</v>
      </c>
      <c r="F3" s="725">
        <f>O6+O8+O10+O20+O25+O27+O30+O32</f>
        <v>0</v>
      </c>
      <c r="G3" s="1103"/>
      <c r="H3" s="1103"/>
      <c r="I3" s="1103"/>
      <c r="J3" s="1103"/>
      <c r="K3" s="2137"/>
      <c r="L3" s="2138"/>
      <c r="M3" s="2139"/>
      <c r="N3" s="2138"/>
      <c r="O3" s="2140"/>
      <c r="P3" s="2141"/>
      <c r="Q3" s="2141"/>
      <c r="R3" s="2142"/>
    </row>
    <row r="4" spans="1:18" s="835" customFormat="1" ht="14.45" customHeigh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s="835" customFormat="1" ht="45"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897" t="s">
        <v>63</v>
      </c>
      <c r="Q5" s="899" t="s">
        <v>2540</v>
      </c>
      <c r="R5" s="900" t="s">
        <v>4671</v>
      </c>
    </row>
    <row r="6" spans="1:18" x14ac:dyDescent="0.2">
      <c r="A6" s="2032">
        <f>'2.SD Community Based Annex'!A7</f>
        <v>2</v>
      </c>
      <c r="B6" s="2032"/>
      <c r="C6" s="2032" t="str">
        <f>'2.SD Community Based Annex'!C7</f>
        <v>Service Delivery - Community Based</v>
      </c>
      <c r="D6" s="724"/>
      <c r="E6" s="724"/>
      <c r="F6" s="724"/>
      <c r="G6" s="724"/>
      <c r="H6" s="528"/>
      <c r="I6" s="724"/>
      <c r="J6" s="528"/>
      <c r="K6" s="724"/>
      <c r="L6" s="724"/>
      <c r="M6" s="528"/>
      <c r="N6" s="2098"/>
      <c r="O6" s="2020">
        <f>O7</f>
        <v>0</v>
      </c>
      <c r="P6" s="2120"/>
      <c r="Q6" s="2120"/>
      <c r="R6" s="2020">
        <f>R7</f>
        <v>0</v>
      </c>
    </row>
    <row r="7" spans="1:18" ht="30" x14ac:dyDescent="0.2">
      <c r="A7" s="2144" t="str">
        <f>'2.SD Community Based Annex'!A52</f>
        <v>2.3.2.6</v>
      </c>
      <c r="B7" s="2144"/>
      <c r="C7" s="1998" t="str">
        <f>'2.SD Community Based Annex'!C52</f>
        <v>Home based care for bed-ridden elderly under NPHCE</v>
      </c>
      <c r="D7" s="984" t="str">
        <f>'2.SD Community Based Annex'!D52</f>
        <v>NCD</v>
      </c>
      <c r="E7" s="984" t="str">
        <f>'2.SD Community Based Annex'!E52</f>
        <v>NPHCE</v>
      </c>
      <c r="F7" s="984">
        <f>'2.SD Community Based Annex'!F52</f>
        <v>0</v>
      </c>
      <c r="G7" s="984">
        <f>'2.SD Community Based Annex'!G52</f>
        <v>0</v>
      </c>
      <c r="H7" s="984">
        <f>'2.SD Community Based Annex'!H52</f>
        <v>0</v>
      </c>
      <c r="I7" s="984">
        <f>'2.SD Community Based Annex'!I52</f>
        <v>0</v>
      </c>
      <c r="J7" s="984">
        <f>'2.SD Community Based Annex'!J52</f>
        <v>0</v>
      </c>
      <c r="K7" s="984">
        <f>'2.SD Community Based Annex'!K52</f>
        <v>0</v>
      </c>
      <c r="L7" s="984">
        <f>'2.SD Community Based Annex'!L52</f>
        <v>0</v>
      </c>
      <c r="M7" s="939">
        <f>'2.SD Community Based Annex'!M52</f>
        <v>0</v>
      </c>
      <c r="N7" s="984">
        <f>'2.SD Community Based Annex'!N52</f>
        <v>0</v>
      </c>
      <c r="O7" s="939">
        <f>'2.SD Community Based Annex'!O52</f>
        <v>0</v>
      </c>
      <c r="P7" s="1998">
        <f>'2.SD Community Based Annex'!P52</f>
        <v>0</v>
      </c>
      <c r="Q7" s="67"/>
      <c r="R7" s="679"/>
    </row>
    <row r="8" spans="1:18" x14ac:dyDescent="0.2">
      <c r="A8" s="2032">
        <f>'5.Infrastructure Annex'!A7</f>
        <v>5</v>
      </c>
      <c r="B8" s="2032"/>
      <c r="C8" s="2032" t="str">
        <f>'5.Infrastructure Annex'!C7</f>
        <v>Infrastructure</v>
      </c>
      <c r="D8" s="724"/>
      <c r="E8" s="724"/>
      <c r="F8" s="724"/>
      <c r="G8" s="724"/>
      <c r="H8" s="528"/>
      <c r="I8" s="724"/>
      <c r="J8" s="528"/>
      <c r="K8" s="724"/>
      <c r="L8" s="724"/>
      <c r="M8" s="528"/>
      <c r="N8" s="2098"/>
      <c r="O8" s="2020">
        <f>O9</f>
        <v>0</v>
      </c>
      <c r="P8" s="2120"/>
      <c r="Q8" s="2121"/>
      <c r="R8" s="2145">
        <f>R9</f>
        <v>0</v>
      </c>
    </row>
    <row r="9" spans="1:18" ht="60" x14ac:dyDescent="0.2">
      <c r="A9" s="103" t="str">
        <f>'5.Infrastructure Annex'!A96</f>
        <v>5.3.16</v>
      </c>
      <c r="B9" s="103" t="str">
        <f>'5.Infrastructure Annex'!B96</f>
        <v>K.2.1.1</v>
      </c>
      <c r="C9" s="103" t="str">
        <f>'5.Infrastructure Annex'!C96</f>
        <v>Non-recurring GIA: New Construction @80  lakh/ Extension of existing ward @ 40 lakh/ Renovation @20 lakh/ for Geriatrics Unit with 10 beds and OPD facilities at DH</v>
      </c>
      <c r="D9" s="2002" t="str">
        <f>'5.Infrastructure Annex'!D96</f>
        <v>NCD</v>
      </c>
      <c r="E9" s="2002" t="str">
        <f>'5.Infrastructure Annex'!E96</f>
        <v>NPHCE</v>
      </c>
      <c r="F9" s="2002">
        <f>'5.Infrastructure Annex'!F96</f>
        <v>0</v>
      </c>
      <c r="G9" s="2002">
        <f>'5.Infrastructure Annex'!G96</f>
        <v>0</v>
      </c>
      <c r="H9" s="2002">
        <f>'5.Infrastructure Annex'!H96</f>
        <v>0</v>
      </c>
      <c r="I9" s="2002">
        <f>'5.Infrastructure Annex'!I96</f>
        <v>0</v>
      </c>
      <c r="J9" s="2002">
        <f>'5.Infrastructure Annex'!J96</f>
        <v>0</v>
      </c>
      <c r="K9" s="2002">
        <f>'5.Infrastructure Annex'!K96</f>
        <v>0</v>
      </c>
      <c r="L9" s="2002">
        <f>'5.Infrastructure Annex'!L96</f>
        <v>0</v>
      </c>
      <c r="M9" s="178">
        <f>'5.Infrastructure Annex'!M96</f>
        <v>0</v>
      </c>
      <c r="N9" s="2002">
        <f>'5.Infrastructure Annex'!N96</f>
        <v>0</v>
      </c>
      <c r="O9" s="178">
        <f>'5.Infrastructure Annex'!O96</f>
        <v>0</v>
      </c>
      <c r="P9" s="103">
        <f>'5.Infrastructure Annex'!P96</f>
        <v>0</v>
      </c>
      <c r="Q9" s="67"/>
      <c r="R9" s="679"/>
    </row>
    <row r="10" spans="1:18" x14ac:dyDescent="0.2">
      <c r="A10" s="2032">
        <f>'6.Procurement Annex'!A7</f>
        <v>6</v>
      </c>
      <c r="B10" s="2032"/>
      <c r="C10" s="2032" t="str">
        <f>'6.Procurement Annex'!C7</f>
        <v>Procurement</v>
      </c>
      <c r="D10" s="724"/>
      <c r="E10" s="724"/>
      <c r="F10" s="724"/>
      <c r="G10" s="724"/>
      <c r="H10" s="528"/>
      <c r="I10" s="724"/>
      <c r="J10" s="528"/>
      <c r="K10" s="724"/>
      <c r="L10" s="724"/>
      <c r="M10" s="528"/>
      <c r="N10" s="2098"/>
      <c r="O10" s="2020">
        <f>SUM(O11:O19)</f>
        <v>0</v>
      </c>
      <c r="P10" s="2120"/>
      <c r="Q10" s="2121"/>
      <c r="R10" s="2145">
        <f>SUM(R11:R19)</f>
        <v>0</v>
      </c>
    </row>
    <row r="11" spans="1:18" ht="30" x14ac:dyDescent="0.2">
      <c r="A11" s="4072" t="str">
        <f>'6.Procurement Annex'!A38</f>
        <v>6.1.5.3</v>
      </c>
      <c r="B11" s="103" t="str">
        <f>'6-A. Proc. Sub-Annex'!C102</f>
        <v>K.1.1.1</v>
      </c>
      <c r="C11" s="103" t="str">
        <f>'6-A. Proc. Sub-Annex'!D102</f>
        <v>Recurring GIA: Machinery &amp; Equipment for DH @ 3 lakh/ CHC @ 0.50 lakh/ PHC @ 0.20 lakh</v>
      </c>
      <c r="D11" s="2002" t="str">
        <f>'6-A. Proc. Sub-Annex'!E102</f>
        <v>NCD</v>
      </c>
      <c r="E11" s="2002" t="str">
        <f>'6-A. Proc. Sub-Annex'!F102</f>
        <v>NPHCE</v>
      </c>
      <c r="F11" s="2002">
        <f>'6-A. Proc. Sub-Annex'!G102</f>
        <v>0</v>
      </c>
      <c r="G11" s="2002">
        <f>'6-A. Proc. Sub-Annex'!H102</f>
        <v>0</v>
      </c>
      <c r="H11" s="2002">
        <f>'6-A. Proc. Sub-Annex'!I102</f>
        <v>0</v>
      </c>
      <c r="I11" s="2002">
        <f>'6-A. Proc. Sub-Annex'!J102</f>
        <v>0</v>
      </c>
      <c r="J11" s="2002">
        <f>'6-A. Proc. Sub-Annex'!K102</f>
        <v>0</v>
      </c>
      <c r="K11" s="2002">
        <f>'6-A. Proc. Sub-Annex'!L102</f>
        <v>0</v>
      </c>
      <c r="L11" s="2002">
        <f>'6-A. Proc. Sub-Annex'!M102</f>
        <v>0</v>
      </c>
      <c r="M11" s="178">
        <f>'6-A. Proc. Sub-Annex'!N102</f>
        <v>0</v>
      </c>
      <c r="N11" s="2002">
        <f>'6-A. Proc. Sub-Annex'!O102</f>
        <v>0</v>
      </c>
      <c r="O11" s="178">
        <f>'6-A. Proc. Sub-Annex'!P102</f>
        <v>0</v>
      </c>
      <c r="P11" s="103">
        <f>'6-A. Proc. Sub-Annex'!Q102</f>
        <v>0</v>
      </c>
      <c r="Q11" s="67"/>
      <c r="R11" s="679"/>
    </row>
    <row r="12" spans="1:18" ht="30" x14ac:dyDescent="0.2">
      <c r="A12" s="4072"/>
      <c r="B12" s="103" t="str">
        <f>'6-A. Proc. Sub-Annex'!C103</f>
        <v>K.1.4.1</v>
      </c>
      <c r="C12" s="103" t="str">
        <f>'6-A. Proc. Sub-Annex'!D103</f>
        <v>Aids and Appliances for Sub-Centre/HWC Sub Centre</v>
      </c>
      <c r="D12" s="2002" t="str">
        <f>'6-A. Proc. Sub-Annex'!E103</f>
        <v>NCD</v>
      </c>
      <c r="E12" s="2002" t="str">
        <f>'6-A. Proc. Sub-Annex'!F103</f>
        <v>NPHCE</v>
      </c>
      <c r="F12" s="2002">
        <f>'6-A. Proc. Sub-Annex'!G103</f>
        <v>0</v>
      </c>
      <c r="G12" s="2002">
        <f>'6-A. Proc. Sub-Annex'!H103</f>
        <v>0</v>
      </c>
      <c r="H12" s="2002">
        <f>'6-A. Proc. Sub-Annex'!I103</f>
        <v>0</v>
      </c>
      <c r="I12" s="2002">
        <f>'6-A. Proc. Sub-Annex'!J103</f>
        <v>0</v>
      </c>
      <c r="J12" s="2002">
        <f>'6-A. Proc. Sub-Annex'!K103</f>
        <v>0</v>
      </c>
      <c r="K12" s="2002">
        <f>'6-A. Proc. Sub-Annex'!L103</f>
        <v>0</v>
      </c>
      <c r="L12" s="2002">
        <f>'6-A. Proc. Sub-Annex'!M103</f>
        <v>0</v>
      </c>
      <c r="M12" s="178">
        <f>'6-A. Proc. Sub-Annex'!N103</f>
        <v>0</v>
      </c>
      <c r="N12" s="2002">
        <f>'6-A. Proc. Sub-Annex'!O103</f>
        <v>0</v>
      </c>
      <c r="O12" s="178">
        <f>'6-A. Proc. Sub-Annex'!P103</f>
        <v>0</v>
      </c>
      <c r="P12" s="103">
        <f>'6-A. Proc. Sub-Annex'!Q103</f>
        <v>0</v>
      </c>
      <c r="Q12" s="67"/>
      <c r="R12" s="679"/>
    </row>
    <row r="13" spans="1:18" ht="30" x14ac:dyDescent="0.2">
      <c r="A13" s="4072"/>
      <c r="B13" s="103" t="str">
        <f>'6-A. Proc. Sub-Annex'!C104</f>
        <v>K.2.1.2</v>
      </c>
      <c r="C13" s="103" t="str">
        <f>'6-A. Proc. Sub-Annex'!D104</f>
        <v>Non-recurring GIA: Machinery &amp; Equipment for DH</v>
      </c>
      <c r="D13" s="2002" t="str">
        <f>'6-A. Proc. Sub-Annex'!E104</f>
        <v>NCD</v>
      </c>
      <c r="E13" s="2002" t="str">
        <f>'6-A. Proc. Sub-Annex'!F104</f>
        <v>NPHCE</v>
      </c>
      <c r="F13" s="2002">
        <f>'6-A. Proc. Sub-Annex'!G104</f>
        <v>0</v>
      </c>
      <c r="G13" s="2002">
        <f>'6-A. Proc. Sub-Annex'!H104</f>
        <v>0</v>
      </c>
      <c r="H13" s="2002">
        <f>'6-A. Proc. Sub-Annex'!I104</f>
        <v>0</v>
      </c>
      <c r="I13" s="2002">
        <f>'6-A. Proc. Sub-Annex'!J104</f>
        <v>0</v>
      </c>
      <c r="J13" s="2002">
        <f>'6-A. Proc. Sub-Annex'!K104</f>
        <v>0</v>
      </c>
      <c r="K13" s="2002">
        <f>'6-A. Proc. Sub-Annex'!L104</f>
        <v>0</v>
      </c>
      <c r="L13" s="2002">
        <f>'6-A. Proc. Sub-Annex'!M104</f>
        <v>0</v>
      </c>
      <c r="M13" s="178">
        <f>'6-A. Proc. Sub-Annex'!N104</f>
        <v>0</v>
      </c>
      <c r="N13" s="2002">
        <f>'6-A. Proc. Sub-Annex'!O104</f>
        <v>0</v>
      </c>
      <c r="O13" s="178">
        <f>'6-A. Proc. Sub-Annex'!P104</f>
        <v>0</v>
      </c>
      <c r="P13" s="103">
        <f>'6-A. Proc. Sub-Annex'!Q104</f>
        <v>0</v>
      </c>
      <c r="Q13" s="67"/>
      <c r="R13" s="679"/>
    </row>
    <row r="14" spans="1:18" ht="30" x14ac:dyDescent="0.2">
      <c r="A14" s="4072"/>
      <c r="B14" s="103" t="str">
        <f>'6-A. Proc. Sub-Annex'!C105</f>
        <v>K.2.2</v>
      </c>
      <c r="C14" s="103" t="str">
        <f>'6-A. Proc. Sub-Annex'!D105</f>
        <v>Non-recurring GIA: Machinery &amp; Equipment for CHC</v>
      </c>
      <c r="D14" s="2002" t="str">
        <f>'6-A. Proc. Sub-Annex'!E105</f>
        <v>NCD</v>
      </c>
      <c r="E14" s="2002" t="str">
        <f>'6-A. Proc. Sub-Annex'!F105</f>
        <v>NPHCE</v>
      </c>
      <c r="F14" s="2002">
        <f>'6-A. Proc. Sub-Annex'!G105</f>
        <v>0</v>
      </c>
      <c r="G14" s="2002">
        <f>'6-A. Proc. Sub-Annex'!H105</f>
        <v>0</v>
      </c>
      <c r="H14" s="2002">
        <f>'6-A. Proc. Sub-Annex'!I105</f>
        <v>0</v>
      </c>
      <c r="I14" s="2002">
        <f>'6-A. Proc. Sub-Annex'!J105</f>
        <v>0</v>
      </c>
      <c r="J14" s="2002">
        <f>'6-A. Proc. Sub-Annex'!K105</f>
        <v>0</v>
      </c>
      <c r="K14" s="2002">
        <f>'6-A. Proc. Sub-Annex'!L105</f>
        <v>0</v>
      </c>
      <c r="L14" s="2002">
        <f>'6-A. Proc. Sub-Annex'!M105</f>
        <v>0</v>
      </c>
      <c r="M14" s="178">
        <f>'6-A. Proc. Sub-Annex'!N105</f>
        <v>0</v>
      </c>
      <c r="N14" s="2002">
        <f>'6-A. Proc. Sub-Annex'!O105</f>
        <v>0</v>
      </c>
      <c r="O14" s="178">
        <f>'6-A. Proc. Sub-Annex'!P105</f>
        <v>0</v>
      </c>
      <c r="P14" s="103">
        <f>'6-A. Proc. Sub-Annex'!Q105</f>
        <v>0</v>
      </c>
      <c r="Q14" s="67"/>
      <c r="R14" s="679"/>
    </row>
    <row r="15" spans="1:18" ht="30" x14ac:dyDescent="0.2">
      <c r="A15" s="4072"/>
      <c r="B15" s="103" t="str">
        <f>'6-A. Proc. Sub-Annex'!C106</f>
        <v>K.2.3</v>
      </c>
      <c r="C15" s="103" t="str">
        <f>'6-A. Proc. Sub-Annex'!D106</f>
        <v>Non-recurring GIA: Machinery &amp; Equipment for PHC</v>
      </c>
      <c r="D15" s="2002" t="str">
        <f>'6-A. Proc. Sub-Annex'!E106</f>
        <v>NCD</v>
      </c>
      <c r="E15" s="2002" t="str">
        <f>'6-A. Proc. Sub-Annex'!F106</f>
        <v>NPHCE</v>
      </c>
      <c r="F15" s="2002">
        <f>'6-A. Proc. Sub-Annex'!G106</f>
        <v>0</v>
      </c>
      <c r="G15" s="2002">
        <f>'6-A. Proc. Sub-Annex'!H106</f>
        <v>0</v>
      </c>
      <c r="H15" s="2002">
        <f>'6-A. Proc. Sub-Annex'!I106</f>
        <v>0</v>
      </c>
      <c r="I15" s="2002">
        <f>'6-A. Proc. Sub-Annex'!J106</f>
        <v>0</v>
      </c>
      <c r="J15" s="2002">
        <f>'6-A. Proc. Sub-Annex'!K106</f>
        <v>0</v>
      </c>
      <c r="K15" s="2002">
        <f>'6-A. Proc. Sub-Annex'!L106</f>
        <v>0</v>
      </c>
      <c r="L15" s="2002">
        <f>'6-A. Proc. Sub-Annex'!M106</f>
        <v>0</v>
      </c>
      <c r="M15" s="178">
        <f>'6-A. Proc. Sub-Annex'!N106</f>
        <v>0</v>
      </c>
      <c r="N15" s="2002">
        <f>'6-A. Proc. Sub-Annex'!O106</f>
        <v>0</v>
      </c>
      <c r="O15" s="178">
        <f>'6-A. Proc. Sub-Annex'!P106</f>
        <v>0</v>
      </c>
      <c r="P15" s="103">
        <f>'6-A. Proc. Sub-Annex'!Q106</f>
        <v>0</v>
      </c>
      <c r="Q15" s="67"/>
      <c r="R15" s="679"/>
    </row>
    <row r="16" spans="1:18" ht="30" x14ac:dyDescent="0.2">
      <c r="A16" s="4072"/>
      <c r="B16" s="103" t="str">
        <f>'6-A. Proc. Sub-Annex'!C107</f>
        <v>K.2.1.1</v>
      </c>
      <c r="C16" s="103" t="str">
        <f>'6-A. Proc. Sub-Annex'!D107</f>
        <v>Non-recurring GIA: Furniture of Geriatrics Unit with 10 beds and OPD facilities at DH</v>
      </c>
      <c r="D16" s="2002" t="str">
        <f>'6-A. Proc. Sub-Annex'!E107</f>
        <v>NCD</v>
      </c>
      <c r="E16" s="2002" t="str">
        <f>'6-A. Proc. Sub-Annex'!F107</f>
        <v>NPHCE</v>
      </c>
      <c r="F16" s="2002">
        <f>'6-A. Proc. Sub-Annex'!G107</f>
        <v>0</v>
      </c>
      <c r="G16" s="2002">
        <f>'6-A. Proc. Sub-Annex'!H107</f>
        <v>0</v>
      </c>
      <c r="H16" s="2002">
        <f>'6-A. Proc. Sub-Annex'!I107</f>
        <v>0</v>
      </c>
      <c r="I16" s="2002">
        <f>'6-A. Proc. Sub-Annex'!J107</f>
        <v>0</v>
      </c>
      <c r="J16" s="2002">
        <f>'6-A. Proc. Sub-Annex'!K107</f>
        <v>0</v>
      </c>
      <c r="K16" s="2002">
        <f>'6-A. Proc. Sub-Annex'!L107</f>
        <v>0</v>
      </c>
      <c r="L16" s="2002">
        <f>'6-A. Proc. Sub-Annex'!M107</f>
        <v>0</v>
      </c>
      <c r="M16" s="178">
        <f>'6-A. Proc. Sub-Annex'!N107</f>
        <v>0</v>
      </c>
      <c r="N16" s="2002">
        <f>'6-A. Proc. Sub-Annex'!O107</f>
        <v>0</v>
      </c>
      <c r="O16" s="178">
        <f>'6-A. Proc. Sub-Annex'!P107</f>
        <v>0</v>
      </c>
      <c r="P16" s="103">
        <f>'6-A. Proc. Sub-Annex'!Q107</f>
        <v>0</v>
      </c>
      <c r="Q16" s="67"/>
      <c r="R16" s="679"/>
    </row>
    <row r="17" spans="1:18" ht="30" x14ac:dyDescent="0.2">
      <c r="A17" s="4072"/>
      <c r="B17" s="103">
        <f>'6-A. Proc. Sub-Annex'!C108</f>
        <v>0</v>
      </c>
      <c r="C17" s="103" t="str">
        <f>'6-A. Proc. Sub-Annex'!D108</f>
        <v>Any other equipment (please specify)</v>
      </c>
      <c r="D17" s="2002" t="str">
        <f>'6-A. Proc. Sub-Annex'!E108</f>
        <v>NCD</v>
      </c>
      <c r="E17" s="2002" t="str">
        <f>'6-A. Proc. Sub-Annex'!F108</f>
        <v>NPHCE</v>
      </c>
      <c r="F17" s="2002">
        <f>'6-A. Proc. Sub-Annex'!G108</f>
        <v>0</v>
      </c>
      <c r="G17" s="2002">
        <f>'6-A. Proc. Sub-Annex'!H108</f>
        <v>0</v>
      </c>
      <c r="H17" s="2002">
        <f>'6-A. Proc. Sub-Annex'!I108</f>
        <v>0</v>
      </c>
      <c r="I17" s="2002">
        <f>'6-A. Proc. Sub-Annex'!J108</f>
        <v>0</v>
      </c>
      <c r="J17" s="2002">
        <f>'6-A. Proc. Sub-Annex'!K108</f>
        <v>0</v>
      </c>
      <c r="K17" s="2002">
        <f>'6-A. Proc. Sub-Annex'!L108</f>
        <v>0</v>
      </c>
      <c r="L17" s="2002">
        <f>'6-A. Proc. Sub-Annex'!M108</f>
        <v>0</v>
      </c>
      <c r="M17" s="178">
        <f>'6-A. Proc. Sub-Annex'!N108</f>
        <v>0</v>
      </c>
      <c r="N17" s="2002">
        <f>'6-A. Proc. Sub-Annex'!O108</f>
        <v>0</v>
      </c>
      <c r="O17" s="178">
        <f>'6-A. Proc. Sub-Annex'!P108</f>
        <v>0</v>
      </c>
      <c r="P17" s="103">
        <f>'6-A. Proc. Sub-Annex'!Q108</f>
        <v>0</v>
      </c>
      <c r="Q17" s="67"/>
      <c r="R17" s="679"/>
    </row>
    <row r="18" spans="1:18" ht="30" x14ac:dyDescent="0.2">
      <c r="A18" s="4072" t="str">
        <f>'6.Procurement Annex'!A81</f>
        <v>6.2.4.3</v>
      </c>
      <c r="B18" s="103"/>
      <c r="C18" s="103" t="str">
        <f>'6-A. Proc. Sub-Annex'!D257</f>
        <v>Drugs and supplies for NPHCE</v>
      </c>
      <c r="D18" s="2002" t="str">
        <f>'6-A. Proc. Sub-Annex'!E257</f>
        <v>NCD</v>
      </c>
      <c r="E18" s="2002" t="str">
        <f>'6-A. Proc. Sub-Annex'!F257</f>
        <v>NPHCE</v>
      </c>
      <c r="F18" s="2002">
        <f>'6-A. Proc. Sub-Annex'!G257</f>
        <v>0</v>
      </c>
      <c r="G18" s="2002">
        <f>'6-A. Proc. Sub-Annex'!H257</f>
        <v>0</v>
      </c>
      <c r="H18" s="2002">
        <f>'6-A. Proc. Sub-Annex'!I257</f>
        <v>0</v>
      </c>
      <c r="I18" s="2002">
        <f>'6-A. Proc. Sub-Annex'!J257</f>
        <v>0</v>
      </c>
      <c r="J18" s="2002">
        <f>'6-A. Proc. Sub-Annex'!K257</f>
        <v>0</v>
      </c>
      <c r="K18" s="2002">
        <f>'6-A. Proc. Sub-Annex'!L257</f>
        <v>0</v>
      </c>
      <c r="L18" s="2002">
        <f>'6-A. Proc. Sub-Annex'!M257</f>
        <v>0</v>
      </c>
      <c r="M18" s="178">
        <f>'6-A. Proc. Sub-Annex'!N257</f>
        <v>0</v>
      </c>
      <c r="N18" s="2002">
        <f>'6-A. Proc. Sub-Annex'!O257</f>
        <v>0</v>
      </c>
      <c r="O18" s="178">
        <f>'6-A. Proc. Sub-Annex'!P257</f>
        <v>0</v>
      </c>
      <c r="P18" s="103">
        <f>'6-A. Proc. Sub-Annex'!Q257</f>
        <v>0</v>
      </c>
      <c r="Q18" s="67"/>
      <c r="R18" s="679"/>
    </row>
    <row r="19" spans="1:18" ht="30" x14ac:dyDescent="0.2">
      <c r="A19" s="4072"/>
      <c r="B19" s="103"/>
      <c r="C19" s="103">
        <f>'6-A. Proc. Sub-Annex'!D258</f>
        <v>0</v>
      </c>
      <c r="D19" s="2002" t="str">
        <f>'6-A. Proc. Sub-Annex'!E258</f>
        <v>NCD</v>
      </c>
      <c r="E19" s="2002" t="str">
        <f>'6-A. Proc. Sub-Annex'!F258</f>
        <v>NPHCE</v>
      </c>
      <c r="F19" s="2002">
        <f>'6-A. Proc. Sub-Annex'!G258</f>
        <v>0</v>
      </c>
      <c r="G19" s="2002">
        <f>'6-A. Proc. Sub-Annex'!H258</f>
        <v>0</v>
      </c>
      <c r="H19" s="2002">
        <f>'6-A. Proc. Sub-Annex'!I258</f>
        <v>0</v>
      </c>
      <c r="I19" s="2002">
        <f>'6-A. Proc. Sub-Annex'!J258</f>
        <v>0</v>
      </c>
      <c r="J19" s="2002">
        <f>'6-A. Proc. Sub-Annex'!K258</f>
        <v>0</v>
      </c>
      <c r="K19" s="2002">
        <f>'6-A. Proc. Sub-Annex'!L258</f>
        <v>0</v>
      </c>
      <c r="L19" s="2002">
        <f>'6-A. Proc. Sub-Annex'!M258</f>
        <v>0</v>
      </c>
      <c r="M19" s="178">
        <f>'6-A. Proc. Sub-Annex'!N258</f>
        <v>0</v>
      </c>
      <c r="N19" s="2002">
        <f>'6-A. Proc. Sub-Annex'!O258</f>
        <v>0</v>
      </c>
      <c r="O19" s="178">
        <f>'6-A. Proc. Sub-Annex'!P258</f>
        <v>0</v>
      </c>
      <c r="P19" s="103">
        <f>'6-A. Proc. Sub-Annex'!Q258</f>
        <v>0</v>
      </c>
      <c r="Q19" s="67"/>
      <c r="R19" s="679"/>
    </row>
    <row r="20" spans="1:18" x14ac:dyDescent="0.2">
      <c r="A20" s="2032">
        <f>'9.Training Annex'!A7</f>
        <v>9</v>
      </c>
      <c r="B20" s="2032"/>
      <c r="C20" s="2032" t="str">
        <f>'9.Training Annex'!C7</f>
        <v>Training and Capacity Building</v>
      </c>
      <c r="D20" s="724"/>
      <c r="E20" s="724"/>
      <c r="F20" s="724"/>
      <c r="G20" s="724"/>
      <c r="H20" s="528"/>
      <c r="I20" s="724"/>
      <c r="J20" s="528"/>
      <c r="K20" s="724"/>
      <c r="L20" s="724"/>
      <c r="M20" s="528"/>
      <c r="N20" s="2098"/>
      <c r="O20" s="2020">
        <f>SUM(O21:O24)</f>
        <v>0</v>
      </c>
      <c r="P20" s="2120"/>
      <c r="Q20" s="2121"/>
      <c r="R20" s="2145">
        <f>SUM(R21:R24)</f>
        <v>0</v>
      </c>
    </row>
    <row r="21" spans="1:18" ht="30" x14ac:dyDescent="0.2">
      <c r="A21" s="4072" t="str">
        <f>'9.Training Annex'!A57</f>
        <v>9.2.4.3</v>
      </c>
      <c r="B21" s="103" t="str">
        <f>'9-A.Training Sub-Annex'!C255</f>
        <v>K.1.1.2</v>
      </c>
      <c r="C21" s="103" t="str">
        <f>'9-A.Training Sub-Annex'!D255</f>
        <v>Training of doctors and staff at DH level under NPHCE</v>
      </c>
      <c r="D21" s="2002" t="str">
        <f>'9-A.Training Sub-Annex'!E255</f>
        <v>NCD</v>
      </c>
      <c r="E21" s="2002" t="str">
        <f>'9-A.Training Sub-Annex'!F255</f>
        <v>NPHCE</v>
      </c>
      <c r="F21" s="2002">
        <f>'9-A.Training Sub-Annex'!G255</f>
        <v>0</v>
      </c>
      <c r="G21" s="2002">
        <f>'9-A.Training Sub-Annex'!H255</f>
        <v>0</v>
      </c>
      <c r="H21" s="2002">
        <f>'9-A.Training Sub-Annex'!I255</f>
        <v>0</v>
      </c>
      <c r="I21" s="2002">
        <f>'9-A.Training Sub-Annex'!J255</f>
        <v>0</v>
      </c>
      <c r="J21" s="2002">
        <f>'9-A.Training Sub-Annex'!K255</f>
        <v>0</v>
      </c>
      <c r="K21" s="2002">
        <f>'9-A.Training Sub-Annex'!L255</f>
        <v>0</v>
      </c>
      <c r="L21" s="2002">
        <f>'9-A.Training Sub-Annex'!M255</f>
        <v>0</v>
      </c>
      <c r="M21" s="178">
        <f>'9-A.Training Sub-Annex'!N255</f>
        <v>0</v>
      </c>
      <c r="N21" s="2002">
        <f>'9-A.Training Sub-Annex'!O255</f>
        <v>0</v>
      </c>
      <c r="O21" s="178">
        <f>'9-A.Training Sub-Annex'!P255</f>
        <v>0</v>
      </c>
      <c r="P21" s="103">
        <f>'9-A.Training Sub-Annex'!Q255</f>
        <v>0</v>
      </c>
      <c r="Q21" s="67"/>
      <c r="R21" s="679"/>
    </row>
    <row r="22" spans="1:18" ht="30" x14ac:dyDescent="0.2">
      <c r="A22" s="4072"/>
      <c r="B22" s="103" t="str">
        <f>'9-A.Training Sub-Annex'!C256</f>
        <v>K.1.2.1</v>
      </c>
      <c r="C22" s="103" t="str">
        <f>'9-A.Training Sub-Annex'!D256</f>
        <v>Training of doctors and staff at CHC level under NPHCE</v>
      </c>
      <c r="D22" s="2002" t="str">
        <f>'9-A.Training Sub-Annex'!E256</f>
        <v>NCD</v>
      </c>
      <c r="E22" s="2002" t="str">
        <f>'9-A.Training Sub-Annex'!F256</f>
        <v>NPHCE</v>
      </c>
      <c r="F22" s="2002">
        <f>'9-A.Training Sub-Annex'!G256</f>
        <v>0</v>
      </c>
      <c r="G22" s="2002">
        <f>'9-A.Training Sub-Annex'!H256</f>
        <v>0</v>
      </c>
      <c r="H22" s="2002">
        <f>'9-A.Training Sub-Annex'!I256</f>
        <v>0</v>
      </c>
      <c r="I22" s="2002">
        <f>'9-A.Training Sub-Annex'!J256</f>
        <v>0</v>
      </c>
      <c r="J22" s="2002">
        <f>'9-A.Training Sub-Annex'!K256</f>
        <v>0</v>
      </c>
      <c r="K22" s="2002">
        <f>'9-A.Training Sub-Annex'!L256</f>
        <v>0</v>
      </c>
      <c r="L22" s="2002">
        <f>'9-A.Training Sub-Annex'!M256</f>
        <v>0</v>
      </c>
      <c r="M22" s="178">
        <f>'9-A.Training Sub-Annex'!N256</f>
        <v>0</v>
      </c>
      <c r="N22" s="2002">
        <f>'9-A.Training Sub-Annex'!O256</f>
        <v>0</v>
      </c>
      <c r="O22" s="178">
        <f>'9-A.Training Sub-Annex'!P256</f>
        <v>0</v>
      </c>
      <c r="P22" s="103">
        <f>'9-A.Training Sub-Annex'!Q256</f>
        <v>0</v>
      </c>
      <c r="Q22" s="67"/>
      <c r="R22" s="679"/>
    </row>
    <row r="23" spans="1:18" ht="30" x14ac:dyDescent="0.2">
      <c r="A23" s="4072"/>
      <c r="B23" s="103" t="str">
        <f>'9-A.Training Sub-Annex'!C257</f>
        <v>K.1.3.1.</v>
      </c>
      <c r="C23" s="103" t="str">
        <f>'9-A.Training Sub-Annex'!D257</f>
        <v>Training of doctors and staff at PHC level under NPHCE</v>
      </c>
      <c r="D23" s="2002" t="str">
        <f>'9-A.Training Sub-Annex'!E257</f>
        <v>NCD</v>
      </c>
      <c r="E23" s="2002" t="str">
        <f>'9-A.Training Sub-Annex'!F257</f>
        <v>NPHCE</v>
      </c>
      <c r="F23" s="2002">
        <f>'9-A.Training Sub-Annex'!G257</f>
        <v>0</v>
      </c>
      <c r="G23" s="2002">
        <f>'9-A.Training Sub-Annex'!H257</f>
        <v>0</v>
      </c>
      <c r="H23" s="2002">
        <f>'9-A.Training Sub-Annex'!I257</f>
        <v>0</v>
      </c>
      <c r="I23" s="2002">
        <f>'9-A.Training Sub-Annex'!J257</f>
        <v>0</v>
      </c>
      <c r="J23" s="2002">
        <f>'9-A.Training Sub-Annex'!K257</f>
        <v>0</v>
      </c>
      <c r="K23" s="2002">
        <f>'9-A.Training Sub-Annex'!L257</f>
        <v>0</v>
      </c>
      <c r="L23" s="2002">
        <f>'9-A.Training Sub-Annex'!M257</f>
        <v>0</v>
      </c>
      <c r="M23" s="178">
        <f>'9-A.Training Sub-Annex'!N257</f>
        <v>0</v>
      </c>
      <c r="N23" s="2002">
        <f>'9-A.Training Sub-Annex'!O257</f>
        <v>0</v>
      </c>
      <c r="O23" s="178">
        <f>'9-A.Training Sub-Annex'!P257</f>
        <v>0</v>
      </c>
      <c r="P23" s="103">
        <f>'9-A.Training Sub-Annex'!Q257</f>
        <v>0</v>
      </c>
      <c r="Q23" s="67"/>
      <c r="R23" s="679"/>
    </row>
    <row r="24" spans="1:18" ht="30" x14ac:dyDescent="0.2">
      <c r="A24" s="4072"/>
      <c r="B24" s="103"/>
      <c r="C24" s="103" t="str">
        <f>'9-A.Training Sub-Annex'!D258</f>
        <v>Any other (please specify)</v>
      </c>
      <c r="D24" s="2002" t="str">
        <f>'9-A.Training Sub-Annex'!E258</f>
        <v>NCD</v>
      </c>
      <c r="E24" s="2002" t="str">
        <f>'9-A.Training Sub-Annex'!F258</f>
        <v>NPHCE</v>
      </c>
      <c r="F24" s="2002">
        <f>'9-A.Training Sub-Annex'!G258</f>
        <v>0</v>
      </c>
      <c r="G24" s="2002">
        <f>'9-A.Training Sub-Annex'!H258</f>
        <v>0</v>
      </c>
      <c r="H24" s="2002">
        <f>'9-A.Training Sub-Annex'!I258</f>
        <v>0</v>
      </c>
      <c r="I24" s="2002">
        <f>'9-A.Training Sub-Annex'!J258</f>
        <v>0</v>
      </c>
      <c r="J24" s="2002">
        <f>'9-A.Training Sub-Annex'!K258</f>
        <v>0</v>
      </c>
      <c r="K24" s="2002">
        <f>'9-A.Training Sub-Annex'!L258</f>
        <v>0</v>
      </c>
      <c r="L24" s="2002">
        <f>'9-A.Training Sub-Annex'!M258</f>
        <v>0</v>
      </c>
      <c r="M24" s="178">
        <f>'9-A.Training Sub-Annex'!N258</f>
        <v>0</v>
      </c>
      <c r="N24" s="2002">
        <f>'9-A.Training Sub-Annex'!O258</f>
        <v>0</v>
      </c>
      <c r="O24" s="178">
        <f>'9-A.Training Sub-Annex'!P258</f>
        <v>0</v>
      </c>
      <c r="P24" s="103">
        <f>'9-A.Training Sub-Annex'!Q258</f>
        <v>0</v>
      </c>
      <c r="Q24" s="67"/>
      <c r="R24" s="679"/>
    </row>
    <row r="25" spans="1:18" x14ac:dyDescent="0.2">
      <c r="A25" s="2032">
        <f>'10.Review Research &amp; Surveillen'!A7</f>
        <v>10</v>
      </c>
      <c r="B25" s="2032"/>
      <c r="C25" s="2032" t="str">
        <f>'10.Review Research &amp; Surveillen'!C7</f>
        <v>Reviews, Research, Surveys and Surveillance</v>
      </c>
      <c r="D25" s="1410"/>
      <c r="E25" s="1410"/>
      <c r="F25" s="724"/>
      <c r="G25" s="724"/>
      <c r="H25" s="528"/>
      <c r="I25" s="724"/>
      <c r="J25" s="528"/>
      <c r="K25" s="724"/>
      <c r="L25" s="724"/>
      <c r="M25" s="528"/>
      <c r="N25" s="2098"/>
      <c r="O25" s="2020">
        <f>O26</f>
        <v>0</v>
      </c>
      <c r="P25" s="2120"/>
      <c r="Q25" s="2121"/>
      <c r="R25" s="2145">
        <f>R26</f>
        <v>0</v>
      </c>
    </row>
    <row r="26" spans="1:18" ht="30" x14ac:dyDescent="0.2">
      <c r="A26" s="2014" t="str">
        <f>'10.Review Research &amp; Surveillen'!A32</f>
        <v>10.2.15</v>
      </c>
      <c r="B26" s="103"/>
      <c r="C26" s="103" t="str">
        <f>'10.Review Research &amp; Surveillen'!C32</f>
        <v>Research in the field of Geriatric health</v>
      </c>
      <c r="D26" s="2002" t="str">
        <f>'10.Review Research &amp; Surveillen'!D32</f>
        <v>NCD</v>
      </c>
      <c r="E26" s="2002" t="str">
        <f>'10.Review Research &amp; Surveillen'!E32</f>
        <v>NPHCE</v>
      </c>
      <c r="F26" s="2002">
        <f>'10.Review Research &amp; Surveillen'!F32</f>
        <v>0</v>
      </c>
      <c r="G26" s="2002">
        <f>'10.Review Research &amp; Surveillen'!G32</f>
        <v>0</v>
      </c>
      <c r="H26" s="2002">
        <f>'10.Review Research &amp; Surveillen'!H32</f>
        <v>0</v>
      </c>
      <c r="I26" s="2002">
        <f>'10.Review Research &amp; Surveillen'!I32</f>
        <v>0</v>
      </c>
      <c r="J26" s="2002">
        <f>'10.Review Research &amp; Surveillen'!J32</f>
        <v>0</v>
      </c>
      <c r="K26" s="2002">
        <f>'10.Review Research &amp; Surveillen'!K32</f>
        <v>0</v>
      </c>
      <c r="L26" s="2002">
        <f>'10.Review Research &amp; Surveillen'!L32</f>
        <v>0</v>
      </c>
      <c r="M26" s="178">
        <f>'10.Review Research &amp; Surveillen'!M32</f>
        <v>0</v>
      </c>
      <c r="N26" s="2002">
        <f>'10.Review Research &amp; Surveillen'!N32</f>
        <v>0</v>
      </c>
      <c r="O26" s="178">
        <f>'10.Review Research &amp; Surveillen'!O32</f>
        <v>0</v>
      </c>
      <c r="P26" s="103">
        <f>'10.Review Research &amp; Surveillen'!P32</f>
        <v>0</v>
      </c>
      <c r="Q26" s="67"/>
      <c r="R26" s="679"/>
    </row>
    <row r="27" spans="1:18" x14ac:dyDescent="0.2">
      <c r="A27" s="2032">
        <f>'11.IEC-BCC Annex'!A7</f>
        <v>11</v>
      </c>
      <c r="B27" s="2032"/>
      <c r="C27" s="2032" t="str">
        <f>'11.IEC-BCC Annex'!C7</f>
        <v>IEC/BCC</v>
      </c>
      <c r="D27" s="724"/>
      <c r="E27" s="724"/>
      <c r="F27" s="724"/>
      <c r="G27" s="724"/>
      <c r="H27" s="528"/>
      <c r="I27" s="724"/>
      <c r="J27" s="528"/>
      <c r="K27" s="724"/>
      <c r="L27" s="724"/>
      <c r="M27" s="528"/>
      <c r="N27" s="2098"/>
      <c r="O27" s="2020">
        <f>SUM(O28:O29)</f>
        <v>0</v>
      </c>
      <c r="P27" s="2120"/>
      <c r="Q27" s="2121"/>
      <c r="R27" s="2145">
        <f>SUM(R28:R29)</f>
        <v>0</v>
      </c>
    </row>
    <row r="28" spans="1:18" ht="30" x14ac:dyDescent="0.2">
      <c r="A28" s="4076" t="str">
        <f>'11.IEC-BCC Annex'!A34</f>
        <v>11.4.3</v>
      </c>
      <c r="B28" s="103" t="str">
        <f>'11-A. IEC Sub-Annex'!C85</f>
        <v>B.10.6.13</v>
      </c>
      <c r="C28" s="103" t="str">
        <f>'11-A. IEC Sub-Annex'!D85</f>
        <v>IPC,Group activities and mass media for NPHCE</v>
      </c>
      <c r="D28" s="2002" t="str">
        <f>'11-A. IEC Sub-Annex'!E85</f>
        <v>NCD</v>
      </c>
      <c r="E28" s="2002" t="str">
        <f>'11-A. IEC Sub-Annex'!F85</f>
        <v>NPHCE</v>
      </c>
      <c r="F28" s="2002">
        <f>'11-A. IEC Sub-Annex'!G85</f>
        <v>0</v>
      </c>
      <c r="G28" s="2002">
        <f>'11-A. IEC Sub-Annex'!H85</f>
        <v>0</v>
      </c>
      <c r="H28" s="2002">
        <f>'11-A. IEC Sub-Annex'!I85</f>
        <v>0</v>
      </c>
      <c r="I28" s="2002">
        <f>'11-A. IEC Sub-Annex'!J85</f>
        <v>0</v>
      </c>
      <c r="J28" s="2002">
        <f>'11-A. IEC Sub-Annex'!K85</f>
        <v>0</v>
      </c>
      <c r="K28" s="2002">
        <f>'11-A. IEC Sub-Annex'!L85</f>
        <v>0</v>
      </c>
      <c r="L28" s="2002">
        <f>'11-A. IEC Sub-Annex'!M85</f>
        <v>0</v>
      </c>
      <c r="M28" s="178">
        <f>'11-A. IEC Sub-Annex'!N85</f>
        <v>0</v>
      </c>
      <c r="N28" s="2002">
        <f>'11-A. IEC Sub-Annex'!O85</f>
        <v>0</v>
      </c>
      <c r="O28" s="178">
        <f>'11-A. IEC Sub-Annex'!P85</f>
        <v>0</v>
      </c>
      <c r="P28" s="103">
        <f>'11-A. IEC Sub-Annex'!Q85</f>
        <v>0</v>
      </c>
      <c r="Q28" s="67"/>
      <c r="R28" s="679"/>
    </row>
    <row r="29" spans="1:18" ht="30" x14ac:dyDescent="0.2">
      <c r="A29" s="4076"/>
      <c r="B29" s="103"/>
      <c r="C29" s="103" t="str">
        <f>'11-A. IEC Sub-Annex'!D86</f>
        <v>Celebration of days-ie International Day for older persons</v>
      </c>
      <c r="D29" s="2002" t="str">
        <f>'11-A. IEC Sub-Annex'!E86</f>
        <v>NCD</v>
      </c>
      <c r="E29" s="2002" t="str">
        <f>'11-A. IEC Sub-Annex'!F86</f>
        <v>NPHCE</v>
      </c>
      <c r="F29" s="2002">
        <f>'11-A. IEC Sub-Annex'!G86</f>
        <v>0</v>
      </c>
      <c r="G29" s="2002">
        <f>'11-A. IEC Sub-Annex'!H86</f>
        <v>0</v>
      </c>
      <c r="H29" s="2002">
        <f>'11-A. IEC Sub-Annex'!I86</f>
        <v>0</v>
      </c>
      <c r="I29" s="2002">
        <f>'11-A. IEC Sub-Annex'!J86</f>
        <v>0</v>
      </c>
      <c r="J29" s="2002">
        <f>'11-A. IEC Sub-Annex'!K86</f>
        <v>0</v>
      </c>
      <c r="K29" s="2002">
        <f>'11-A. IEC Sub-Annex'!L86</f>
        <v>0</v>
      </c>
      <c r="L29" s="2002">
        <f>'11-A. IEC Sub-Annex'!M86</f>
        <v>0</v>
      </c>
      <c r="M29" s="178">
        <f>'11-A. IEC Sub-Annex'!N86</f>
        <v>0</v>
      </c>
      <c r="N29" s="2002">
        <f>'11-A. IEC Sub-Annex'!O86</f>
        <v>0</v>
      </c>
      <c r="O29" s="178">
        <f>'11-A. IEC Sub-Annex'!P86</f>
        <v>0</v>
      </c>
      <c r="P29" s="103">
        <f>'11-A. IEC Sub-Annex'!Q86</f>
        <v>0</v>
      </c>
      <c r="Q29" s="67"/>
      <c r="R29" s="679"/>
    </row>
    <row r="30" spans="1:18" x14ac:dyDescent="0.2">
      <c r="A30" s="2032">
        <f>'12.Printing Annex'!A7</f>
        <v>12</v>
      </c>
      <c r="B30" s="2032"/>
      <c r="C30" s="2032" t="str">
        <f>'12.Printing Annex'!C7</f>
        <v>Printing</v>
      </c>
      <c r="D30" s="1410"/>
      <c r="E30" s="1410"/>
      <c r="F30" s="724"/>
      <c r="G30" s="724"/>
      <c r="H30" s="528"/>
      <c r="I30" s="724"/>
      <c r="J30" s="528"/>
      <c r="K30" s="724"/>
      <c r="L30" s="724"/>
      <c r="M30" s="528"/>
      <c r="N30" s="2098"/>
      <c r="O30" s="2020">
        <f>O31</f>
        <v>0</v>
      </c>
      <c r="P30" s="2120"/>
      <c r="Q30" s="2121"/>
      <c r="R30" s="2145">
        <f>R31</f>
        <v>0</v>
      </c>
    </row>
    <row r="31" spans="1:18" ht="30" x14ac:dyDescent="0.2">
      <c r="A31" s="2014" t="str">
        <f>'12.Printing Annex'!A36</f>
        <v>12.4.3</v>
      </c>
      <c r="B31" s="103">
        <f>'12-A. Print Sub-Annex'!C94</f>
        <v>0</v>
      </c>
      <c r="C31" s="103" t="str">
        <f>'12-A. Print Sub-Annex'!D94</f>
        <v>Printing activities under NPHCE</v>
      </c>
      <c r="D31" s="2002" t="str">
        <f>'12-A. Print Sub-Annex'!E94</f>
        <v>NCD</v>
      </c>
      <c r="E31" s="2002" t="str">
        <f>'12-A. Print Sub-Annex'!F94</f>
        <v>NPHCE</v>
      </c>
      <c r="F31" s="2002">
        <f>'12-A. Print Sub-Annex'!G94</f>
        <v>0</v>
      </c>
      <c r="G31" s="2002">
        <f>'12-A. Print Sub-Annex'!H94</f>
        <v>0</v>
      </c>
      <c r="H31" s="2002">
        <f>'12-A. Print Sub-Annex'!I94</f>
        <v>0</v>
      </c>
      <c r="I31" s="2002">
        <f>'12-A. Print Sub-Annex'!J94</f>
        <v>0</v>
      </c>
      <c r="J31" s="2002">
        <f>'12-A. Print Sub-Annex'!K94</f>
        <v>0</v>
      </c>
      <c r="K31" s="2002">
        <f>'12-A. Print Sub-Annex'!L94</f>
        <v>0</v>
      </c>
      <c r="L31" s="2002">
        <f>'12-A. Print Sub-Annex'!M94</f>
        <v>0</v>
      </c>
      <c r="M31" s="178">
        <f>'12-A. Print Sub-Annex'!N94</f>
        <v>0</v>
      </c>
      <c r="N31" s="2002">
        <f>'12-A. Print Sub-Annex'!O94</f>
        <v>0</v>
      </c>
      <c r="O31" s="178">
        <f>'12-A. Print Sub-Annex'!P94</f>
        <v>0</v>
      </c>
      <c r="P31" s="103">
        <f>'12-A. Print Sub-Annex'!Q94</f>
        <v>0</v>
      </c>
      <c r="Q31" s="67"/>
      <c r="R31" s="679"/>
    </row>
    <row r="32" spans="1:18" x14ac:dyDescent="0.2">
      <c r="A32" s="844">
        <f>'16.PM Annex'!A7</f>
        <v>16</v>
      </c>
      <c r="B32" s="844"/>
      <c r="C32" s="844" t="str">
        <f>'16.PM Annex'!C7</f>
        <v>Programme Management</v>
      </c>
      <c r="D32" s="845"/>
      <c r="E32" s="845"/>
      <c r="F32" s="845"/>
      <c r="G32" s="845"/>
      <c r="H32" s="528"/>
      <c r="I32" s="845"/>
      <c r="J32" s="528"/>
      <c r="K32" s="845"/>
      <c r="L32" s="845"/>
      <c r="M32" s="528"/>
      <c r="N32" s="2098"/>
      <c r="O32" s="2020">
        <f>SUM(O33:O33)</f>
        <v>0</v>
      </c>
      <c r="P32" s="2120"/>
      <c r="Q32" s="2121"/>
      <c r="R32" s="2145">
        <f>SUM(R33:R33)</f>
        <v>0</v>
      </c>
    </row>
    <row r="33" spans="1:18" ht="30" x14ac:dyDescent="0.2">
      <c r="A33" s="103" t="str">
        <f>'16-A. PM sub Annex'!B47</f>
        <v>16.1.2.1.26</v>
      </c>
      <c r="B33" s="103">
        <f>'16-A. PM sub Annex'!D47</f>
        <v>0</v>
      </c>
      <c r="C33" s="103" t="str">
        <f>'16-A. PM sub Annex'!E47</f>
        <v>Workshops, Conferences &amp; review meetings under NPHCE</v>
      </c>
      <c r="D33" s="2002" t="str">
        <f>'16-A. PM sub Annex'!F47</f>
        <v>NCD</v>
      </c>
      <c r="E33" s="2002" t="str">
        <f>'16-A. PM sub Annex'!G47</f>
        <v>HRH&amp;HPIP/NPHCE</v>
      </c>
      <c r="F33" s="2002">
        <f>'16-A. PM sub Annex'!H47</f>
        <v>0</v>
      </c>
      <c r="G33" s="2002">
        <f>'16-A. PM sub Annex'!I47</f>
        <v>0</v>
      </c>
      <c r="H33" s="2002">
        <f>'16-A. PM sub Annex'!J47</f>
        <v>0</v>
      </c>
      <c r="I33" s="2002">
        <f>'16-A. PM sub Annex'!K47</f>
        <v>0</v>
      </c>
      <c r="J33" s="2002">
        <f>'16-A. PM sub Annex'!L47</f>
        <v>0</v>
      </c>
      <c r="K33" s="2002">
        <f>'16-A. PM sub Annex'!M47</f>
        <v>0</v>
      </c>
      <c r="L33" s="2002">
        <f>'16-A. PM sub Annex'!N47</f>
        <v>0</v>
      </c>
      <c r="M33" s="178">
        <f>'16-A. PM sub Annex'!O47</f>
        <v>0</v>
      </c>
      <c r="N33" s="2002">
        <f>'16-A. PM sub Annex'!P47</f>
        <v>0</v>
      </c>
      <c r="O33" s="178">
        <f>'16-A. PM sub Annex'!Q47</f>
        <v>0</v>
      </c>
      <c r="P33" s="103">
        <f>'16-A. PM sub Annex'!R47</f>
        <v>0</v>
      </c>
      <c r="Q33" s="67"/>
      <c r="R33" s="679"/>
    </row>
    <row r="34" spans="1:18" x14ac:dyDescent="0.2">
      <c r="Q34" s="2042"/>
      <c r="R34" s="2043"/>
    </row>
  </sheetData>
  <sheetProtection sheet="1" formatCells="0" formatColumns="0" formatRows="0" autoFilter="0"/>
  <autoFilter ref="A5:M33"/>
  <mergeCells count="13">
    <mergeCell ref="A18:A19"/>
    <mergeCell ref="A11:A17"/>
    <mergeCell ref="A21:A24"/>
    <mergeCell ref="A28:A29"/>
    <mergeCell ref="Q4:R4"/>
    <mergeCell ref="E4:E5"/>
    <mergeCell ref="F4:J4"/>
    <mergeCell ref="K4:P4"/>
    <mergeCell ref="A1:C1"/>
    <mergeCell ref="A4:A5"/>
    <mergeCell ref="B4:B5"/>
    <mergeCell ref="C4:C5"/>
    <mergeCell ref="D4:D5"/>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7" tint="0.79998168889431442"/>
  </sheetPr>
  <dimension ref="A1:R41"/>
  <sheetViews>
    <sheetView zoomScale="60" zoomScaleNormal="60" workbookViewId="0">
      <pane xSplit="3" ySplit="5" topLeftCell="L6" activePane="bottomRight" state="frozen"/>
      <selection activeCell="A4" sqref="A4:R11"/>
      <selection pane="topRight" activeCell="A4" sqref="A4:R11"/>
      <selection pane="bottomLeft" activeCell="A4" sqref="A4:R11"/>
      <selection pane="bottomRight" activeCell="Q30" sqref="Q30:R31"/>
    </sheetView>
  </sheetViews>
  <sheetFormatPr defaultColWidth="10.85546875" defaultRowHeight="15" x14ac:dyDescent="0.2"/>
  <cols>
    <col min="1" max="1" width="12.85546875" style="881" customWidth="1"/>
    <col min="2" max="2" width="16.42578125" style="881" hidden="1" customWidth="1"/>
    <col min="3" max="3" width="45.85546875" style="881" customWidth="1"/>
    <col min="4" max="4" width="7.85546875" style="835" hidden="1" customWidth="1"/>
    <col min="5" max="5" width="20.140625" style="835" hidden="1" customWidth="1"/>
    <col min="6" max="6" width="22.140625" style="835" hidden="1" customWidth="1"/>
    <col min="7" max="7" width="16.140625" style="835" hidden="1" customWidth="1"/>
    <col min="8" max="8" width="17.140625" style="956" hidden="1" customWidth="1"/>
    <col min="9" max="9" width="0" style="835" hidden="1" customWidth="1"/>
    <col min="10" max="10" width="0" style="956" hidden="1" customWidth="1"/>
    <col min="11" max="11" width="16.140625" style="835" hidden="1" customWidth="1"/>
    <col min="12" max="12" width="13.5703125" style="835" customWidth="1"/>
    <col min="13" max="13" width="15.140625" style="956" hidden="1" customWidth="1"/>
    <col min="14" max="14" width="10.85546875" style="835"/>
    <col min="15" max="15" width="10.85546875" style="956"/>
    <col min="16" max="16" width="28.140625" style="881" hidden="1" customWidth="1"/>
    <col min="17" max="17" width="42.42578125" style="881" customWidth="1"/>
    <col min="18" max="16384" width="10.85546875" style="826"/>
  </cols>
  <sheetData>
    <row r="1" spans="1:18" x14ac:dyDescent="0.2">
      <c r="A1" s="4089" t="s">
        <v>2129</v>
      </c>
      <c r="B1" s="4089"/>
      <c r="C1" s="4089"/>
      <c r="D1" s="1857"/>
      <c r="E1" s="2124"/>
      <c r="F1" s="98" t="s">
        <v>3985</v>
      </c>
      <c r="G1" s="1858"/>
      <c r="H1" s="1858"/>
      <c r="I1" s="1858"/>
      <c r="J1" s="1858"/>
      <c r="K1" s="1857"/>
      <c r="L1" s="1857"/>
      <c r="M1" s="1858"/>
    </row>
    <row r="2" spans="1:18" s="2148" customFormat="1" ht="30" x14ac:dyDescent="0.25">
      <c r="A2" s="1859" t="str">
        <f>HYPERLINK("#Index!F3", "Index Pg")</f>
        <v>Index Pg</v>
      </c>
      <c r="B2" s="1367" t="str">
        <f>HYPERLINK("#'Summary of Abstracts'!A2", "Summary of Abst.")</f>
        <v>Summary of Abst.</v>
      </c>
      <c r="C2" s="831" t="str">
        <f>HYPERLINK("#'Budget Summary I'!A1:AL1", "Budget Summary I")</f>
        <v>Budget Summary I</v>
      </c>
      <c r="D2" s="2045"/>
      <c r="E2" s="1457" t="s">
        <v>4608</v>
      </c>
      <c r="F2" s="177">
        <f>M25+M20+M17+M11+M9+M6+M23+M28</f>
        <v>0</v>
      </c>
      <c r="G2" s="1103"/>
      <c r="H2" s="1103"/>
      <c r="I2" s="1103"/>
      <c r="J2" s="1103"/>
      <c r="K2" s="1104"/>
      <c r="L2" s="1104"/>
      <c r="M2" s="1103"/>
      <c r="N2" s="2050"/>
      <c r="O2" s="2146"/>
      <c r="P2" s="2147"/>
      <c r="Q2" s="2147"/>
    </row>
    <row r="3" spans="1:18" s="2134" customFormat="1" x14ac:dyDescent="0.25">
      <c r="A3" s="1863"/>
      <c r="B3" s="1864"/>
      <c r="C3" s="1937" t="str">
        <f>HYPERLINK("#'Budget Summary II'!A3:B5", "Budget Summary II")</f>
        <v>Budget Summary II</v>
      </c>
      <c r="D3" s="2045"/>
      <c r="E3" s="2136" t="s">
        <v>4609</v>
      </c>
      <c r="F3" s="725">
        <f>J25+J20+J17+J11+J9+J6+J23+J28</f>
        <v>0</v>
      </c>
      <c r="G3" s="1103"/>
      <c r="H3" s="1103"/>
      <c r="I3" s="1103"/>
      <c r="J3" s="1103"/>
      <c r="K3" s="1104"/>
      <c r="L3" s="2130"/>
      <c r="M3" s="1103"/>
      <c r="N3" s="2130"/>
      <c r="O3" s="2131"/>
      <c r="P3" s="2132"/>
      <c r="Q3" s="2132"/>
    </row>
    <row r="4" spans="1:18" s="835" customForma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s="835" customFormat="1" ht="60"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897" t="s">
        <v>63</v>
      </c>
      <c r="Q5" s="899" t="s">
        <v>2540</v>
      </c>
      <c r="R5" s="900" t="s">
        <v>4671</v>
      </c>
    </row>
    <row r="6" spans="1:18" x14ac:dyDescent="0.2">
      <c r="A6" s="2032">
        <f>'2.SD Community Based Annex'!A7</f>
        <v>2</v>
      </c>
      <c r="B6" s="2032"/>
      <c r="C6" s="2032" t="str">
        <f>'2.SD Community Based Annex'!C7</f>
        <v>Service Delivery - Community Based</v>
      </c>
      <c r="D6" s="724"/>
      <c r="E6" s="724"/>
      <c r="F6" s="2019"/>
      <c r="G6" s="2019"/>
      <c r="H6" s="2020"/>
      <c r="I6" s="2019"/>
      <c r="J6" s="528"/>
      <c r="K6" s="2019"/>
      <c r="L6" s="2019"/>
      <c r="M6" s="528"/>
      <c r="N6" s="2098"/>
      <c r="O6" s="2119">
        <f>SUM(O7:O8)</f>
        <v>0</v>
      </c>
      <c r="P6" s="2120"/>
      <c r="Q6" s="2120"/>
      <c r="R6" s="2119">
        <f>SUM(R7:R8)</f>
        <v>0</v>
      </c>
    </row>
    <row r="7" spans="1:18" x14ac:dyDescent="0.2">
      <c r="A7" s="2040" t="str">
        <f>'2.SD Community Based Annex'!A60</f>
        <v>2.3.3.4.1</v>
      </c>
      <c r="B7" s="2040" t="str">
        <f>'2.SD Community Based Annex'!B60</f>
        <v>M.1.2.1</v>
      </c>
      <c r="C7" s="2040" t="str">
        <f>'2.SD Community Based Annex'!C60</f>
        <v>Coverage of Public School and Pvt School</v>
      </c>
      <c r="D7" s="979" t="str">
        <f>'2.SD Community Based Annex'!D60</f>
        <v>NCD</v>
      </c>
      <c r="E7" s="979" t="str">
        <f>'2.SD Community Based Annex'!E60</f>
        <v>NTCP</v>
      </c>
      <c r="F7" s="979">
        <f>'2.SD Community Based Annex'!F60</f>
        <v>0</v>
      </c>
      <c r="G7" s="979">
        <f>'2.SD Community Based Annex'!G60</f>
        <v>0</v>
      </c>
      <c r="H7" s="979">
        <f>'2.SD Community Based Annex'!H60</f>
        <v>0</v>
      </c>
      <c r="I7" s="979">
        <f>'2.SD Community Based Annex'!I60</f>
        <v>0</v>
      </c>
      <c r="J7" s="979">
        <f>'2.SD Community Based Annex'!J60</f>
        <v>0</v>
      </c>
      <c r="K7" s="979">
        <f>'2.SD Community Based Annex'!K60</f>
        <v>0</v>
      </c>
      <c r="L7" s="979">
        <f>'2.SD Community Based Annex'!L60</f>
        <v>0</v>
      </c>
      <c r="M7" s="178">
        <f>'2.SD Community Based Annex'!M60</f>
        <v>0</v>
      </c>
      <c r="N7" s="979">
        <f>'2.SD Community Based Annex'!N60</f>
        <v>0</v>
      </c>
      <c r="O7" s="178">
        <f>'2.SD Community Based Annex'!O60</f>
        <v>0</v>
      </c>
      <c r="P7" s="2040">
        <f>'2.SD Community Based Annex'!P60</f>
        <v>0</v>
      </c>
      <c r="Q7" s="67"/>
      <c r="R7" s="679"/>
    </row>
    <row r="8" spans="1:18" ht="30" x14ac:dyDescent="0.2">
      <c r="A8" s="103" t="str">
        <f>'2.SD Community Based Annex'!A64</f>
        <v>2.3.3.4.5</v>
      </c>
      <c r="B8" s="103" t="str">
        <f>'2.SD Community Based Annex'!B64</f>
        <v>M.1.2.5</v>
      </c>
      <c r="C8" s="103" t="str">
        <f>'2.SD Community Based Annex'!C64</f>
        <v>Sensitization campaign for college students and other educational institutions</v>
      </c>
      <c r="D8" s="2002" t="str">
        <f>'2.SD Community Based Annex'!D64</f>
        <v>NCD</v>
      </c>
      <c r="E8" s="2002" t="str">
        <f>'2.SD Community Based Annex'!E64</f>
        <v>NTCP</v>
      </c>
      <c r="F8" s="2002">
        <f>'2.SD Community Based Annex'!F64</f>
        <v>0</v>
      </c>
      <c r="G8" s="2002">
        <f>'2.SD Community Based Annex'!G64</f>
        <v>0</v>
      </c>
      <c r="H8" s="2002">
        <f>'2.SD Community Based Annex'!H64</f>
        <v>0</v>
      </c>
      <c r="I8" s="2002">
        <f>'2.SD Community Based Annex'!I64</f>
        <v>0</v>
      </c>
      <c r="J8" s="2002">
        <f>'2.SD Community Based Annex'!J64</f>
        <v>0</v>
      </c>
      <c r="K8" s="2002">
        <f>'2.SD Community Based Annex'!K64</f>
        <v>0</v>
      </c>
      <c r="L8" s="2002">
        <f>'2.SD Community Based Annex'!L64</f>
        <v>0</v>
      </c>
      <c r="M8" s="178">
        <f>'2.SD Community Based Annex'!M64</f>
        <v>0</v>
      </c>
      <c r="N8" s="2002">
        <f>'2.SD Community Based Annex'!N64</f>
        <v>0</v>
      </c>
      <c r="O8" s="178">
        <f>'2.SD Community Based Annex'!O64</f>
        <v>0</v>
      </c>
      <c r="P8" s="103">
        <f>'2.SD Community Based Annex'!P64</f>
        <v>0</v>
      </c>
      <c r="Q8" s="67"/>
      <c r="R8" s="679"/>
    </row>
    <row r="9" spans="1:18" x14ac:dyDescent="0.2">
      <c r="A9" s="2032">
        <f>'3.Community Intervention Annexn'!A7</f>
        <v>3</v>
      </c>
      <c r="B9" s="2032"/>
      <c r="C9" s="2032" t="str">
        <f>'3.Community Intervention Annexn'!C7</f>
        <v>Community Interventions</v>
      </c>
      <c r="D9" s="724"/>
      <c r="E9" s="724"/>
      <c r="F9" s="2019"/>
      <c r="G9" s="2019"/>
      <c r="H9" s="2020"/>
      <c r="I9" s="2019"/>
      <c r="J9" s="528"/>
      <c r="K9" s="2019"/>
      <c r="L9" s="2019"/>
      <c r="M9" s="528"/>
      <c r="N9" s="2098"/>
      <c r="O9" s="2119">
        <f>O10</f>
        <v>0</v>
      </c>
      <c r="P9" s="2120"/>
      <c r="Q9" s="2121"/>
      <c r="R9" s="2122">
        <f>R10</f>
        <v>0</v>
      </c>
    </row>
    <row r="10" spans="1:18" ht="45" x14ac:dyDescent="0.2">
      <c r="A10" s="103" t="str">
        <f>'3.Community Intervention Annexn'!A54</f>
        <v>3.3.3.2</v>
      </c>
      <c r="B10" s="103" t="str">
        <f>'3.Community Intervention Annexn'!B54</f>
        <v>M.1.1.4</v>
      </c>
      <c r="C10" s="103" t="str">
        <f>'3.Community Intervention Annexn'!C54</f>
        <v>Training of PRI's representatives/ Police personnel/ Teachers/ Transport personnel/ NGO personnel/ other stakeholders</v>
      </c>
      <c r="D10" s="2002" t="str">
        <f>'3.Community Intervention Annexn'!D54</f>
        <v>NCD</v>
      </c>
      <c r="E10" s="2002" t="str">
        <f>'3.Community Intervention Annexn'!E54</f>
        <v>NTCP</v>
      </c>
      <c r="F10" s="2002">
        <f>'3.Community Intervention Annexn'!F54</f>
        <v>10</v>
      </c>
      <c r="G10" s="2002">
        <f>'3.Community Intervention Annexn'!G54</f>
        <v>0</v>
      </c>
      <c r="H10" s="2002">
        <f>'3.Community Intervention Annexn'!H54</f>
        <v>1.5</v>
      </c>
      <c r="I10" s="2002">
        <f>'3.Community Intervention Annexn'!I54</f>
        <v>0</v>
      </c>
      <c r="J10" s="2002">
        <f>'3.Community Intervention Annexn'!J54</f>
        <v>0</v>
      </c>
      <c r="K10" s="2002">
        <f>'3.Community Intervention Annexn'!K54</f>
        <v>0</v>
      </c>
      <c r="L10" s="2002">
        <f>'3.Community Intervention Annexn'!L54</f>
        <v>0</v>
      </c>
      <c r="M10" s="178">
        <f>'3.Community Intervention Annexn'!M54</f>
        <v>0</v>
      </c>
      <c r="N10" s="2002">
        <f>'3.Community Intervention Annexn'!N54</f>
        <v>0</v>
      </c>
      <c r="O10" s="178">
        <f>'3.Community Intervention Annexn'!O54</f>
        <v>0</v>
      </c>
      <c r="P10" s="103">
        <f>'3.Community Intervention Annexn'!P54</f>
        <v>0</v>
      </c>
      <c r="Q10" s="67"/>
      <c r="R10" s="679"/>
    </row>
    <row r="11" spans="1:18" x14ac:dyDescent="0.2">
      <c r="A11" s="724">
        <f>'6.Procurement Annex'!A7</f>
        <v>6</v>
      </c>
      <c r="B11" s="724"/>
      <c r="C11" s="2032" t="e">
        <f>'6-A. Proc. Sub-Annex'!#REF!</f>
        <v>#REF!</v>
      </c>
      <c r="D11" s="724"/>
      <c r="E11" s="724"/>
      <c r="F11" s="2019"/>
      <c r="G11" s="2019"/>
      <c r="H11" s="2020"/>
      <c r="I11" s="2019"/>
      <c r="J11" s="528"/>
      <c r="K11" s="2019"/>
      <c r="L11" s="2019"/>
      <c r="M11" s="528"/>
      <c r="N11" s="2098"/>
      <c r="O11" s="2119">
        <f>SUM(O12:O16)</f>
        <v>0</v>
      </c>
      <c r="P11" s="2120"/>
      <c r="Q11" s="2121"/>
      <c r="R11" s="2122">
        <f>SUM(R12:R16)</f>
        <v>0</v>
      </c>
    </row>
    <row r="12" spans="1:18" x14ac:dyDescent="0.2">
      <c r="A12" s="4072" t="str">
        <f>'6.Procurement Annex'!A39</f>
        <v>6.1.5.4</v>
      </c>
      <c r="B12" s="2002" t="str">
        <f>'6-A. Proc. Sub-Annex'!C110</f>
        <v>M.1.5.1</v>
      </c>
      <c r="C12" s="103" t="str">
        <f>'6-A. Proc. Sub-Annex'!D110</f>
        <v>Non-recurring: Equipment for DTCC</v>
      </c>
      <c r="D12" s="2002" t="str">
        <f>'6-A. Proc. Sub-Annex'!E110</f>
        <v>NCD</v>
      </c>
      <c r="E12" s="2002" t="str">
        <f>'6-A. Proc. Sub-Annex'!F110</f>
        <v>NTCP</v>
      </c>
      <c r="F12" s="2002">
        <f>'6-A. Proc. Sub-Annex'!G110</f>
        <v>0</v>
      </c>
      <c r="G12" s="2002">
        <f>'6-A. Proc. Sub-Annex'!H110</f>
        <v>0</v>
      </c>
      <c r="H12" s="2002">
        <f>'6-A. Proc. Sub-Annex'!I110</f>
        <v>0</v>
      </c>
      <c r="I12" s="2002">
        <f>'6-A. Proc. Sub-Annex'!J110</f>
        <v>0</v>
      </c>
      <c r="J12" s="2002">
        <f>'6-A. Proc. Sub-Annex'!K110</f>
        <v>0</v>
      </c>
      <c r="K12" s="2002">
        <f>'6-A. Proc. Sub-Annex'!L110</f>
        <v>0</v>
      </c>
      <c r="L12" s="2002">
        <f>'6-A. Proc. Sub-Annex'!M110</f>
        <v>0</v>
      </c>
      <c r="M12" s="178">
        <f>'6-A. Proc. Sub-Annex'!N110</f>
        <v>0</v>
      </c>
      <c r="N12" s="2002">
        <f>'6-A. Proc. Sub-Annex'!O110</f>
        <v>0</v>
      </c>
      <c r="O12" s="178">
        <f>'6-A. Proc. Sub-Annex'!P110</f>
        <v>0</v>
      </c>
      <c r="P12" s="103">
        <f>'6-A. Proc. Sub-Annex'!Q110</f>
        <v>0</v>
      </c>
      <c r="Q12" s="67"/>
      <c r="R12" s="679"/>
    </row>
    <row r="13" spans="1:18" x14ac:dyDescent="0.2">
      <c r="A13" s="4072"/>
      <c r="B13" s="2002" t="str">
        <f>'6-A. Proc. Sub-Annex'!C111</f>
        <v>M.2.3.1</v>
      </c>
      <c r="C13" s="103" t="str">
        <f>'6-A. Proc. Sub-Annex'!D111</f>
        <v>Non-recurring: Equipment for TCC</v>
      </c>
      <c r="D13" s="2002" t="str">
        <f>'6-A. Proc. Sub-Annex'!E111</f>
        <v>NCD</v>
      </c>
      <c r="E13" s="2002" t="str">
        <f>'6-A. Proc. Sub-Annex'!F111</f>
        <v>NTCP</v>
      </c>
      <c r="F13" s="2002">
        <f>'6-A. Proc. Sub-Annex'!G111</f>
        <v>0</v>
      </c>
      <c r="G13" s="2002">
        <f>'6-A. Proc. Sub-Annex'!H111</f>
        <v>0</v>
      </c>
      <c r="H13" s="2002">
        <f>'6-A. Proc. Sub-Annex'!I111</f>
        <v>0</v>
      </c>
      <c r="I13" s="2002">
        <f>'6-A. Proc. Sub-Annex'!J111</f>
        <v>0</v>
      </c>
      <c r="J13" s="2002">
        <f>'6-A. Proc. Sub-Annex'!K111</f>
        <v>0</v>
      </c>
      <c r="K13" s="2002">
        <f>'6-A. Proc. Sub-Annex'!L111</f>
        <v>0</v>
      </c>
      <c r="L13" s="2002">
        <f>'6-A. Proc. Sub-Annex'!M111</f>
        <v>0</v>
      </c>
      <c r="M13" s="178">
        <f>'6-A. Proc. Sub-Annex'!N111</f>
        <v>0</v>
      </c>
      <c r="N13" s="2002">
        <f>'6-A. Proc. Sub-Annex'!O111</f>
        <v>0</v>
      </c>
      <c r="O13" s="178">
        <f>'6-A. Proc. Sub-Annex'!P111</f>
        <v>0</v>
      </c>
      <c r="P13" s="103">
        <f>'6-A. Proc. Sub-Annex'!Q111</f>
        <v>0</v>
      </c>
      <c r="Q13" s="67"/>
      <c r="R13" s="679"/>
    </row>
    <row r="14" spans="1:18" x14ac:dyDescent="0.2">
      <c r="A14" s="4072"/>
      <c r="B14" s="2002">
        <f>'6-A. Proc. Sub-Annex'!C112</f>
        <v>0</v>
      </c>
      <c r="C14" s="103" t="str">
        <f>'6-A. Proc. Sub-Annex'!D112</f>
        <v>Any other equipment (please specify)</v>
      </c>
      <c r="D14" s="2002" t="str">
        <f>'6-A. Proc. Sub-Annex'!E112</f>
        <v>NCD</v>
      </c>
      <c r="E14" s="2002" t="str">
        <f>'6-A. Proc. Sub-Annex'!F112</f>
        <v>NTCP</v>
      </c>
      <c r="F14" s="2002">
        <f>'6-A. Proc. Sub-Annex'!G112</f>
        <v>0</v>
      </c>
      <c r="G14" s="2002">
        <f>'6-A. Proc. Sub-Annex'!H112</f>
        <v>0</v>
      </c>
      <c r="H14" s="2002">
        <f>'6-A. Proc. Sub-Annex'!I112</f>
        <v>0</v>
      </c>
      <c r="I14" s="2002">
        <f>'6-A. Proc. Sub-Annex'!J112</f>
        <v>0</v>
      </c>
      <c r="J14" s="2002">
        <f>'6-A. Proc. Sub-Annex'!K112</f>
        <v>0</v>
      </c>
      <c r="K14" s="2002">
        <f>'6-A. Proc. Sub-Annex'!L112</f>
        <v>0</v>
      </c>
      <c r="L14" s="2002">
        <f>'6-A. Proc. Sub-Annex'!M112</f>
        <v>0</v>
      </c>
      <c r="M14" s="178">
        <f>'6-A. Proc. Sub-Annex'!N112</f>
        <v>0</v>
      </c>
      <c r="N14" s="2002">
        <f>'6-A. Proc. Sub-Annex'!O112</f>
        <v>0</v>
      </c>
      <c r="O14" s="178">
        <f>'6-A. Proc. Sub-Annex'!P112</f>
        <v>0</v>
      </c>
      <c r="P14" s="103">
        <f>'6-A. Proc. Sub-Annex'!Q112</f>
        <v>0</v>
      </c>
      <c r="Q14" s="67"/>
      <c r="R14" s="679"/>
    </row>
    <row r="15" spans="1:18" ht="30" x14ac:dyDescent="0.2">
      <c r="A15" s="4072" t="str">
        <f>'6.Procurement Annex'!A82</f>
        <v>6.2.4.4</v>
      </c>
      <c r="B15" s="2002" t="str">
        <f>'6-A. Proc. Sub-Annex'!C260</f>
        <v>B.16.2.11.7</v>
      </c>
      <c r="C15" s="103" t="str">
        <f>'6-A. Proc. Sub-Annex'!D260</f>
        <v>Procurement of medicine &amp; consumables for TCC under NTCP</v>
      </c>
      <c r="D15" s="2002" t="str">
        <f>'6-A. Proc. Sub-Annex'!E260</f>
        <v>NCD</v>
      </c>
      <c r="E15" s="2002" t="str">
        <f>'6-A. Proc. Sub-Annex'!F260</f>
        <v>NTCP</v>
      </c>
      <c r="F15" s="2002">
        <f>'6-A. Proc. Sub-Annex'!G260</f>
        <v>0</v>
      </c>
      <c r="G15" s="2002">
        <f>'6-A. Proc. Sub-Annex'!H260</f>
        <v>0</v>
      </c>
      <c r="H15" s="2002">
        <f>'6-A. Proc. Sub-Annex'!I260</f>
        <v>0</v>
      </c>
      <c r="I15" s="2002">
        <f>'6-A. Proc. Sub-Annex'!J260</f>
        <v>0</v>
      </c>
      <c r="J15" s="2002">
        <f>'6-A. Proc. Sub-Annex'!K260</f>
        <v>0</v>
      </c>
      <c r="K15" s="2002">
        <f>'6-A. Proc. Sub-Annex'!L260</f>
        <v>0</v>
      </c>
      <c r="L15" s="2002">
        <f>'6-A. Proc. Sub-Annex'!M260</f>
        <v>0</v>
      </c>
      <c r="M15" s="178">
        <f>'6-A. Proc. Sub-Annex'!N260</f>
        <v>0</v>
      </c>
      <c r="N15" s="2002">
        <f>'6-A. Proc. Sub-Annex'!O260</f>
        <v>0</v>
      </c>
      <c r="O15" s="178">
        <f>'6-A. Proc. Sub-Annex'!P260</f>
        <v>0</v>
      </c>
      <c r="P15" s="103">
        <f>'6-A. Proc. Sub-Annex'!Q260</f>
        <v>0</v>
      </c>
      <c r="Q15" s="67"/>
      <c r="R15" s="679"/>
    </row>
    <row r="16" spans="1:18" x14ac:dyDescent="0.2">
      <c r="A16" s="4072"/>
      <c r="B16" s="2002">
        <f>'6-A. Proc. Sub-Annex'!C261</f>
        <v>0</v>
      </c>
      <c r="C16" s="103" t="str">
        <f>'6-A. Proc. Sub-Annex'!D261</f>
        <v>Any other drugs &amp; supplies (please specify)</v>
      </c>
      <c r="D16" s="2002" t="str">
        <f>'6-A. Proc. Sub-Annex'!E261</f>
        <v>NCD</v>
      </c>
      <c r="E16" s="2002" t="str">
        <f>'6-A. Proc. Sub-Annex'!F261</f>
        <v>NTCP</v>
      </c>
      <c r="F16" s="2002">
        <f>'6-A. Proc. Sub-Annex'!G261</f>
        <v>0</v>
      </c>
      <c r="G16" s="2002">
        <f>'6-A. Proc. Sub-Annex'!H261</f>
        <v>0</v>
      </c>
      <c r="H16" s="2002">
        <f>'6-A. Proc. Sub-Annex'!I261</f>
        <v>0</v>
      </c>
      <c r="I16" s="2002">
        <f>'6-A. Proc. Sub-Annex'!J261</f>
        <v>0</v>
      </c>
      <c r="J16" s="2002">
        <f>'6-A. Proc. Sub-Annex'!K261</f>
        <v>0</v>
      </c>
      <c r="K16" s="2002">
        <f>'6-A. Proc. Sub-Annex'!L261</f>
        <v>0</v>
      </c>
      <c r="L16" s="2002">
        <f>'6-A. Proc. Sub-Annex'!M261</f>
        <v>0</v>
      </c>
      <c r="M16" s="178">
        <f>'6-A. Proc. Sub-Annex'!N261</f>
        <v>0</v>
      </c>
      <c r="N16" s="2002">
        <f>'6-A. Proc. Sub-Annex'!O261</f>
        <v>0</v>
      </c>
      <c r="O16" s="178">
        <f>'6-A. Proc. Sub-Annex'!P261</f>
        <v>0</v>
      </c>
      <c r="P16" s="103">
        <f>'6-A. Proc. Sub-Annex'!Q261</f>
        <v>0</v>
      </c>
      <c r="Q16" s="67"/>
      <c r="R16" s="679"/>
    </row>
    <row r="17" spans="1:18" x14ac:dyDescent="0.2">
      <c r="A17" s="724">
        <f>'9.Training Annex'!A7</f>
        <v>9</v>
      </c>
      <c r="B17" s="724"/>
      <c r="C17" s="2032" t="str">
        <f>'9.Training Annex'!C7</f>
        <v>Training and Capacity Building</v>
      </c>
      <c r="D17" s="724"/>
      <c r="E17" s="724"/>
      <c r="F17" s="2019"/>
      <c r="G17" s="2019"/>
      <c r="H17" s="2020"/>
      <c r="I17" s="2019"/>
      <c r="J17" s="528"/>
      <c r="K17" s="2019"/>
      <c r="L17" s="2019"/>
      <c r="M17" s="528"/>
      <c r="N17" s="2098"/>
      <c r="O17" s="2119">
        <f>SUM(O18:O19)</f>
        <v>0</v>
      </c>
      <c r="P17" s="2120"/>
      <c r="Q17" s="2121"/>
      <c r="R17" s="2122">
        <f>SUM(R18:R19)</f>
        <v>0</v>
      </c>
    </row>
    <row r="18" spans="1:18" x14ac:dyDescent="0.2">
      <c r="A18" s="4072" t="str">
        <f>'9.Training Annex'!A58</f>
        <v>9.2.4.4</v>
      </c>
      <c r="B18" s="2002" t="str">
        <f>'9-A.Training Sub-Annex'!C260</f>
        <v>M.1.1</v>
      </c>
      <c r="C18" s="103" t="str">
        <f>'9-A.Training Sub-Annex'!D260</f>
        <v>Trainings under NTCP at District level</v>
      </c>
      <c r="D18" s="2002" t="str">
        <f>'9-A.Training Sub-Annex'!E260</f>
        <v>NCD</v>
      </c>
      <c r="E18" s="2002" t="str">
        <f>'9-A.Training Sub-Annex'!F260</f>
        <v>NTCP</v>
      </c>
      <c r="F18" s="2002">
        <f>'9-A.Training Sub-Annex'!G260</f>
        <v>0</v>
      </c>
      <c r="G18" s="2002">
        <f>'9-A.Training Sub-Annex'!H260</f>
        <v>0</v>
      </c>
      <c r="H18" s="2002">
        <f>'9-A.Training Sub-Annex'!I260</f>
        <v>0</v>
      </c>
      <c r="I18" s="2002">
        <f>'9-A.Training Sub-Annex'!J260</f>
        <v>0</v>
      </c>
      <c r="J18" s="2002">
        <f>'9-A.Training Sub-Annex'!K260</f>
        <v>0</v>
      </c>
      <c r="K18" s="2002">
        <f>'9-A.Training Sub-Annex'!L260</f>
        <v>0</v>
      </c>
      <c r="L18" s="2002">
        <f>'9-A.Training Sub-Annex'!M260</f>
        <v>0</v>
      </c>
      <c r="M18" s="178">
        <f>'9-A.Training Sub-Annex'!N260</f>
        <v>0</v>
      </c>
      <c r="N18" s="2002">
        <f>'9-A.Training Sub-Annex'!O260</f>
        <v>0</v>
      </c>
      <c r="O18" s="178">
        <f>'9-A.Training Sub-Annex'!P260</f>
        <v>0</v>
      </c>
      <c r="P18" s="103">
        <f>'9-A.Training Sub-Annex'!Q260</f>
        <v>0</v>
      </c>
      <c r="Q18" s="67"/>
      <c r="R18" s="679"/>
    </row>
    <row r="19" spans="1:18" x14ac:dyDescent="0.2">
      <c r="A19" s="4072"/>
      <c r="B19" s="2002" t="str">
        <f>'9-A.Training Sub-Annex'!C261</f>
        <v>M.3.1</v>
      </c>
      <c r="C19" s="103" t="str">
        <f>'9-A.Training Sub-Annex'!D261</f>
        <v>Trainings under NTCP at State level</v>
      </c>
      <c r="D19" s="2002" t="str">
        <f>'9-A.Training Sub-Annex'!E261</f>
        <v>NCD</v>
      </c>
      <c r="E19" s="2002" t="str">
        <f>'9-A.Training Sub-Annex'!F261</f>
        <v>NTCP</v>
      </c>
      <c r="F19" s="2002">
        <f>'9-A.Training Sub-Annex'!G261</f>
        <v>0</v>
      </c>
      <c r="G19" s="2002">
        <f>'9-A.Training Sub-Annex'!H261</f>
        <v>0</v>
      </c>
      <c r="H19" s="2002">
        <f>'9-A.Training Sub-Annex'!I261</f>
        <v>0</v>
      </c>
      <c r="I19" s="2002">
        <f>'9-A.Training Sub-Annex'!J261</f>
        <v>0</v>
      </c>
      <c r="J19" s="2002">
        <f>'9-A.Training Sub-Annex'!K261</f>
        <v>0</v>
      </c>
      <c r="K19" s="2002">
        <f>'9-A.Training Sub-Annex'!L261</f>
        <v>0</v>
      </c>
      <c r="L19" s="2002">
        <f>'9-A.Training Sub-Annex'!M261</f>
        <v>0</v>
      </c>
      <c r="M19" s="178">
        <f>'9-A.Training Sub-Annex'!N261</f>
        <v>0</v>
      </c>
      <c r="N19" s="2002">
        <f>'9-A.Training Sub-Annex'!O261</f>
        <v>0</v>
      </c>
      <c r="O19" s="178">
        <f>'9-A.Training Sub-Annex'!P261</f>
        <v>0</v>
      </c>
      <c r="P19" s="103">
        <f>'9-A.Training Sub-Annex'!Q261</f>
        <v>0</v>
      </c>
      <c r="Q19" s="67"/>
      <c r="R19" s="679"/>
    </row>
    <row r="20" spans="1:18" x14ac:dyDescent="0.2">
      <c r="A20" s="724">
        <f>'10.Review Research &amp; Surveillen'!A7</f>
        <v>10</v>
      </c>
      <c r="B20" s="724"/>
      <c r="C20" s="2032" t="str">
        <f>'10.Review Research &amp; Surveillen'!C7</f>
        <v>Reviews, Research, Surveys and Surveillance</v>
      </c>
      <c r="D20" s="724"/>
      <c r="E20" s="724"/>
      <c r="F20" s="2019"/>
      <c r="G20" s="2019"/>
      <c r="H20" s="2020"/>
      <c r="I20" s="2019"/>
      <c r="J20" s="528"/>
      <c r="K20" s="2019"/>
      <c r="L20" s="2019"/>
      <c r="M20" s="528"/>
      <c r="N20" s="2098"/>
      <c r="O20" s="2119">
        <f>SUM(O21:O22)</f>
        <v>0</v>
      </c>
      <c r="P20" s="2120"/>
      <c r="Q20" s="2121"/>
      <c r="R20" s="2122">
        <f>SUM(R21:R22)</f>
        <v>0</v>
      </c>
    </row>
    <row r="21" spans="1:18" ht="30" x14ac:dyDescent="0.2">
      <c r="A21" s="2041" t="str">
        <f>'10.Review Research &amp; Surveillen'!A27</f>
        <v>10.2.10</v>
      </c>
      <c r="B21" s="2041" t="str">
        <f>'10.Review Research &amp; Surveillen'!B27</f>
        <v>M.1.3.4</v>
      </c>
      <c r="C21" s="2014" t="str">
        <f>'10.Review Research &amp; Surveillen'!C27</f>
        <v>Baseline/Endline surveys/ Research studies (DTCC)</v>
      </c>
      <c r="D21" s="2041" t="str">
        <f>'10.Review Research &amp; Surveillen'!D27</f>
        <v>NCD</v>
      </c>
      <c r="E21" s="2041" t="str">
        <f>'10.Review Research &amp; Surveillen'!E27</f>
        <v>NTCP</v>
      </c>
      <c r="F21" s="2055">
        <f>'10.Review Research &amp; Surveillen'!F27</f>
        <v>0</v>
      </c>
      <c r="G21" s="2055">
        <f>'10.Review Research &amp; Surveillen'!G27</f>
        <v>0</v>
      </c>
      <c r="H21" s="2055">
        <f>'10.Review Research &amp; Surveillen'!H27</f>
        <v>0</v>
      </c>
      <c r="I21" s="2055">
        <f>'10.Review Research &amp; Surveillen'!I27</f>
        <v>0</v>
      </c>
      <c r="J21" s="2055">
        <f>'10.Review Research &amp; Surveillen'!J27</f>
        <v>0</v>
      </c>
      <c r="K21" s="2055">
        <f>'10.Review Research &amp; Surveillen'!K27</f>
        <v>0</v>
      </c>
      <c r="L21" s="2055">
        <f>'10.Review Research &amp; Surveillen'!L27</f>
        <v>0</v>
      </c>
      <c r="M21" s="178">
        <f>'10.Review Research &amp; Surveillen'!M27</f>
        <v>0</v>
      </c>
      <c r="N21" s="2055">
        <f>'10.Review Research &amp; Surveillen'!N27</f>
        <v>0</v>
      </c>
      <c r="O21" s="178">
        <f>'10.Review Research &amp; Surveillen'!O27</f>
        <v>0</v>
      </c>
      <c r="P21" s="2015">
        <f>'10.Review Research &amp; Surveillen'!P27</f>
        <v>0</v>
      </c>
      <c r="Q21" s="67"/>
      <c r="R21" s="679"/>
    </row>
    <row r="22" spans="1:18" ht="30" x14ac:dyDescent="0.2">
      <c r="A22" s="2041" t="str">
        <f>'10.Review Research &amp; Surveillen'!A28</f>
        <v>10.2.11</v>
      </c>
      <c r="B22" s="2041" t="str">
        <f>'10.Review Research &amp; Surveillen'!B28</f>
        <v>M.3.2.2</v>
      </c>
      <c r="C22" s="2014" t="str">
        <f>'10.Review Research &amp; Surveillen'!C28</f>
        <v>Baseline/Endline surveys/ Research studies (STCC)</v>
      </c>
      <c r="D22" s="2041" t="str">
        <f>'10.Review Research &amp; Surveillen'!D28</f>
        <v>NCD</v>
      </c>
      <c r="E22" s="2041" t="str">
        <f>'10.Review Research &amp; Surveillen'!E28</f>
        <v>NTCP</v>
      </c>
      <c r="F22" s="2055">
        <f>'10.Review Research &amp; Surveillen'!F28</f>
        <v>0</v>
      </c>
      <c r="G22" s="2055">
        <f>'10.Review Research &amp; Surveillen'!G28</f>
        <v>0</v>
      </c>
      <c r="H22" s="2055">
        <f>'10.Review Research &amp; Surveillen'!H28</f>
        <v>0</v>
      </c>
      <c r="I22" s="2055">
        <f>'10.Review Research &amp; Surveillen'!I28</f>
        <v>0</v>
      </c>
      <c r="J22" s="2055">
        <f>'10.Review Research &amp; Surveillen'!J28</f>
        <v>0</v>
      </c>
      <c r="K22" s="2055">
        <f>'10.Review Research &amp; Surveillen'!K28</f>
        <v>0</v>
      </c>
      <c r="L22" s="2055">
        <f>'10.Review Research &amp; Surveillen'!L28</f>
        <v>0</v>
      </c>
      <c r="M22" s="178">
        <f>'10.Review Research &amp; Surveillen'!M28</f>
        <v>0</v>
      </c>
      <c r="N22" s="2055">
        <f>'10.Review Research &amp; Surveillen'!N28</f>
        <v>0</v>
      </c>
      <c r="O22" s="178">
        <f>'10.Review Research &amp; Surveillen'!O28</f>
        <v>0</v>
      </c>
      <c r="P22" s="2015">
        <f>'10.Review Research &amp; Surveillen'!P28</f>
        <v>0</v>
      </c>
      <c r="Q22" s="67"/>
      <c r="R22" s="679"/>
    </row>
    <row r="23" spans="1:18" x14ac:dyDescent="0.2">
      <c r="A23" s="724">
        <f>'11.IEC-BCC Annex'!A7</f>
        <v>11</v>
      </c>
      <c r="B23" s="724"/>
      <c r="C23" s="2032" t="str">
        <f>'11.IEC-BCC Annex'!C7</f>
        <v>IEC/BCC</v>
      </c>
      <c r="D23" s="724"/>
      <c r="E23" s="724"/>
      <c r="F23" s="724"/>
      <c r="G23" s="724"/>
      <c r="H23" s="528"/>
      <c r="I23" s="724"/>
      <c r="J23" s="528"/>
      <c r="K23" s="724"/>
      <c r="L23" s="724"/>
      <c r="M23" s="528"/>
      <c r="N23" s="2098"/>
      <c r="O23" s="2119">
        <f>O24</f>
        <v>0</v>
      </c>
      <c r="P23" s="2120"/>
      <c r="Q23" s="2121"/>
      <c r="R23" s="2122">
        <f>R24</f>
        <v>0</v>
      </c>
    </row>
    <row r="24" spans="1:18" x14ac:dyDescent="0.2">
      <c r="A24" s="2041" t="str">
        <f>'11.IEC-BCC Annex'!A35</f>
        <v>11.4.4</v>
      </c>
      <c r="B24" s="2041" t="str">
        <f>'11-A. IEC Sub-Annex'!C88</f>
        <v>B.10.6.14</v>
      </c>
      <c r="C24" s="2014" t="str">
        <f>'11-A. IEC Sub-Annex'!D88</f>
        <v>IEC/BCC for NTCP</v>
      </c>
      <c r="D24" s="2041" t="str">
        <f>'11-A. IEC Sub-Annex'!E88</f>
        <v>NCD</v>
      </c>
      <c r="E24" s="2041" t="str">
        <f>'11-A. IEC Sub-Annex'!F88</f>
        <v>NTCP</v>
      </c>
      <c r="F24" s="2055">
        <f>'11-A. IEC Sub-Annex'!G88</f>
        <v>0</v>
      </c>
      <c r="G24" s="2055">
        <f>'11-A. IEC Sub-Annex'!H88</f>
        <v>0</v>
      </c>
      <c r="H24" s="2055">
        <f>'11-A. IEC Sub-Annex'!I88</f>
        <v>0</v>
      </c>
      <c r="I24" s="2055">
        <f>'11-A. IEC Sub-Annex'!J88</f>
        <v>0</v>
      </c>
      <c r="J24" s="2055">
        <f>'11-A. IEC Sub-Annex'!K88</f>
        <v>0</v>
      </c>
      <c r="K24" s="2055">
        <f>'11-A. IEC Sub-Annex'!L88</f>
        <v>0</v>
      </c>
      <c r="L24" s="2055">
        <f>'11-A. IEC Sub-Annex'!M88</f>
        <v>0</v>
      </c>
      <c r="M24" s="178">
        <f>'11-A. IEC Sub-Annex'!N88</f>
        <v>0</v>
      </c>
      <c r="N24" s="2055">
        <f>'11-A. IEC Sub-Annex'!O88</f>
        <v>0</v>
      </c>
      <c r="O24" s="178">
        <f>'11-A. IEC Sub-Annex'!P88</f>
        <v>0</v>
      </c>
      <c r="P24" s="2015">
        <f>'11-A. IEC Sub-Annex'!Q88</f>
        <v>0</v>
      </c>
      <c r="Q24" s="67"/>
      <c r="R24" s="679"/>
    </row>
    <row r="25" spans="1:18" x14ac:dyDescent="0.2">
      <c r="A25" s="724">
        <f>'12.Printing Annex'!A7</f>
        <v>12</v>
      </c>
      <c r="B25" s="724"/>
      <c r="C25" s="2032" t="str">
        <f>'12.Printing Annex'!C7</f>
        <v>Printing</v>
      </c>
      <c r="D25" s="724"/>
      <c r="E25" s="724"/>
      <c r="F25" s="724"/>
      <c r="G25" s="724"/>
      <c r="H25" s="528"/>
      <c r="I25" s="724"/>
      <c r="J25" s="528"/>
      <c r="K25" s="724"/>
      <c r="L25" s="724"/>
      <c r="M25" s="528"/>
      <c r="N25" s="2098"/>
      <c r="O25" s="2119">
        <f>SUM(O26:O27)</f>
        <v>0</v>
      </c>
      <c r="P25" s="2120"/>
      <c r="Q25" s="2121"/>
      <c r="R25" s="2122">
        <f>SUM(R26:R27)</f>
        <v>0</v>
      </c>
    </row>
    <row r="26" spans="1:18" x14ac:dyDescent="0.2">
      <c r="A26" s="4072" t="str">
        <f>'12.Printing Annex'!A26</f>
        <v>12.3.1</v>
      </c>
      <c r="B26" s="2002" t="str">
        <f>'12-A. Print Sub-Annex'!C96</f>
        <v>B.10.7.4.11</v>
      </c>
      <c r="C26" s="103" t="str">
        <f>'12-A. Print Sub-Annex'!D96</f>
        <v>Printing of Challan Books under NTCP</v>
      </c>
      <c r="D26" s="2002" t="str">
        <f>'12-A. Print Sub-Annex'!E96</f>
        <v>NCD</v>
      </c>
      <c r="E26" s="2002" t="str">
        <f>'12-A. Print Sub-Annex'!F96</f>
        <v>NTCP</v>
      </c>
      <c r="F26" s="2002">
        <f>'12-A. Print Sub-Annex'!G96</f>
        <v>0</v>
      </c>
      <c r="G26" s="2002">
        <f>'12-A. Print Sub-Annex'!H96</f>
        <v>0</v>
      </c>
      <c r="H26" s="2002">
        <f>'12-A. Print Sub-Annex'!I96</f>
        <v>0</v>
      </c>
      <c r="I26" s="2002">
        <f>'12-A. Print Sub-Annex'!J96</f>
        <v>0</v>
      </c>
      <c r="J26" s="2002">
        <f>'12-A. Print Sub-Annex'!K96</f>
        <v>0</v>
      </c>
      <c r="K26" s="2002">
        <f>'12-A. Print Sub-Annex'!L96</f>
        <v>0</v>
      </c>
      <c r="L26" s="2002">
        <f>'12-A. Print Sub-Annex'!M96</f>
        <v>0</v>
      </c>
      <c r="M26" s="178">
        <f>'12-A. Print Sub-Annex'!N96</f>
        <v>0</v>
      </c>
      <c r="N26" s="2002">
        <f>'12-A. Print Sub-Annex'!O96</f>
        <v>0</v>
      </c>
      <c r="O26" s="178">
        <f>'12-A. Print Sub-Annex'!P96</f>
        <v>0</v>
      </c>
      <c r="P26" s="103">
        <f>'12-A. Print Sub-Annex'!Q96</f>
        <v>0</v>
      </c>
      <c r="Q26" s="67"/>
      <c r="R26" s="679"/>
    </row>
    <row r="27" spans="1:18" x14ac:dyDescent="0.2">
      <c r="A27" s="4072"/>
      <c r="B27" s="2002"/>
      <c r="C27" s="103" t="str">
        <f>'12-A. Print Sub-Annex'!D97</f>
        <v>Any other (please specify)</v>
      </c>
      <c r="D27" s="2002" t="str">
        <f>'12-A. Print Sub-Annex'!E97</f>
        <v>NCD</v>
      </c>
      <c r="E27" s="2002" t="str">
        <f>'12-A. Print Sub-Annex'!F97</f>
        <v>NTCP</v>
      </c>
      <c r="F27" s="2002">
        <f>'12-A. Print Sub-Annex'!G97</f>
        <v>0</v>
      </c>
      <c r="G27" s="2002">
        <f>'12-A. Print Sub-Annex'!H97</f>
        <v>0</v>
      </c>
      <c r="H27" s="2002">
        <f>'12-A. Print Sub-Annex'!I97</f>
        <v>0</v>
      </c>
      <c r="I27" s="2002">
        <f>'12-A. Print Sub-Annex'!J97</f>
        <v>0</v>
      </c>
      <c r="J27" s="2002">
        <f>'12-A. Print Sub-Annex'!K97</f>
        <v>0</v>
      </c>
      <c r="K27" s="2002">
        <f>'12-A. Print Sub-Annex'!L97</f>
        <v>0</v>
      </c>
      <c r="L27" s="2002">
        <f>'12-A. Print Sub-Annex'!M97</f>
        <v>0</v>
      </c>
      <c r="M27" s="178">
        <f>'12-A. Print Sub-Annex'!N97</f>
        <v>0</v>
      </c>
      <c r="N27" s="2002">
        <f>'12-A. Print Sub-Annex'!O97</f>
        <v>0</v>
      </c>
      <c r="O27" s="178">
        <f>'12-A. Print Sub-Annex'!P97</f>
        <v>0</v>
      </c>
      <c r="P27" s="103">
        <f>'12-A. Print Sub-Annex'!Q97</f>
        <v>0</v>
      </c>
      <c r="Q27" s="67"/>
      <c r="R27" s="679"/>
    </row>
    <row r="28" spans="1:18" x14ac:dyDescent="0.2">
      <c r="A28" s="845">
        <f>'16.PM Annex'!A7</f>
        <v>16</v>
      </c>
      <c r="B28" s="845">
        <f>'16.PM Annex'!B7</f>
        <v>0</v>
      </c>
      <c r="C28" s="844" t="str">
        <f>'16.PM Annex'!C7</f>
        <v>Programme Management</v>
      </c>
      <c r="D28" s="845"/>
      <c r="E28" s="845"/>
      <c r="F28" s="845"/>
      <c r="G28" s="845"/>
      <c r="H28" s="528"/>
      <c r="I28" s="845"/>
      <c r="J28" s="528"/>
      <c r="K28" s="2149"/>
      <c r="L28" s="2149"/>
      <c r="M28" s="528"/>
      <c r="N28" s="2098"/>
      <c r="O28" s="2119">
        <f>SUM(O29:O35)</f>
        <v>0</v>
      </c>
      <c r="P28" s="2120"/>
      <c r="Q28" s="2121"/>
      <c r="R28" s="2122">
        <f>SUM(R29:R35)</f>
        <v>0</v>
      </c>
    </row>
    <row r="29" spans="1:18" ht="30" x14ac:dyDescent="0.2">
      <c r="A29" s="2002" t="str">
        <f>'16-A. PM sub Annex'!B43</f>
        <v>16.1.2.1.22</v>
      </c>
      <c r="B29" s="2002" t="str">
        <f>'16-A. PM sub Annex'!D43</f>
        <v>M.2.1.2</v>
      </c>
      <c r="C29" s="103" t="str">
        <f>'16-A. PM sub Annex'!E43</f>
        <v>Monthly meeting with the hospital staff, Weekly FGD with the tobacco users</v>
      </c>
      <c r="D29" s="2002" t="str">
        <f>'16-A. PM sub Annex'!F43</f>
        <v>NCD</v>
      </c>
      <c r="E29" s="2002" t="str">
        <f>'16-A. PM sub Annex'!G43</f>
        <v>HRH&amp;HPIP/NTCP</v>
      </c>
      <c r="F29" s="2002">
        <f>'16-A. PM sub Annex'!H43</f>
        <v>0</v>
      </c>
      <c r="G29" s="2002">
        <f>'16-A. PM sub Annex'!I43</f>
        <v>0</v>
      </c>
      <c r="H29" s="2002">
        <f>'16-A. PM sub Annex'!J43</f>
        <v>0</v>
      </c>
      <c r="I29" s="2002">
        <f>'16-A. PM sub Annex'!K43</f>
        <v>0</v>
      </c>
      <c r="J29" s="2002">
        <f>'16-A. PM sub Annex'!L43</f>
        <v>0</v>
      </c>
      <c r="K29" s="2002">
        <f>'16-A. PM sub Annex'!M43</f>
        <v>0</v>
      </c>
      <c r="L29" s="2002">
        <f>'16-A. PM sub Annex'!N43</f>
        <v>0</v>
      </c>
      <c r="M29" s="178">
        <f>'16-A. PM sub Annex'!O43</f>
        <v>0</v>
      </c>
      <c r="N29" s="2002">
        <f>'16-A. PM sub Annex'!P43</f>
        <v>0</v>
      </c>
      <c r="O29" s="178">
        <f>'16-A. PM sub Annex'!Q43</f>
        <v>0</v>
      </c>
      <c r="P29" s="103">
        <f>'16-A. PM sub Annex'!R43</f>
        <v>0</v>
      </c>
      <c r="Q29" s="67"/>
      <c r="R29" s="679"/>
    </row>
    <row r="30" spans="1:18" x14ac:dyDescent="0.2">
      <c r="A30" s="2002" t="str">
        <f>'16-A. PM sub Annex'!B87</f>
        <v>16.1.3.1.18.2</v>
      </c>
      <c r="B30" s="2002" t="str">
        <f>'16-A. PM sub Annex'!D87</f>
        <v>M.3.3.2</v>
      </c>
      <c r="C30" s="103" t="str">
        <f>'16-A. PM sub Annex'!E87</f>
        <v>Hiring of Operational Vehicle under NTCP</v>
      </c>
      <c r="D30" s="2002" t="str">
        <f>'16-A. PM sub Annex'!F87</f>
        <v>NCD</v>
      </c>
      <c r="E30" s="2002" t="str">
        <f>'16-A. PM sub Annex'!G87</f>
        <v>HRH&amp;HPIP/NTCP</v>
      </c>
      <c r="F30" s="2002">
        <f>'16-A. PM sub Annex'!H87</f>
        <v>0</v>
      </c>
      <c r="G30" s="2002">
        <f>'16-A. PM sub Annex'!I87</f>
        <v>0</v>
      </c>
      <c r="H30" s="2002">
        <f>'16-A. PM sub Annex'!J87</f>
        <v>0</v>
      </c>
      <c r="I30" s="2002">
        <f>'16-A. PM sub Annex'!K87</f>
        <v>0</v>
      </c>
      <c r="J30" s="2002">
        <f>'16-A. PM sub Annex'!L87</f>
        <v>0</v>
      </c>
      <c r="K30" s="2002">
        <f>'16-A. PM sub Annex'!M87</f>
        <v>0</v>
      </c>
      <c r="L30" s="2002">
        <f>'16-A. PM sub Annex'!N87</f>
        <v>0</v>
      </c>
      <c r="M30" s="178">
        <f>'16-A. PM sub Annex'!O87</f>
        <v>0</v>
      </c>
      <c r="N30" s="2002">
        <f>'16-A. PM sub Annex'!P87</f>
        <v>0</v>
      </c>
      <c r="O30" s="178">
        <f>'16-A. PM sub Annex'!Q87</f>
        <v>0</v>
      </c>
      <c r="P30" s="103">
        <f>'16-A. PM sub Annex'!R87</f>
        <v>0</v>
      </c>
      <c r="Q30" s="67"/>
      <c r="R30" s="679"/>
    </row>
    <row r="31" spans="1:18" x14ac:dyDescent="0.2">
      <c r="A31" s="2002" t="str">
        <f>'16-A. PM sub Annex'!B108</f>
        <v>16.1.3.3.14</v>
      </c>
      <c r="B31" s="2002" t="str">
        <f>'16-A. PM sub Annex'!D108</f>
        <v>M.1.3.3</v>
      </c>
      <c r="C31" s="103" t="str">
        <f>'16-A. PM sub Annex'!E108</f>
        <v>Enforcement Squads</v>
      </c>
      <c r="D31" s="2002" t="str">
        <f>'16-A. PM sub Annex'!F108</f>
        <v>NCD</v>
      </c>
      <c r="E31" s="2002" t="str">
        <f>'16-A. PM sub Annex'!G108</f>
        <v>HRH&amp;HPIP/NTCP</v>
      </c>
      <c r="F31" s="2002">
        <f>'16-A. PM sub Annex'!H108</f>
        <v>0</v>
      </c>
      <c r="G31" s="2002">
        <f>'16-A. PM sub Annex'!I108</f>
        <v>0</v>
      </c>
      <c r="H31" s="2002">
        <f>'16-A. PM sub Annex'!J108</f>
        <v>0</v>
      </c>
      <c r="I31" s="2002">
        <f>'16-A. PM sub Annex'!K108</f>
        <v>0</v>
      </c>
      <c r="J31" s="2002">
        <f>'16-A. PM sub Annex'!L108</f>
        <v>0</v>
      </c>
      <c r="K31" s="2002">
        <f>'16-A. PM sub Annex'!M108</f>
        <v>0</v>
      </c>
      <c r="L31" s="2002">
        <f>'16-A. PM sub Annex'!N108</f>
        <v>0</v>
      </c>
      <c r="M31" s="178">
        <f>'16-A. PM sub Annex'!O108</f>
        <v>0</v>
      </c>
      <c r="N31" s="2002">
        <f>'16-A. PM sub Annex'!P108</f>
        <v>0</v>
      </c>
      <c r="O31" s="178">
        <f>'16-A. PM sub Annex'!Q108</f>
        <v>0</v>
      </c>
      <c r="P31" s="103">
        <f>'16-A. PM sub Annex'!R108</f>
        <v>0</v>
      </c>
      <c r="Q31" s="67"/>
      <c r="R31" s="679"/>
    </row>
    <row r="32" spans="1:18" x14ac:dyDescent="0.2">
      <c r="A32" s="2002" t="str">
        <f>'16-A. PM sub Annex'!B131</f>
        <v>16.1.4.1.11</v>
      </c>
      <c r="B32" s="2002" t="str">
        <f>'16-A. PM sub Annex'!D131</f>
        <v>M.2.2.2</v>
      </c>
      <c r="C32" s="103" t="str">
        <f>'16-A. PM sub Annex'!E131</f>
        <v>Tobacco Cessation Centre (TCC): Office Expenses</v>
      </c>
      <c r="D32" s="2002" t="str">
        <f>'16-A. PM sub Annex'!F131</f>
        <v>NCD</v>
      </c>
      <c r="E32" s="2002" t="str">
        <f>'16-A. PM sub Annex'!G131</f>
        <v>HRH&amp;HPIP/NTCP</v>
      </c>
      <c r="F32" s="2002">
        <f>'16-A. PM sub Annex'!H131</f>
        <v>0</v>
      </c>
      <c r="G32" s="2002">
        <f>'16-A. PM sub Annex'!I131</f>
        <v>0</v>
      </c>
      <c r="H32" s="2002">
        <f>'16-A. PM sub Annex'!J131</f>
        <v>0</v>
      </c>
      <c r="I32" s="2002">
        <f>'16-A. PM sub Annex'!K131</f>
        <v>0</v>
      </c>
      <c r="J32" s="2002">
        <f>'16-A. PM sub Annex'!L131</f>
        <v>0</v>
      </c>
      <c r="K32" s="2002">
        <f>'16-A. PM sub Annex'!M131</f>
        <v>0</v>
      </c>
      <c r="L32" s="2002">
        <f>'16-A. PM sub Annex'!N131</f>
        <v>0</v>
      </c>
      <c r="M32" s="178">
        <f>'16-A. PM sub Annex'!O131</f>
        <v>0</v>
      </c>
      <c r="N32" s="2002">
        <f>'16-A. PM sub Annex'!P131</f>
        <v>0</v>
      </c>
      <c r="O32" s="178">
        <f>'16-A. PM sub Annex'!Q131</f>
        <v>0</v>
      </c>
      <c r="P32" s="103">
        <f>'16-A. PM sub Annex'!R131</f>
        <v>0</v>
      </c>
      <c r="Q32" s="67"/>
      <c r="R32" s="679"/>
    </row>
    <row r="33" spans="1:18" ht="30" x14ac:dyDescent="0.2">
      <c r="A33" s="2002" t="str">
        <f>'16-A. PM sub Annex'!B132</f>
        <v>16.1.4.1.12</v>
      </c>
      <c r="B33" s="2002" t="str">
        <f>'16-A. PM sub Annex'!D132</f>
        <v>M.3.2.3</v>
      </c>
      <c r="C33" s="103" t="str">
        <f>'16-A. PM sub Annex'!E132</f>
        <v>State Tobacco Control Cell (STCC): Misc./Office Expenses</v>
      </c>
      <c r="D33" s="2002" t="str">
        <f>'16-A. PM sub Annex'!F132</f>
        <v>NCD</v>
      </c>
      <c r="E33" s="2002" t="str">
        <f>'16-A. PM sub Annex'!G132</f>
        <v>HRH&amp;HPIP/NTCP</v>
      </c>
      <c r="F33" s="2002">
        <f>'16-A. PM sub Annex'!H132</f>
        <v>0</v>
      </c>
      <c r="G33" s="2002">
        <f>'16-A. PM sub Annex'!I132</f>
        <v>0</v>
      </c>
      <c r="H33" s="2002">
        <f>'16-A. PM sub Annex'!J132</f>
        <v>0</v>
      </c>
      <c r="I33" s="2002">
        <f>'16-A. PM sub Annex'!K132</f>
        <v>0</v>
      </c>
      <c r="J33" s="2002">
        <f>'16-A. PM sub Annex'!L132</f>
        <v>0</v>
      </c>
      <c r="K33" s="2002">
        <f>'16-A. PM sub Annex'!M132</f>
        <v>0</v>
      </c>
      <c r="L33" s="2002">
        <f>'16-A. PM sub Annex'!N132</f>
        <v>0</v>
      </c>
      <c r="M33" s="178">
        <f>'16-A. PM sub Annex'!O132</f>
        <v>0</v>
      </c>
      <c r="N33" s="2002">
        <f>'16-A. PM sub Annex'!P132</f>
        <v>0</v>
      </c>
      <c r="O33" s="178">
        <f>'16-A. PM sub Annex'!Q132</f>
        <v>0</v>
      </c>
      <c r="P33" s="103">
        <f>'16-A. PM sub Annex'!R132</f>
        <v>0</v>
      </c>
      <c r="Q33" s="67"/>
      <c r="R33" s="679"/>
    </row>
    <row r="34" spans="1:18" ht="30" x14ac:dyDescent="0.2">
      <c r="A34" s="2002" t="str">
        <f>'16-A. PM sub Annex'!B144</f>
        <v>16.1.4.2.8</v>
      </c>
      <c r="B34" s="2002" t="str">
        <f>'16-A. PM sub Annex'!D144</f>
        <v>M.1.3.5</v>
      </c>
      <c r="C34" s="103" t="str">
        <f>'16-A. PM sub Annex'!E144</f>
        <v>District Tobacco Control Cell (DTCC): Misc./Office Expenses</v>
      </c>
      <c r="D34" s="2002" t="str">
        <f>'16-A. PM sub Annex'!F144</f>
        <v>NCD</v>
      </c>
      <c r="E34" s="2002" t="str">
        <f>'16-A. PM sub Annex'!G144</f>
        <v>HRH&amp;HPIP/NTCP</v>
      </c>
      <c r="F34" s="2002">
        <f>'16-A. PM sub Annex'!H144</f>
        <v>0</v>
      </c>
      <c r="G34" s="2002">
        <f>'16-A. PM sub Annex'!I144</f>
        <v>0</v>
      </c>
      <c r="H34" s="2002">
        <f>'16-A. PM sub Annex'!J144</f>
        <v>0</v>
      </c>
      <c r="I34" s="2002">
        <f>'16-A. PM sub Annex'!K144</f>
        <v>0</v>
      </c>
      <c r="J34" s="2002">
        <f>'16-A. PM sub Annex'!L144</f>
        <v>0</v>
      </c>
      <c r="K34" s="2002">
        <f>'16-A. PM sub Annex'!M144</f>
        <v>0</v>
      </c>
      <c r="L34" s="2002">
        <f>'16-A. PM sub Annex'!N144</f>
        <v>0</v>
      </c>
      <c r="M34" s="178">
        <f>'16-A. PM sub Annex'!O144</f>
        <v>0</v>
      </c>
      <c r="N34" s="2002">
        <f>'16-A. PM sub Annex'!P144</f>
        <v>0</v>
      </c>
      <c r="O34" s="178">
        <f>'16-A. PM sub Annex'!Q144</f>
        <v>0</v>
      </c>
      <c r="P34" s="103">
        <f>'16-A. PM sub Annex'!R144</f>
        <v>0</v>
      </c>
      <c r="Q34" s="67"/>
      <c r="R34" s="679"/>
    </row>
    <row r="35" spans="1:18" x14ac:dyDescent="0.2">
      <c r="A35" s="2002" t="str">
        <f>'16-A. PM sub Annex'!B172</f>
        <v>16.1.5.3.13</v>
      </c>
      <c r="B35" s="2002" t="str">
        <f>'16-A. PM sub Annex'!D172</f>
        <v>M.3.5.1</v>
      </c>
      <c r="C35" s="103" t="str">
        <f>'16-A. PM sub Annex'!E172</f>
        <v>Setting up of STCC</v>
      </c>
      <c r="D35" s="2002" t="str">
        <f>'16-A. PM sub Annex'!F172</f>
        <v>NCD</v>
      </c>
      <c r="E35" s="2002" t="str">
        <f>'16-A. PM sub Annex'!G172</f>
        <v>HRH&amp;HPIP/NTCP</v>
      </c>
      <c r="F35" s="2002">
        <f>'16-A. PM sub Annex'!H172</f>
        <v>0</v>
      </c>
      <c r="G35" s="2002">
        <f>'16-A. PM sub Annex'!I172</f>
        <v>0</v>
      </c>
      <c r="H35" s="2002">
        <f>'16-A. PM sub Annex'!J172</f>
        <v>0</v>
      </c>
      <c r="I35" s="2002">
        <f>'16-A. PM sub Annex'!K172</f>
        <v>0</v>
      </c>
      <c r="J35" s="2002">
        <f>'16-A. PM sub Annex'!L172</f>
        <v>0</v>
      </c>
      <c r="K35" s="2002">
        <f>'16-A. PM sub Annex'!M172</f>
        <v>0</v>
      </c>
      <c r="L35" s="2002">
        <f>'16-A. PM sub Annex'!N172</f>
        <v>0</v>
      </c>
      <c r="M35" s="178">
        <f>'16-A. PM sub Annex'!O172</f>
        <v>0</v>
      </c>
      <c r="N35" s="2002">
        <f>'16-A. PM sub Annex'!P172</f>
        <v>0</v>
      </c>
      <c r="O35" s="178">
        <f>'16-A. PM sub Annex'!Q172</f>
        <v>0</v>
      </c>
      <c r="P35" s="103">
        <f>'16-A. PM sub Annex'!R172</f>
        <v>0</v>
      </c>
      <c r="Q35" s="67"/>
      <c r="R35" s="679">
        <v>0</v>
      </c>
    </row>
    <row r="36" spans="1:18" x14ac:dyDescent="0.2">
      <c r="Q36" s="2042"/>
      <c r="R36" s="578"/>
    </row>
    <row r="37" spans="1:18" x14ac:dyDescent="0.2">
      <c r="Q37" s="2042"/>
      <c r="R37" s="578"/>
    </row>
    <row r="38" spans="1:18" x14ac:dyDescent="0.2">
      <c r="Q38" s="2042"/>
      <c r="R38" s="578"/>
    </row>
    <row r="39" spans="1:18" x14ac:dyDescent="0.2">
      <c r="Q39" s="2042"/>
      <c r="R39" s="578"/>
    </row>
    <row r="40" spans="1:18" x14ac:dyDescent="0.2">
      <c r="Q40" s="2042"/>
      <c r="R40" s="578"/>
    </row>
    <row r="41" spans="1:18" x14ac:dyDescent="0.2">
      <c r="Q41" s="2042"/>
      <c r="R41" s="578"/>
    </row>
  </sheetData>
  <sheetProtection sheet="1" formatCells="0" formatColumns="0" formatRows="0" autoFilter="0"/>
  <autoFilter ref="A5:M35"/>
  <mergeCells count="13">
    <mergeCell ref="A12:A14"/>
    <mergeCell ref="A15:A16"/>
    <mergeCell ref="A18:A19"/>
    <mergeCell ref="A26:A27"/>
    <mergeCell ref="Q4:R4"/>
    <mergeCell ref="E4:E5"/>
    <mergeCell ref="F4:J4"/>
    <mergeCell ref="K4:P4"/>
    <mergeCell ref="A1:C1"/>
    <mergeCell ref="A4:A5"/>
    <mergeCell ref="B4:B5"/>
    <mergeCell ref="C4:C5"/>
    <mergeCell ref="D4:D5"/>
  </mergeCells>
  <phoneticPr fontId="57" type="noConversion"/>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theme="7" tint="0.79998168889431442"/>
  </sheetPr>
  <dimension ref="A1:R73"/>
  <sheetViews>
    <sheetView zoomScale="70" zoomScaleNormal="70" workbookViewId="0">
      <pane xSplit="3" ySplit="5" topLeftCell="L6" activePane="bottomRight" state="frozen"/>
      <selection activeCell="A4" sqref="A4:R11"/>
      <selection pane="topRight" activeCell="A4" sqref="A4:R11"/>
      <selection pane="bottomLeft" activeCell="A4" sqref="A4:R11"/>
      <selection pane="bottomRight" activeCell="Q62" sqref="Q62:R67"/>
    </sheetView>
  </sheetViews>
  <sheetFormatPr defaultColWidth="11.42578125" defaultRowHeight="15" x14ac:dyDescent="0.2"/>
  <cols>
    <col min="1" max="1" width="11.7109375" style="881" bestFit="1" customWidth="1"/>
    <col min="2" max="2" width="19" style="881" hidden="1" customWidth="1"/>
    <col min="3" max="3" width="39.7109375" style="881" bestFit="1" customWidth="1"/>
    <col min="4" max="4" width="6.42578125" style="826" hidden="1" customWidth="1"/>
    <col min="5" max="5" width="19.140625" style="835" hidden="1" customWidth="1"/>
    <col min="6" max="6" width="25.42578125" style="835" hidden="1" customWidth="1"/>
    <col min="7" max="7" width="21.5703125" style="835" hidden="1" customWidth="1"/>
    <col min="8" max="8" width="23.7109375" style="956" hidden="1" customWidth="1"/>
    <col min="9" max="9" width="16.7109375" style="835" hidden="1" customWidth="1"/>
    <col min="10" max="10" width="17.140625" style="956" hidden="1" customWidth="1"/>
    <col min="11" max="11" width="18" style="835" hidden="1" customWidth="1"/>
    <col min="12" max="12" width="13" style="835" customWidth="1"/>
    <col min="13" max="13" width="17.85546875" style="956" hidden="1" customWidth="1"/>
    <col min="14" max="14" width="11.42578125" style="835"/>
    <col min="15" max="15" width="13" style="956" customWidth="1"/>
    <col min="16" max="16" width="40" style="881" hidden="1" customWidth="1"/>
    <col min="17" max="17" width="40.42578125" style="881" customWidth="1"/>
    <col min="18" max="18" width="13.42578125" style="956" customWidth="1"/>
    <col min="19" max="16384" width="11.42578125" style="826"/>
  </cols>
  <sheetData>
    <row r="1" spans="1:18" s="940" customFormat="1" x14ac:dyDescent="0.2">
      <c r="A1" s="4089" t="s">
        <v>2106</v>
      </c>
      <c r="B1" s="4089"/>
      <c r="C1" s="4089"/>
      <c r="D1" s="2150"/>
      <c r="E1" s="893"/>
      <c r="F1" s="2151" t="s">
        <v>3986</v>
      </c>
      <c r="G1" s="1858"/>
      <c r="H1" s="1858"/>
      <c r="I1" s="1858"/>
      <c r="J1" s="1858"/>
      <c r="K1" s="1858"/>
      <c r="L1" s="1858"/>
      <c r="M1" s="1858"/>
      <c r="N1" s="2125"/>
      <c r="O1" s="2126"/>
      <c r="P1" s="2127"/>
      <c r="Q1" s="2127"/>
      <c r="R1" s="2126"/>
    </row>
    <row r="2" spans="1:18" s="2157" customFormat="1" x14ac:dyDescent="0.25">
      <c r="A2" s="1859" t="str">
        <f>HYPERLINK("#Index!F3", "Index Pg")</f>
        <v>Index Pg</v>
      </c>
      <c r="B2" s="1367" t="str">
        <f>HYPERLINK("#'Summary of Abstracts'!A2", "Summary of Abst.")</f>
        <v>Summary of Abst.</v>
      </c>
      <c r="C2" s="831" t="str">
        <f>HYPERLINK("#'Budget Summary I'!A1:AL1", "Budget Summary I")</f>
        <v>Budget Summary I</v>
      </c>
      <c r="D2" s="2152"/>
      <c r="E2" s="2153" t="s">
        <v>4608</v>
      </c>
      <c r="F2" s="177">
        <f>R56+R51+R46+R40+R35+R32+R17+R15+R6+R13+R61</f>
        <v>0</v>
      </c>
      <c r="G2" s="1103"/>
      <c r="H2" s="1103"/>
      <c r="I2" s="1103"/>
      <c r="J2" s="1103"/>
      <c r="K2" s="1103"/>
      <c r="L2" s="1103"/>
      <c r="M2" s="1103"/>
      <c r="N2" s="2154"/>
      <c r="O2" s="2155"/>
      <c r="P2" s="2156"/>
      <c r="Q2" s="2156"/>
      <c r="R2" s="2155"/>
    </row>
    <row r="3" spans="1:18" s="2157" customFormat="1" x14ac:dyDescent="0.25">
      <c r="A3" s="1863"/>
      <c r="B3" s="1864"/>
      <c r="C3" s="1937" t="str">
        <f>HYPERLINK("#'Budget Summary II'!A3:B5", "Budget Summary II")</f>
        <v>Budget Summary II</v>
      </c>
      <c r="D3" s="2152"/>
      <c r="E3" s="2158" t="s">
        <v>4609</v>
      </c>
      <c r="F3" s="725">
        <f>O56+O51+O46+O40+O35+O32+O17+O15+O6+O13+O61</f>
        <v>57</v>
      </c>
      <c r="G3" s="1103"/>
      <c r="H3" s="1103"/>
      <c r="I3" s="1103"/>
      <c r="J3" s="1103"/>
      <c r="K3" s="1103"/>
      <c r="L3" s="1103"/>
      <c r="M3" s="1103"/>
      <c r="N3" s="2154"/>
      <c r="O3" s="2155"/>
      <c r="P3" s="2156"/>
      <c r="Q3" s="2156"/>
      <c r="R3" s="2155"/>
    </row>
    <row r="4" spans="1:18" s="835" customForma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s="835" customFormat="1" ht="45"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1945" t="s">
        <v>63</v>
      </c>
      <c r="Q5" s="1946" t="s">
        <v>2540</v>
      </c>
      <c r="R5" s="900" t="s">
        <v>4671</v>
      </c>
    </row>
    <row r="6" spans="1:18" x14ac:dyDescent="0.2">
      <c r="A6" s="840">
        <f>'1.SD Facility Based Annex'!A7</f>
        <v>1</v>
      </c>
      <c r="B6" s="840"/>
      <c r="C6" s="840" t="str">
        <f>'1.SD Facility Based Annex'!C7</f>
        <v>Service Delivery - Facility Based</v>
      </c>
      <c r="D6" s="840"/>
      <c r="E6" s="840"/>
      <c r="F6" s="912"/>
      <c r="G6" s="912"/>
      <c r="H6" s="912"/>
      <c r="I6" s="912"/>
      <c r="J6" s="912"/>
      <c r="K6" s="912"/>
      <c r="L6" s="912"/>
      <c r="M6" s="528"/>
      <c r="N6" s="912"/>
      <c r="O6" s="528">
        <f>SUM(O7:O12)</f>
        <v>0</v>
      </c>
      <c r="P6" s="840"/>
      <c r="Q6" s="840"/>
      <c r="R6" s="528">
        <f>SUM(R7:R12)</f>
        <v>0</v>
      </c>
    </row>
    <row r="7" spans="1:18" ht="30" x14ac:dyDescent="0.2">
      <c r="A7" s="103" t="str">
        <f>+'1.SD Facility Based Annex'!A42</f>
        <v>1.1.6.1</v>
      </c>
      <c r="B7" s="103" t="str">
        <f>+'1.SD Facility Based Annex'!B42</f>
        <v>O.2.8.2</v>
      </c>
      <c r="C7" s="103" t="str">
        <f>+'1.SD Facility Based Annex'!C42</f>
        <v>Integration with AYUSH at District NCD Cell / Clinic</v>
      </c>
      <c r="D7" s="103" t="str">
        <f>+'1.SD Facility Based Annex'!D42</f>
        <v>NCD</v>
      </c>
      <c r="E7" s="103" t="str">
        <f>+'1.SD Facility Based Annex'!E42</f>
        <v>NPCDCS</v>
      </c>
      <c r="F7" s="2002">
        <f>+'1.SD Facility Based Annex'!F42</f>
        <v>0</v>
      </c>
      <c r="G7" s="2002">
        <f>+'1.SD Facility Based Annex'!G42</f>
        <v>0</v>
      </c>
      <c r="H7" s="2002">
        <f>+'1.SD Facility Based Annex'!H42</f>
        <v>0</v>
      </c>
      <c r="I7" s="2002">
        <f>+'1.SD Facility Based Annex'!I42</f>
        <v>0</v>
      </c>
      <c r="J7" s="2002">
        <f>+'1.SD Facility Based Annex'!J42</f>
        <v>0</v>
      </c>
      <c r="K7" s="2002">
        <f>+'1.SD Facility Based Annex'!K42</f>
        <v>0</v>
      </c>
      <c r="L7" s="2002">
        <f>+'1.SD Facility Based Annex'!L42</f>
        <v>0</v>
      </c>
      <c r="M7" s="178">
        <f>+'1.SD Facility Based Annex'!M42</f>
        <v>0</v>
      </c>
      <c r="N7" s="2002">
        <f>+'1.SD Facility Based Annex'!N42</f>
        <v>0</v>
      </c>
      <c r="O7" s="178">
        <f>+'1.SD Facility Based Annex'!O42</f>
        <v>0</v>
      </c>
      <c r="P7" s="103">
        <f>+'1.SD Facility Based Annex'!P42</f>
        <v>0</v>
      </c>
      <c r="Q7" s="67"/>
      <c r="R7" s="159"/>
    </row>
    <row r="8" spans="1:18" x14ac:dyDescent="0.2">
      <c r="A8" s="103" t="str">
        <f>+'1.SD Facility Based Annex'!A43</f>
        <v>1.1.6.2</v>
      </c>
      <c r="B8" s="103" t="str">
        <f>+'1.SD Facility Based Annex'!B43</f>
        <v>O.2.8.3</v>
      </c>
      <c r="C8" s="103" t="str">
        <f>+'1.SD Facility Based Annex'!C43</f>
        <v>Integration with AYUSH at CHC NCD Clinic</v>
      </c>
      <c r="D8" s="103" t="str">
        <f>+'1.SD Facility Based Annex'!D43</f>
        <v>NCD</v>
      </c>
      <c r="E8" s="103" t="str">
        <f>+'1.SD Facility Based Annex'!E43</f>
        <v>NPCDCS</v>
      </c>
      <c r="F8" s="2002">
        <f>+'1.SD Facility Based Annex'!F43</f>
        <v>0</v>
      </c>
      <c r="G8" s="2002">
        <f>+'1.SD Facility Based Annex'!G43</f>
        <v>0</v>
      </c>
      <c r="H8" s="2002">
        <f>+'1.SD Facility Based Annex'!H43</f>
        <v>0</v>
      </c>
      <c r="I8" s="2002">
        <f>+'1.SD Facility Based Annex'!I43</f>
        <v>0</v>
      </c>
      <c r="J8" s="2002">
        <f>+'1.SD Facility Based Annex'!J43</f>
        <v>0</v>
      </c>
      <c r="K8" s="2002">
        <f>+'1.SD Facility Based Annex'!K43</f>
        <v>0</v>
      </c>
      <c r="L8" s="2002">
        <f>+'1.SD Facility Based Annex'!L43</f>
        <v>0</v>
      </c>
      <c r="M8" s="178">
        <f>+'1.SD Facility Based Annex'!M43</f>
        <v>0</v>
      </c>
      <c r="N8" s="2002">
        <f>+'1.SD Facility Based Annex'!N43</f>
        <v>0</v>
      </c>
      <c r="O8" s="178">
        <f>+'1.SD Facility Based Annex'!O43</f>
        <v>0</v>
      </c>
      <c r="P8" s="103">
        <f>+'1.SD Facility Based Annex'!P43</f>
        <v>0</v>
      </c>
      <c r="Q8" s="67"/>
      <c r="R8" s="159"/>
    </row>
    <row r="9" spans="1:18" ht="30" x14ac:dyDescent="0.2">
      <c r="A9" s="103" t="str">
        <f>+'1.SD Facility Based Annex'!A92</f>
        <v>1.3.1.8</v>
      </c>
      <c r="B9" s="103" t="str">
        <f>+'1.SD Facility Based Annex'!B92</f>
        <v>O.2.2.1.3/ O1.1.3.1</v>
      </c>
      <c r="C9" s="103" t="str">
        <f>+'1.SD Facility Based Annex'!C92</f>
        <v>District NCD Clinic: Strengthening of lab, Mobility, Miscellaneous &amp; Contingencies</v>
      </c>
      <c r="D9" s="103" t="str">
        <f>+'1.SD Facility Based Annex'!D92</f>
        <v>NCD</v>
      </c>
      <c r="E9" s="103" t="str">
        <f>+'1.SD Facility Based Annex'!E92</f>
        <v>NPCDCS</v>
      </c>
      <c r="F9" s="2002">
        <f>+'1.SD Facility Based Annex'!F92</f>
        <v>0</v>
      </c>
      <c r="G9" s="2002">
        <f>+'1.SD Facility Based Annex'!G92</f>
        <v>0</v>
      </c>
      <c r="H9" s="2002">
        <f>+'1.SD Facility Based Annex'!H92</f>
        <v>0</v>
      </c>
      <c r="I9" s="2002">
        <f>+'1.SD Facility Based Annex'!I92</f>
        <v>0</v>
      </c>
      <c r="J9" s="2002">
        <f>+'1.SD Facility Based Annex'!J92</f>
        <v>0</v>
      </c>
      <c r="K9" s="2002">
        <f>+'1.SD Facility Based Annex'!K92</f>
        <v>0</v>
      </c>
      <c r="L9" s="2002">
        <f>+'1.SD Facility Based Annex'!L92</f>
        <v>0</v>
      </c>
      <c r="M9" s="178">
        <f>+'1.SD Facility Based Annex'!M92</f>
        <v>0</v>
      </c>
      <c r="N9" s="2002">
        <f>+'1.SD Facility Based Annex'!N92</f>
        <v>0</v>
      </c>
      <c r="O9" s="178">
        <f>+'1.SD Facility Based Annex'!O92</f>
        <v>0</v>
      </c>
      <c r="P9" s="103">
        <f>+'1.SD Facility Based Annex'!P92</f>
        <v>0</v>
      </c>
      <c r="Q9" s="67"/>
      <c r="R9" s="159"/>
    </row>
    <row r="10" spans="1:18" ht="30" x14ac:dyDescent="0.2">
      <c r="A10" s="103" t="str">
        <f>+'1.SD Facility Based Annex'!A93</f>
        <v>1.3.1.9</v>
      </c>
      <c r="B10" s="103" t="str">
        <f>+'1.SD Facility Based Annex'!B93</f>
        <v>O.2.2.1.4</v>
      </c>
      <c r="C10" s="103" t="str">
        <f>+'1.SD Facility Based Annex'!C93</f>
        <v>CHC NCD Clinic: Mobility , Miscellaneous &amp; Contingencies</v>
      </c>
      <c r="D10" s="103" t="str">
        <f>+'1.SD Facility Based Annex'!D93</f>
        <v>NCD</v>
      </c>
      <c r="E10" s="103" t="str">
        <f>+'1.SD Facility Based Annex'!E93</f>
        <v>NPCDCS</v>
      </c>
      <c r="F10" s="2002">
        <f>+'1.SD Facility Based Annex'!F93</f>
        <v>0</v>
      </c>
      <c r="G10" s="2002">
        <f>+'1.SD Facility Based Annex'!G93</f>
        <v>0</v>
      </c>
      <c r="H10" s="2002">
        <f>+'1.SD Facility Based Annex'!H93</f>
        <v>0</v>
      </c>
      <c r="I10" s="2002">
        <f>+'1.SD Facility Based Annex'!I93</f>
        <v>0</v>
      </c>
      <c r="J10" s="2002">
        <f>+'1.SD Facility Based Annex'!J93</f>
        <v>0</v>
      </c>
      <c r="K10" s="2002">
        <f>+'1.SD Facility Based Annex'!K93</f>
        <v>0</v>
      </c>
      <c r="L10" s="2002">
        <f>+'1.SD Facility Based Annex'!L93</f>
        <v>0</v>
      </c>
      <c r="M10" s="178">
        <f>+'1.SD Facility Based Annex'!M93</f>
        <v>0</v>
      </c>
      <c r="N10" s="2002">
        <f>+'1.SD Facility Based Annex'!N93</f>
        <v>0</v>
      </c>
      <c r="O10" s="178">
        <f>+'1.SD Facility Based Annex'!O93</f>
        <v>0</v>
      </c>
      <c r="P10" s="103">
        <f>+'1.SD Facility Based Annex'!P93</f>
        <v>0</v>
      </c>
      <c r="Q10" s="67"/>
      <c r="R10" s="159"/>
    </row>
    <row r="11" spans="1:18" ht="30" x14ac:dyDescent="0.2">
      <c r="A11" s="103" t="str">
        <f>+'1.SD Facility Based Annex'!A94</f>
        <v>1.3.1.10</v>
      </c>
      <c r="B11" s="103" t="str">
        <f>+'1.SD Facility Based Annex'!B94</f>
        <v>O.2.2.1.5</v>
      </c>
      <c r="C11" s="103" t="str">
        <f>+'1.SD Facility Based Annex'!C94</f>
        <v>PHC level: Mobility, Miscellaneous &amp; Contingencies</v>
      </c>
      <c r="D11" s="103" t="str">
        <f>+'1.SD Facility Based Annex'!D94</f>
        <v>NCD</v>
      </c>
      <c r="E11" s="103" t="str">
        <f>+'1.SD Facility Based Annex'!E94</f>
        <v>NPCDCS</v>
      </c>
      <c r="F11" s="2002">
        <f>+'1.SD Facility Based Annex'!F94</f>
        <v>0</v>
      </c>
      <c r="G11" s="2002">
        <f>+'1.SD Facility Based Annex'!G94</f>
        <v>0</v>
      </c>
      <c r="H11" s="2002">
        <f>+'1.SD Facility Based Annex'!H94</f>
        <v>0</v>
      </c>
      <c r="I11" s="2002">
        <f>+'1.SD Facility Based Annex'!I94</f>
        <v>0</v>
      </c>
      <c r="J11" s="2002">
        <f>+'1.SD Facility Based Annex'!J94</f>
        <v>0</v>
      </c>
      <c r="K11" s="2002">
        <f>+'1.SD Facility Based Annex'!K94</f>
        <v>0</v>
      </c>
      <c r="L11" s="2002">
        <f>+'1.SD Facility Based Annex'!L94</f>
        <v>0</v>
      </c>
      <c r="M11" s="178">
        <f>+'1.SD Facility Based Annex'!M94</f>
        <v>0</v>
      </c>
      <c r="N11" s="2002">
        <f>+'1.SD Facility Based Annex'!N94</f>
        <v>0</v>
      </c>
      <c r="O11" s="178">
        <f>+'1.SD Facility Based Annex'!O94</f>
        <v>0</v>
      </c>
      <c r="P11" s="103">
        <f>+'1.SD Facility Based Annex'!P94</f>
        <v>0</v>
      </c>
      <c r="Q11" s="67"/>
      <c r="R11" s="159"/>
    </row>
    <row r="12" spans="1:18" ht="30" x14ac:dyDescent="0.2">
      <c r="A12" s="103" t="str">
        <f>+'1.SD Facility Based Annex'!A95</f>
        <v>1.3.1.11</v>
      </c>
      <c r="B12" s="103" t="str">
        <f>+'1.SD Facility Based Annex'!B95</f>
        <v>O.2.2.1.7</v>
      </c>
      <c r="C12" s="103" t="str">
        <f>+'1.SD Facility Based Annex'!C95</f>
        <v>Sub-Centre level: Mobility , Miscellaneous &amp; Contingencies</v>
      </c>
      <c r="D12" s="103" t="str">
        <f>+'1.SD Facility Based Annex'!D95</f>
        <v>NCD</v>
      </c>
      <c r="E12" s="103" t="str">
        <f>+'1.SD Facility Based Annex'!E95</f>
        <v>NPCDCS</v>
      </c>
      <c r="F12" s="2002">
        <f>+'1.SD Facility Based Annex'!F95</f>
        <v>0</v>
      </c>
      <c r="G12" s="2002">
        <f>+'1.SD Facility Based Annex'!G95</f>
        <v>0</v>
      </c>
      <c r="H12" s="2002">
        <f>+'1.SD Facility Based Annex'!H95</f>
        <v>0</v>
      </c>
      <c r="I12" s="2002">
        <f>+'1.SD Facility Based Annex'!I95</f>
        <v>0</v>
      </c>
      <c r="J12" s="2002">
        <f>+'1.SD Facility Based Annex'!J95</f>
        <v>0</v>
      </c>
      <c r="K12" s="2002">
        <f>+'1.SD Facility Based Annex'!K95</f>
        <v>0</v>
      </c>
      <c r="L12" s="2002">
        <f>+'1.SD Facility Based Annex'!L95</f>
        <v>0</v>
      </c>
      <c r="M12" s="178">
        <f>+'1.SD Facility Based Annex'!M95</f>
        <v>0</v>
      </c>
      <c r="N12" s="2002">
        <f>+'1.SD Facility Based Annex'!N95</f>
        <v>0</v>
      </c>
      <c r="O12" s="178">
        <f>+'1.SD Facility Based Annex'!O95</f>
        <v>0</v>
      </c>
      <c r="P12" s="103">
        <f>+'1.SD Facility Based Annex'!P95</f>
        <v>0</v>
      </c>
      <c r="Q12" s="67"/>
      <c r="R12" s="159"/>
    </row>
    <row r="13" spans="1:18" x14ac:dyDescent="0.2">
      <c r="A13" s="1465">
        <f>'2.SD Community Based Annex'!A7</f>
        <v>2</v>
      </c>
      <c r="B13" s="1465"/>
      <c r="C13" s="1465" t="str">
        <f>'2.SD Community Based Annex'!C7</f>
        <v>Service Delivery - Community Based</v>
      </c>
      <c r="D13" s="1465"/>
      <c r="E13" s="1410"/>
      <c r="F13" s="1410"/>
      <c r="G13" s="1410"/>
      <c r="H13" s="528"/>
      <c r="I13" s="1410"/>
      <c r="J13" s="528"/>
      <c r="K13" s="1410"/>
      <c r="L13" s="1410"/>
      <c r="M13" s="528"/>
      <c r="N13" s="2098"/>
      <c r="O13" s="2020">
        <f>O14</f>
        <v>0</v>
      </c>
      <c r="P13" s="2120"/>
      <c r="Q13" s="2121"/>
      <c r="R13" s="2145">
        <f>R14</f>
        <v>0</v>
      </c>
    </row>
    <row r="14" spans="1:18" ht="60" x14ac:dyDescent="0.2">
      <c r="A14" s="103" t="str">
        <f>'2.SD Community Based Annex'!A47</f>
        <v>2.3.2.1</v>
      </c>
      <c r="B14" s="103" t="str">
        <f>'2.SD Community Based Annex'!B47</f>
        <v>B18.2</v>
      </c>
      <c r="C14" s="103" t="str">
        <f>'2.SD Community Based Annex'!C47</f>
        <v>Universal health check-up and screening of NCDs (May propose organizing outreach activities for NCD screening in non-PBS districts)</v>
      </c>
      <c r="D14" s="103" t="str">
        <f>'2.SD Community Based Annex'!D47</f>
        <v>NCD</v>
      </c>
      <c r="E14" s="2002" t="str">
        <f>'2.SD Community Based Annex'!E47</f>
        <v>NPCDCS</v>
      </c>
      <c r="F14" s="2002">
        <f>'2.SD Community Based Annex'!F47</f>
        <v>0</v>
      </c>
      <c r="G14" s="2002">
        <f>'2.SD Community Based Annex'!G47</f>
        <v>0</v>
      </c>
      <c r="H14" s="2002">
        <f>'2.SD Community Based Annex'!H47</f>
        <v>0</v>
      </c>
      <c r="I14" s="2002">
        <f>'2.SD Community Based Annex'!I47</f>
        <v>0</v>
      </c>
      <c r="J14" s="2002">
        <f>'2.SD Community Based Annex'!J47</f>
        <v>0</v>
      </c>
      <c r="K14" s="2002">
        <f>'2.SD Community Based Annex'!K47</f>
        <v>0</v>
      </c>
      <c r="L14" s="2002">
        <f>'2.SD Community Based Annex'!L47</f>
        <v>0</v>
      </c>
      <c r="M14" s="178">
        <f>'2.SD Community Based Annex'!M47</f>
        <v>0</v>
      </c>
      <c r="N14" s="2002">
        <f>'2.SD Community Based Annex'!N47</f>
        <v>0</v>
      </c>
      <c r="O14" s="178">
        <f>'2.SD Community Based Annex'!O47</f>
        <v>0</v>
      </c>
      <c r="P14" s="103">
        <f>'2.SD Community Based Annex'!P47</f>
        <v>0</v>
      </c>
      <c r="Q14" s="67"/>
      <c r="R14" s="159"/>
    </row>
    <row r="15" spans="1:18" x14ac:dyDescent="0.2">
      <c r="A15" s="1465">
        <f>'5.Infrastructure Annex'!A7</f>
        <v>5</v>
      </c>
      <c r="B15" s="1465"/>
      <c r="C15" s="1465" t="str">
        <f>'5.Infrastructure Annex'!C7</f>
        <v>Infrastructure</v>
      </c>
      <c r="D15" s="1465"/>
      <c r="E15" s="1410"/>
      <c r="F15" s="1410"/>
      <c r="G15" s="1410"/>
      <c r="H15" s="528"/>
      <c r="I15" s="1410"/>
      <c r="J15" s="528"/>
      <c r="K15" s="1410"/>
      <c r="L15" s="1410"/>
      <c r="M15" s="528"/>
      <c r="N15" s="2098"/>
      <c r="O15" s="2020">
        <f>O16</f>
        <v>0</v>
      </c>
      <c r="P15" s="2120"/>
      <c r="Q15" s="2121"/>
      <c r="R15" s="2145">
        <f>R16</f>
        <v>0</v>
      </c>
    </row>
    <row r="16" spans="1:18" x14ac:dyDescent="0.2">
      <c r="A16" s="103" t="str">
        <f>+'5.Infrastructure Annex'!A97</f>
        <v>5.3.17</v>
      </c>
      <c r="B16" s="103" t="str">
        <f>+'5.Infrastructure Annex'!B97</f>
        <v>O1.1.2.1</v>
      </c>
      <c r="C16" s="103" t="str">
        <f>+'5.Infrastructure Annex'!C97</f>
        <v>Cardiac Care Unit (CCU/ ICU)</v>
      </c>
      <c r="D16" s="103" t="str">
        <f>+'5.Infrastructure Annex'!D97</f>
        <v>NCD</v>
      </c>
      <c r="E16" s="2002" t="str">
        <f>+'5.Infrastructure Annex'!E97</f>
        <v>NPCDCS</v>
      </c>
      <c r="F16" s="2002">
        <f>+'5.Infrastructure Annex'!F97</f>
        <v>0</v>
      </c>
      <c r="G16" s="2002">
        <f>+'5.Infrastructure Annex'!G97</f>
        <v>0</v>
      </c>
      <c r="H16" s="2002">
        <f>+'5.Infrastructure Annex'!H97</f>
        <v>0</v>
      </c>
      <c r="I16" s="2002">
        <f>+'5.Infrastructure Annex'!I97</f>
        <v>0</v>
      </c>
      <c r="J16" s="2002">
        <f>+'5.Infrastructure Annex'!J97</f>
        <v>0</v>
      </c>
      <c r="K16" s="2002">
        <f>+'5.Infrastructure Annex'!K97</f>
        <v>0</v>
      </c>
      <c r="L16" s="2002">
        <f>+'5.Infrastructure Annex'!L97</f>
        <v>0</v>
      </c>
      <c r="M16" s="178">
        <f>+'5.Infrastructure Annex'!M97</f>
        <v>0</v>
      </c>
      <c r="N16" s="2002">
        <f>+'5.Infrastructure Annex'!N97</f>
        <v>0</v>
      </c>
      <c r="O16" s="178">
        <f>+'5.Infrastructure Annex'!O97</f>
        <v>0</v>
      </c>
      <c r="P16" s="103">
        <f>+'5.Infrastructure Annex'!P97</f>
        <v>0</v>
      </c>
      <c r="Q16" s="67"/>
      <c r="R16" s="159"/>
    </row>
    <row r="17" spans="1:18" x14ac:dyDescent="0.2">
      <c r="A17" s="1754">
        <f>'6.Procurement Annex'!A7</f>
        <v>6</v>
      </c>
      <c r="B17" s="1754"/>
      <c r="C17" s="1754" t="str">
        <f>'6.Procurement Annex'!C7</f>
        <v>Procurement</v>
      </c>
      <c r="D17" s="1754"/>
      <c r="E17" s="1755"/>
      <c r="F17" s="1755"/>
      <c r="G17" s="1755"/>
      <c r="H17" s="528"/>
      <c r="I17" s="1755"/>
      <c r="J17" s="528"/>
      <c r="K17" s="1755"/>
      <c r="L17" s="1755"/>
      <c r="M17" s="528"/>
      <c r="N17" s="2098"/>
      <c r="O17" s="2020">
        <f>SUM(O18:O31)</f>
        <v>0</v>
      </c>
      <c r="P17" s="2120"/>
      <c r="Q17" s="2121"/>
      <c r="R17" s="2145">
        <f>SUM(R18:R31)</f>
        <v>0</v>
      </c>
    </row>
    <row r="18" spans="1:18" ht="30" x14ac:dyDescent="0.2">
      <c r="A18" s="4072" t="str">
        <f>'6.Procurement Annex'!A40</f>
        <v>6.1.5.5</v>
      </c>
      <c r="B18" s="103" t="str">
        <f>+'6-A. Proc. Sub-Annex'!C114</f>
        <v>O1.1.2.1</v>
      </c>
      <c r="C18" s="103" t="str">
        <f>+'6-A. Proc. Sub-Annex'!D114</f>
        <v>Non-recurring: Equipping Cardiac Care Unit (CCU)/ICU</v>
      </c>
      <c r="D18" s="103" t="str">
        <f>+'6-A. Proc. Sub-Annex'!E114</f>
        <v>NCD</v>
      </c>
      <c r="E18" s="103" t="str">
        <f>+'6-A. Proc. Sub-Annex'!F114</f>
        <v>NPCDCS</v>
      </c>
      <c r="F18" s="2002">
        <f>+'6-A. Proc. Sub-Annex'!G114</f>
        <v>0</v>
      </c>
      <c r="G18" s="2002">
        <f>+'6-A. Proc. Sub-Annex'!H114</f>
        <v>0</v>
      </c>
      <c r="H18" s="2002">
        <f>+'6-A. Proc. Sub-Annex'!I114</f>
        <v>0</v>
      </c>
      <c r="I18" s="2002">
        <f>+'6-A. Proc. Sub-Annex'!J114</f>
        <v>0</v>
      </c>
      <c r="J18" s="2002">
        <f>+'6-A. Proc. Sub-Annex'!K114</f>
        <v>0</v>
      </c>
      <c r="K18" s="2002">
        <f>+'6-A. Proc. Sub-Annex'!L114</f>
        <v>0</v>
      </c>
      <c r="L18" s="2002">
        <f>+'6-A. Proc. Sub-Annex'!M114</f>
        <v>0</v>
      </c>
      <c r="M18" s="178">
        <f>+'6-A. Proc. Sub-Annex'!N114</f>
        <v>0</v>
      </c>
      <c r="N18" s="2002">
        <f>+'6-A. Proc. Sub-Annex'!O114</f>
        <v>0</v>
      </c>
      <c r="O18" s="178">
        <f>+'6-A. Proc. Sub-Annex'!P114</f>
        <v>0</v>
      </c>
      <c r="P18" s="103">
        <f>+'6-A. Proc. Sub-Annex'!Q114</f>
        <v>0</v>
      </c>
      <c r="Q18" s="67"/>
      <c r="R18" s="159"/>
    </row>
    <row r="19" spans="1:18" x14ac:dyDescent="0.2">
      <c r="A19" s="4072"/>
      <c r="B19" s="103" t="str">
        <f>+'6-A. Proc. Sub-Annex'!C115</f>
        <v>O1.1.2.2</v>
      </c>
      <c r="C19" s="103" t="str">
        <f>+'6-A. Proc. Sub-Annex'!D115</f>
        <v>Non recurring: Equipment for Cancer  Care</v>
      </c>
      <c r="D19" s="103" t="str">
        <f>+'6-A. Proc. Sub-Annex'!E115</f>
        <v>NCD</v>
      </c>
      <c r="E19" s="103" t="str">
        <f>+'6-A. Proc. Sub-Annex'!F115</f>
        <v>NPCDCS</v>
      </c>
      <c r="F19" s="2002">
        <f>+'6-A. Proc. Sub-Annex'!G115</f>
        <v>0</v>
      </c>
      <c r="G19" s="2002">
        <f>+'6-A. Proc. Sub-Annex'!H115</f>
        <v>0</v>
      </c>
      <c r="H19" s="2002">
        <f>+'6-A. Proc. Sub-Annex'!I115</f>
        <v>0</v>
      </c>
      <c r="I19" s="2002">
        <f>+'6-A. Proc. Sub-Annex'!J115</f>
        <v>0</v>
      </c>
      <c r="J19" s="2002">
        <f>+'6-A. Proc. Sub-Annex'!K115</f>
        <v>0</v>
      </c>
      <c r="K19" s="2002">
        <f>+'6-A. Proc. Sub-Annex'!L115</f>
        <v>0</v>
      </c>
      <c r="L19" s="2002">
        <f>+'6-A. Proc. Sub-Annex'!M115</f>
        <v>0</v>
      </c>
      <c r="M19" s="178">
        <f>+'6-A. Proc. Sub-Annex'!N115</f>
        <v>0</v>
      </c>
      <c r="N19" s="2002">
        <f>+'6-A. Proc. Sub-Annex'!O115</f>
        <v>0</v>
      </c>
      <c r="O19" s="178">
        <f>+'6-A. Proc. Sub-Annex'!P115</f>
        <v>0</v>
      </c>
      <c r="P19" s="103">
        <f>+'6-A. Proc. Sub-Annex'!Q115</f>
        <v>0</v>
      </c>
      <c r="Q19" s="67"/>
      <c r="R19" s="159"/>
    </row>
    <row r="20" spans="1:18" ht="30" x14ac:dyDescent="0.2">
      <c r="A20" s="4072"/>
      <c r="B20" s="103" t="str">
        <f>+'6-A. Proc. Sub-Annex'!C116</f>
        <v>O1.1.3.2</v>
      </c>
      <c r="C20" s="103" t="str">
        <f>+'6-A. Proc. Sub-Annex'!D116</f>
        <v>Non-recurring: Equipment at District NCD clinic</v>
      </c>
      <c r="D20" s="103" t="str">
        <f>+'6-A. Proc. Sub-Annex'!E116</f>
        <v>NCD</v>
      </c>
      <c r="E20" s="103" t="str">
        <f>+'6-A. Proc. Sub-Annex'!F116</f>
        <v>NPCDCS</v>
      </c>
      <c r="F20" s="2002">
        <f>+'6-A. Proc. Sub-Annex'!G116</f>
        <v>0</v>
      </c>
      <c r="G20" s="2002">
        <f>+'6-A. Proc. Sub-Annex'!H116</f>
        <v>0</v>
      </c>
      <c r="H20" s="2002">
        <f>+'6-A. Proc. Sub-Annex'!I116</f>
        <v>0</v>
      </c>
      <c r="I20" s="2002">
        <f>+'6-A. Proc. Sub-Annex'!J116</f>
        <v>0</v>
      </c>
      <c r="J20" s="2002">
        <f>+'6-A. Proc. Sub-Annex'!K116</f>
        <v>0</v>
      </c>
      <c r="K20" s="2002">
        <f>+'6-A. Proc. Sub-Annex'!L116</f>
        <v>0</v>
      </c>
      <c r="L20" s="2002">
        <f>+'6-A. Proc. Sub-Annex'!M116</f>
        <v>0</v>
      </c>
      <c r="M20" s="178">
        <f>+'6-A. Proc. Sub-Annex'!N116</f>
        <v>0</v>
      </c>
      <c r="N20" s="2002">
        <f>+'6-A. Proc. Sub-Annex'!O116</f>
        <v>0</v>
      </c>
      <c r="O20" s="178">
        <f>+'6-A. Proc. Sub-Annex'!P116</f>
        <v>0</v>
      </c>
      <c r="P20" s="103">
        <f>+'6-A. Proc. Sub-Annex'!Q116</f>
        <v>0</v>
      </c>
      <c r="Q20" s="67"/>
      <c r="R20" s="159"/>
    </row>
    <row r="21" spans="1:18" ht="30" x14ac:dyDescent="0.2">
      <c r="A21" s="4072"/>
      <c r="B21" s="103" t="str">
        <f>+'6-A. Proc. Sub-Annex'!C117</f>
        <v>O1.1.4.1</v>
      </c>
      <c r="C21" s="103" t="str">
        <f>+'6-A. Proc. Sub-Annex'!D117</f>
        <v>Non-recurring: Equipment at CHC NCD clinic</v>
      </c>
      <c r="D21" s="103" t="str">
        <f>+'6-A. Proc. Sub-Annex'!E117</f>
        <v>NCD</v>
      </c>
      <c r="E21" s="103" t="str">
        <f>+'6-A. Proc. Sub-Annex'!F117</f>
        <v>NPCDCS</v>
      </c>
      <c r="F21" s="2002">
        <f>+'6-A. Proc. Sub-Annex'!G117</f>
        <v>0</v>
      </c>
      <c r="G21" s="2002">
        <f>+'6-A. Proc. Sub-Annex'!H117</f>
        <v>0</v>
      </c>
      <c r="H21" s="2002">
        <f>+'6-A. Proc. Sub-Annex'!I117</f>
        <v>0</v>
      </c>
      <c r="I21" s="2002">
        <f>+'6-A. Proc. Sub-Annex'!J117</f>
        <v>0</v>
      </c>
      <c r="J21" s="2002">
        <f>+'6-A. Proc. Sub-Annex'!K117</f>
        <v>0</v>
      </c>
      <c r="K21" s="2002">
        <f>+'6-A. Proc. Sub-Annex'!L117</f>
        <v>0</v>
      </c>
      <c r="L21" s="2002">
        <f>+'6-A. Proc. Sub-Annex'!M117</f>
        <v>0</v>
      </c>
      <c r="M21" s="178">
        <f>+'6-A. Proc. Sub-Annex'!N117</f>
        <v>0</v>
      </c>
      <c r="N21" s="2002">
        <f>+'6-A. Proc. Sub-Annex'!O117</f>
        <v>0</v>
      </c>
      <c r="O21" s="178">
        <f>+'6-A. Proc. Sub-Annex'!P117</f>
        <v>0</v>
      </c>
      <c r="P21" s="103">
        <f>+'6-A. Proc. Sub-Annex'!Q117</f>
        <v>0</v>
      </c>
      <c r="Q21" s="67"/>
      <c r="R21" s="159"/>
    </row>
    <row r="22" spans="1:18" x14ac:dyDescent="0.2">
      <c r="A22" s="4072"/>
      <c r="B22" s="103"/>
      <c r="C22" s="103" t="str">
        <f>+'6-A. Proc. Sub-Annex'!D119</f>
        <v>Any other equipment (please specify)</v>
      </c>
      <c r="D22" s="103" t="str">
        <f>+'6-A. Proc. Sub-Annex'!E119</f>
        <v>NCD</v>
      </c>
      <c r="E22" s="103" t="str">
        <f>+'6-A. Proc. Sub-Annex'!F119</f>
        <v>NPCDCS</v>
      </c>
      <c r="F22" s="2002">
        <f>+'6-A. Proc. Sub-Annex'!G119</f>
        <v>0</v>
      </c>
      <c r="G22" s="2002">
        <f>+'6-A. Proc. Sub-Annex'!H119</f>
        <v>0</v>
      </c>
      <c r="H22" s="2002">
        <f>+'6-A. Proc. Sub-Annex'!I119</f>
        <v>0</v>
      </c>
      <c r="I22" s="2002">
        <f>+'6-A. Proc. Sub-Annex'!J119</f>
        <v>0</v>
      </c>
      <c r="J22" s="2002">
        <f>+'6-A. Proc. Sub-Annex'!K119</f>
        <v>0</v>
      </c>
      <c r="K22" s="2002">
        <f>+'6-A. Proc. Sub-Annex'!L119</f>
        <v>0</v>
      </c>
      <c r="L22" s="2002">
        <f>+'6-A. Proc. Sub-Annex'!M119</f>
        <v>0</v>
      </c>
      <c r="M22" s="178">
        <f>+'6-A. Proc. Sub-Annex'!N119</f>
        <v>0</v>
      </c>
      <c r="N22" s="2002">
        <f>+'6-A. Proc. Sub-Annex'!O119</f>
        <v>0</v>
      </c>
      <c r="O22" s="178">
        <f>+'6-A. Proc. Sub-Annex'!P119</f>
        <v>0</v>
      </c>
      <c r="P22" s="103">
        <f>+'6-A. Proc. Sub-Annex'!Q119</f>
        <v>0</v>
      </c>
      <c r="Q22" s="67"/>
      <c r="R22" s="159"/>
    </row>
    <row r="23" spans="1:18" ht="30" x14ac:dyDescent="0.2">
      <c r="A23" s="4072"/>
      <c r="B23" s="103" t="str">
        <f>'6-A. Proc. Sub-Annex'!C118</f>
        <v>B.18.2</v>
      </c>
      <c r="C23" s="103" t="str">
        <f>'6-A. Proc. Sub-Annex'!D118</f>
        <v>Procurement for Universal Screening of NCDs</v>
      </c>
      <c r="D23" s="103" t="str">
        <f>'6-A. Proc. Sub-Annex'!E118</f>
        <v>NCD</v>
      </c>
      <c r="E23" s="103" t="str">
        <f>'6-A. Proc. Sub-Annex'!F118</f>
        <v>NPCDCS</v>
      </c>
      <c r="F23" s="2002">
        <f>'6-A. Proc. Sub-Annex'!G118</f>
        <v>0</v>
      </c>
      <c r="G23" s="2002">
        <f>'6-A. Proc. Sub-Annex'!H118</f>
        <v>0</v>
      </c>
      <c r="H23" s="2002">
        <f>'6-A. Proc. Sub-Annex'!I118</f>
        <v>0</v>
      </c>
      <c r="I23" s="2002">
        <f>'6-A. Proc. Sub-Annex'!J118</f>
        <v>0</v>
      </c>
      <c r="J23" s="2002">
        <f>'6-A. Proc. Sub-Annex'!K118</f>
        <v>0</v>
      </c>
      <c r="K23" s="2002">
        <f>'6-A. Proc. Sub-Annex'!L118</f>
        <v>0</v>
      </c>
      <c r="L23" s="2002">
        <f>'6-A. Proc. Sub-Annex'!M118</f>
        <v>0</v>
      </c>
      <c r="M23" s="178">
        <f>'6-A. Proc. Sub-Annex'!N118</f>
        <v>0</v>
      </c>
      <c r="N23" s="2002">
        <f>'6-A. Proc. Sub-Annex'!O118</f>
        <v>0</v>
      </c>
      <c r="O23" s="178">
        <f>'6-A. Proc. Sub-Annex'!P118</f>
        <v>0</v>
      </c>
      <c r="P23" s="103">
        <f>'6-A. Proc. Sub-Annex'!Q118</f>
        <v>0</v>
      </c>
      <c r="Q23" s="67"/>
      <c r="R23" s="159"/>
    </row>
    <row r="24" spans="1:18" ht="60" x14ac:dyDescent="0.2">
      <c r="A24" s="4072" t="str">
        <f>'6.Procurement Annex'!A83</f>
        <v>6.2.4.5</v>
      </c>
      <c r="B24" s="103" t="str">
        <f>+'6-A. Proc. Sub-Annex'!C263</f>
        <v>B.16.2.11.8.a</v>
      </c>
      <c r="C24" s="103" t="str">
        <f>+'6-A. Proc. Sub-Annex'!D263</f>
        <v>Drugs &amp; consumables for NCD management (includes Diabetes, Hypertension, Stroke, etc) for whole district</v>
      </c>
      <c r="D24" s="103" t="str">
        <f>+'6-A. Proc. Sub-Annex'!E263</f>
        <v>NCD</v>
      </c>
      <c r="E24" s="103" t="str">
        <f>+'6-A. Proc. Sub-Annex'!F263</f>
        <v>NPCDCS</v>
      </c>
      <c r="F24" s="2002">
        <f>+'6-A. Proc. Sub-Annex'!G263</f>
        <v>0</v>
      </c>
      <c r="G24" s="2002">
        <f>+'6-A. Proc. Sub-Annex'!H263</f>
        <v>0</v>
      </c>
      <c r="H24" s="2002">
        <f>+'6-A. Proc. Sub-Annex'!I263</f>
        <v>0</v>
      </c>
      <c r="I24" s="2002">
        <f>+'6-A. Proc. Sub-Annex'!J263</f>
        <v>0</v>
      </c>
      <c r="J24" s="2002">
        <f>+'6-A. Proc. Sub-Annex'!K263</f>
        <v>0</v>
      </c>
      <c r="K24" s="2002">
        <f>+'6-A. Proc. Sub-Annex'!L263</f>
        <v>0</v>
      </c>
      <c r="L24" s="2002">
        <f>+'6-A. Proc. Sub-Annex'!M263</f>
        <v>0</v>
      </c>
      <c r="M24" s="178">
        <f>+'6-A. Proc. Sub-Annex'!N263</f>
        <v>0</v>
      </c>
      <c r="N24" s="2002">
        <f>+'6-A. Proc. Sub-Annex'!O263</f>
        <v>0</v>
      </c>
      <c r="O24" s="178">
        <f>+'6-A. Proc. Sub-Annex'!P263</f>
        <v>0</v>
      </c>
      <c r="P24" s="103">
        <f>+'6-A. Proc. Sub-Annex'!Q263</f>
        <v>0</v>
      </c>
      <c r="Q24" s="67"/>
      <c r="R24" s="159"/>
    </row>
    <row r="25" spans="1:18" ht="30" x14ac:dyDescent="0.2">
      <c r="A25" s="4072"/>
      <c r="B25" s="103" t="str">
        <f>+'6-A. Proc. Sub-Annex'!C264</f>
        <v>B.16.2.11.8.b</v>
      </c>
      <c r="C25" s="103" t="str">
        <f>+'6-A. Proc. Sub-Annex'!D264</f>
        <v>COPD Drugs and Consumables in whole district</v>
      </c>
      <c r="D25" s="103" t="str">
        <f>+'6-A. Proc. Sub-Annex'!E264</f>
        <v>NCD</v>
      </c>
      <c r="E25" s="103" t="str">
        <f>+'6-A. Proc. Sub-Annex'!F264</f>
        <v>NPCDCS</v>
      </c>
      <c r="F25" s="2002">
        <f>+'6-A. Proc. Sub-Annex'!G264</f>
        <v>0</v>
      </c>
      <c r="G25" s="2002">
        <f>+'6-A. Proc. Sub-Annex'!H264</f>
        <v>0</v>
      </c>
      <c r="H25" s="2002">
        <f>+'6-A. Proc. Sub-Annex'!I264</f>
        <v>0</v>
      </c>
      <c r="I25" s="2002">
        <f>+'6-A. Proc. Sub-Annex'!J264</f>
        <v>0</v>
      </c>
      <c r="J25" s="2002">
        <f>+'6-A. Proc. Sub-Annex'!K264</f>
        <v>0</v>
      </c>
      <c r="K25" s="2002">
        <f>+'6-A. Proc. Sub-Annex'!L264</f>
        <v>0</v>
      </c>
      <c r="L25" s="2002">
        <f>+'6-A. Proc. Sub-Annex'!M264</f>
        <v>0</v>
      </c>
      <c r="M25" s="178">
        <f>+'6-A. Proc. Sub-Annex'!N264</f>
        <v>0</v>
      </c>
      <c r="N25" s="2002">
        <f>+'6-A. Proc. Sub-Annex'!O264</f>
        <v>0</v>
      </c>
      <c r="O25" s="178">
        <f>+'6-A. Proc. Sub-Annex'!P264</f>
        <v>0</v>
      </c>
      <c r="P25" s="103">
        <f>+'6-A. Proc. Sub-Annex'!Q264</f>
        <v>0</v>
      </c>
      <c r="Q25" s="67"/>
      <c r="R25" s="159"/>
    </row>
    <row r="26" spans="1:18" x14ac:dyDescent="0.2">
      <c r="A26" s="4072"/>
      <c r="B26" s="103">
        <f>+'6-A. Proc. Sub-Annex'!C265</f>
        <v>0</v>
      </c>
      <c r="C26" s="103" t="str">
        <f>+'6-A. Proc. Sub-Annex'!D265</f>
        <v>Drugs &amp; Diagnostics for Cardiac care</v>
      </c>
      <c r="D26" s="103" t="str">
        <f>+'6-A. Proc. Sub-Annex'!E265</f>
        <v>NCD</v>
      </c>
      <c r="E26" s="103" t="str">
        <f>+'6-A. Proc. Sub-Annex'!F265</f>
        <v>NPCDCS</v>
      </c>
      <c r="F26" s="2002">
        <f>+'6-A. Proc. Sub-Annex'!G265</f>
        <v>0</v>
      </c>
      <c r="G26" s="2002">
        <f>+'6-A. Proc. Sub-Annex'!H265</f>
        <v>0</v>
      </c>
      <c r="H26" s="2002">
        <f>+'6-A. Proc. Sub-Annex'!I265</f>
        <v>0</v>
      </c>
      <c r="I26" s="2002">
        <f>+'6-A. Proc. Sub-Annex'!J265</f>
        <v>0</v>
      </c>
      <c r="J26" s="2002">
        <f>+'6-A. Proc. Sub-Annex'!K265</f>
        <v>0</v>
      </c>
      <c r="K26" s="2002">
        <f>+'6-A. Proc. Sub-Annex'!L265</f>
        <v>0</v>
      </c>
      <c r="L26" s="2002">
        <f>+'6-A. Proc. Sub-Annex'!M265</f>
        <v>0</v>
      </c>
      <c r="M26" s="178">
        <f>+'6-A. Proc. Sub-Annex'!N265</f>
        <v>0</v>
      </c>
      <c r="N26" s="2002">
        <f>+'6-A. Proc. Sub-Annex'!O265</f>
        <v>0</v>
      </c>
      <c r="O26" s="178">
        <f>+'6-A. Proc. Sub-Annex'!P265</f>
        <v>0</v>
      </c>
      <c r="P26" s="103">
        <f>+'6-A. Proc. Sub-Annex'!Q265</f>
        <v>0</v>
      </c>
      <c r="Q26" s="67"/>
      <c r="R26" s="159"/>
    </row>
    <row r="27" spans="1:18" x14ac:dyDescent="0.2">
      <c r="A27" s="4072"/>
      <c r="B27" s="103">
        <f>+'6-A. Proc. Sub-Annex'!C266</f>
        <v>0</v>
      </c>
      <c r="C27" s="103" t="str">
        <f>+'6-A. Proc. Sub-Annex'!D266</f>
        <v>Drugs &amp; Diagnostics Cancer care</v>
      </c>
      <c r="D27" s="103" t="str">
        <f>+'6-A. Proc. Sub-Annex'!E266</f>
        <v>NCD</v>
      </c>
      <c r="E27" s="103" t="str">
        <f>+'6-A. Proc. Sub-Annex'!F266</f>
        <v>NPCDCS</v>
      </c>
      <c r="F27" s="2002">
        <f>+'6-A. Proc. Sub-Annex'!G266</f>
        <v>0</v>
      </c>
      <c r="G27" s="2002">
        <f>+'6-A. Proc. Sub-Annex'!H266</f>
        <v>0</v>
      </c>
      <c r="H27" s="2002">
        <f>+'6-A. Proc. Sub-Annex'!I266</f>
        <v>0</v>
      </c>
      <c r="I27" s="2002">
        <f>+'6-A. Proc. Sub-Annex'!J266</f>
        <v>0</v>
      </c>
      <c r="J27" s="2002">
        <f>+'6-A. Proc. Sub-Annex'!K266</f>
        <v>0</v>
      </c>
      <c r="K27" s="2002">
        <f>+'6-A. Proc. Sub-Annex'!L266</f>
        <v>0</v>
      </c>
      <c r="L27" s="2002">
        <f>+'6-A. Proc. Sub-Annex'!M266</f>
        <v>0</v>
      </c>
      <c r="M27" s="178">
        <f>+'6-A. Proc. Sub-Annex'!N266</f>
        <v>0</v>
      </c>
      <c r="N27" s="2002">
        <f>+'6-A. Proc. Sub-Annex'!O266</f>
        <v>0</v>
      </c>
      <c r="O27" s="178">
        <f>+'6-A. Proc. Sub-Annex'!P266</f>
        <v>0</v>
      </c>
      <c r="P27" s="103">
        <f>+'6-A. Proc. Sub-Annex'!Q266</f>
        <v>0</v>
      </c>
      <c r="Q27" s="67"/>
      <c r="R27" s="159"/>
    </row>
    <row r="28" spans="1:18" ht="30" x14ac:dyDescent="0.2">
      <c r="A28" s="4072"/>
      <c r="B28" s="103" t="str">
        <f>+'6-A. Proc. Sub-Annex'!C267</f>
        <v>B.16.2.11.8.c</v>
      </c>
      <c r="C28" s="103" t="str">
        <f>+'6-A. Proc. Sub-Annex'!D267</f>
        <v>Drugs &amp; Diagnostics for NCD management (includes Diabetes, Hypertension, etc)</v>
      </c>
      <c r="D28" s="103" t="str">
        <f>+'6-A. Proc. Sub-Annex'!E267</f>
        <v>NCD</v>
      </c>
      <c r="E28" s="103" t="str">
        <f>+'6-A. Proc. Sub-Annex'!F267</f>
        <v>NPCDCS</v>
      </c>
      <c r="F28" s="2002">
        <f>+'6-A. Proc. Sub-Annex'!G267</f>
        <v>0</v>
      </c>
      <c r="G28" s="2002">
        <f>+'6-A. Proc. Sub-Annex'!H267</f>
        <v>0</v>
      </c>
      <c r="H28" s="2002">
        <f>+'6-A. Proc. Sub-Annex'!I267</f>
        <v>0</v>
      </c>
      <c r="I28" s="2002">
        <f>+'6-A. Proc. Sub-Annex'!J267</f>
        <v>0</v>
      </c>
      <c r="J28" s="2002">
        <f>+'6-A. Proc. Sub-Annex'!K267</f>
        <v>0</v>
      </c>
      <c r="K28" s="2002">
        <f>+'6-A. Proc. Sub-Annex'!L267</f>
        <v>0</v>
      </c>
      <c r="L28" s="2002">
        <f>+'6-A. Proc. Sub-Annex'!M267</f>
        <v>0</v>
      </c>
      <c r="M28" s="178">
        <f>+'6-A. Proc. Sub-Annex'!N267</f>
        <v>0</v>
      </c>
      <c r="N28" s="2002">
        <f>+'6-A. Proc. Sub-Annex'!O267</f>
        <v>0</v>
      </c>
      <c r="O28" s="178">
        <f>+'6-A. Proc. Sub-Annex'!P267</f>
        <v>0</v>
      </c>
      <c r="P28" s="103">
        <f>+'6-A. Proc. Sub-Annex'!Q267</f>
        <v>0</v>
      </c>
      <c r="Q28" s="67"/>
      <c r="R28" s="159"/>
    </row>
    <row r="29" spans="1:18" ht="30" x14ac:dyDescent="0.2">
      <c r="A29" s="4072"/>
      <c r="B29" s="103" t="str">
        <f>+'6-A. Proc. Sub-Annex'!C268</f>
        <v>B.16.2.11.8.d</v>
      </c>
      <c r="C29" s="103" t="str">
        <f>+'6-A. Proc. Sub-Annex'!D268</f>
        <v>Consumables for PHC level: Glucostrips, lancet, swabs, etc</v>
      </c>
      <c r="D29" s="103" t="str">
        <f>+'6-A. Proc. Sub-Annex'!E268</f>
        <v>NCD</v>
      </c>
      <c r="E29" s="103" t="str">
        <f>+'6-A. Proc. Sub-Annex'!F268</f>
        <v>NPCDCS</v>
      </c>
      <c r="F29" s="2002">
        <f>+'6-A. Proc. Sub-Annex'!G268</f>
        <v>0</v>
      </c>
      <c r="G29" s="2002">
        <f>+'6-A. Proc. Sub-Annex'!H268</f>
        <v>0</v>
      </c>
      <c r="H29" s="2002">
        <f>+'6-A. Proc. Sub-Annex'!I268</f>
        <v>0</v>
      </c>
      <c r="I29" s="2002">
        <f>+'6-A. Proc. Sub-Annex'!J268</f>
        <v>0</v>
      </c>
      <c r="J29" s="2002">
        <f>+'6-A. Proc. Sub-Annex'!K268</f>
        <v>0</v>
      </c>
      <c r="K29" s="2002">
        <f>+'6-A. Proc. Sub-Annex'!L268</f>
        <v>0</v>
      </c>
      <c r="L29" s="2002">
        <f>+'6-A. Proc. Sub-Annex'!M268</f>
        <v>0</v>
      </c>
      <c r="M29" s="178">
        <f>+'6-A. Proc. Sub-Annex'!N268</f>
        <v>0</v>
      </c>
      <c r="N29" s="2002">
        <f>+'6-A. Proc. Sub-Annex'!O268</f>
        <v>0</v>
      </c>
      <c r="O29" s="178">
        <f>+'6-A. Proc. Sub-Annex'!P268</f>
        <v>0</v>
      </c>
      <c r="P29" s="103">
        <f>+'6-A. Proc. Sub-Annex'!Q268</f>
        <v>0</v>
      </c>
      <c r="Q29" s="67"/>
      <c r="R29" s="159"/>
    </row>
    <row r="30" spans="1:18" ht="30" x14ac:dyDescent="0.2">
      <c r="A30" s="4072"/>
      <c r="B30" s="103" t="str">
        <f>+'6-A. Proc. Sub-Annex'!C269</f>
        <v>B.16.2.11.8.e</v>
      </c>
      <c r="C30" s="103" t="str">
        <f>+'6-A. Proc. Sub-Annex'!D269</f>
        <v>Consumables for Sub-Centre level: Glucostrips, lancet, swabs, etc</v>
      </c>
      <c r="D30" s="103" t="str">
        <f>+'6-A. Proc. Sub-Annex'!E269</f>
        <v>NCD</v>
      </c>
      <c r="E30" s="103" t="str">
        <f>+'6-A. Proc. Sub-Annex'!F269</f>
        <v>NPCDCS</v>
      </c>
      <c r="F30" s="2002">
        <f>+'6-A. Proc. Sub-Annex'!G269</f>
        <v>0</v>
      </c>
      <c r="G30" s="2002">
        <f>+'6-A. Proc. Sub-Annex'!H269</f>
        <v>0</v>
      </c>
      <c r="H30" s="2002">
        <f>+'6-A. Proc. Sub-Annex'!I269</f>
        <v>0</v>
      </c>
      <c r="I30" s="2002">
        <f>+'6-A. Proc. Sub-Annex'!J269</f>
        <v>0</v>
      </c>
      <c r="J30" s="2002">
        <f>+'6-A. Proc. Sub-Annex'!K269</f>
        <v>0</v>
      </c>
      <c r="K30" s="2002">
        <f>+'6-A. Proc. Sub-Annex'!L269</f>
        <v>0</v>
      </c>
      <c r="L30" s="2002">
        <f>+'6-A. Proc. Sub-Annex'!M269</f>
        <v>0</v>
      </c>
      <c r="M30" s="178">
        <f>+'6-A. Proc. Sub-Annex'!N269</f>
        <v>0</v>
      </c>
      <c r="N30" s="2002">
        <f>+'6-A. Proc. Sub-Annex'!O269</f>
        <v>0</v>
      </c>
      <c r="O30" s="178">
        <f>+'6-A. Proc. Sub-Annex'!P269</f>
        <v>0</v>
      </c>
      <c r="P30" s="103">
        <f>+'6-A. Proc. Sub-Annex'!Q269</f>
        <v>0</v>
      </c>
      <c r="Q30" s="67"/>
      <c r="R30" s="159"/>
    </row>
    <row r="31" spans="1:18" ht="30" x14ac:dyDescent="0.2">
      <c r="A31" s="4072"/>
      <c r="B31" s="103" t="str">
        <f>+'6-A. Proc. Sub-Annex'!C270</f>
        <v>B18.2</v>
      </c>
      <c r="C31" s="103" t="str">
        <f>+'6-A. Proc. Sub-Annex'!D270</f>
        <v>Drugs &amp; supplies for Universal Screening of NCDs</v>
      </c>
      <c r="D31" s="103" t="str">
        <f>+'6-A. Proc. Sub-Annex'!E270</f>
        <v>NCD</v>
      </c>
      <c r="E31" s="103" t="str">
        <f>+'6-A. Proc. Sub-Annex'!F270</f>
        <v>NPCDCS</v>
      </c>
      <c r="F31" s="2002">
        <f>+'6-A. Proc. Sub-Annex'!G270</f>
        <v>0</v>
      </c>
      <c r="G31" s="2002">
        <f>+'6-A. Proc. Sub-Annex'!H270</f>
        <v>0</v>
      </c>
      <c r="H31" s="2002">
        <f>+'6-A. Proc. Sub-Annex'!I270</f>
        <v>0</v>
      </c>
      <c r="I31" s="2002">
        <f>+'6-A. Proc. Sub-Annex'!J270</f>
        <v>0</v>
      </c>
      <c r="J31" s="2002">
        <f>+'6-A. Proc. Sub-Annex'!K270</f>
        <v>0</v>
      </c>
      <c r="K31" s="2002">
        <f>+'6-A. Proc. Sub-Annex'!L270</f>
        <v>0</v>
      </c>
      <c r="L31" s="2002">
        <f>+'6-A. Proc. Sub-Annex'!M270</f>
        <v>0</v>
      </c>
      <c r="M31" s="178">
        <f>+'6-A. Proc. Sub-Annex'!N270</f>
        <v>0</v>
      </c>
      <c r="N31" s="2002">
        <f>+'6-A. Proc. Sub-Annex'!O270</f>
        <v>0</v>
      </c>
      <c r="O31" s="178">
        <f>+'6-A. Proc. Sub-Annex'!P270</f>
        <v>0</v>
      </c>
      <c r="P31" s="103">
        <f>+'6-A. Proc. Sub-Annex'!Q270</f>
        <v>0</v>
      </c>
      <c r="Q31" s="67"/>
      <c r="R31" s="159"/>
    </row>
    <row r="32" spans="1:18" x14ac:dyDescent="0.2">
      <c r="A32" s="1465">
        <f>'7.Referral Transport Annex'!A7</f>
        <v>7</v>
      </c>
      <c r="B32" s="1465"/>
      <c r="C32" s="1465" t="str">
        <f>'7.Referral Transport Annex'!C7</f>
        <v>Referral Transport</v>
      </c>
      <c r="D32" s="1465"/>
      <c r="E32" s="1410"/>
      <c r="F32" s="1410"/>
      <c r="G32" s="1410"/>
      <c r="H32" s="1410"/>
      <c r="I32" s="1410"/>
      <c r="J32" s="1410"/>
      <c r="K32" s="1410"/>
      <c r="L32" s="1410"/>
      <c r="M32" s="528"/>
      <c r="N32" s="1410"/>
      <c r="O32" s="528">
        <f>SUM(O33:O34)</f>
        <v>0</v>
      </c>
      <c r="P32" s="1465"/>
      <c r="Q32" s="2121"/>
      <c r="R32" s="170">
        <f>SUM(R33:R34)</f>
        <v>0</v>
      </c>
    </row>
    <row r="33" spans="1:18" x14ac:dyDescent="0.2">
      <c r="A33" s="103" t="str">
        <f>+'7.Referral Transport Annex'!A26</f>
        <v>7.6.1</v>
      </c>
      <c r="B33" s="103" t="str">
        <f>+'7.Referral Transport Annex'!B26</f>
        <v>O.2.1.6.6.i</v>
      </c>
      <c r="C33" s="103" t="str">
        <f>+'7.Referral Transport Annex'!C26</f>
        <v>District NCD Clinic</v>
      </c>
      <c r="D33" s="103" t="str">
        <f>+'7.Referral Transport Annex'!D26</f>
        <v>NCD</v>
      </c>
      <c r="E33" s="2002" t="str">
        <f>+'7.Referral Transport Annex'!E26</f>
        <v>NPCDCS</v>
      </c>
      <c r="F33" s="2002">
        <f>+'7.Referral Transport Annex'!F26</f>
        <v>0</v>
      </c>
      <c r="G33" s="2002">
        <f>+'7.Referral Transport Annex'!G26</f>
        <v>0</v>
      </c>
      <c r="H33" s="2002">
        <f>+'7.Referral Transport Annex'!H26</f>
        <v>0</v>
      </c>
      <c r="I33" s="2002">
        <f>+'7.Referral Transport Annex'!I26</f>
        <v>0</v>
      </c>
      <c r="J33" s="2002">
        <f>+'7.Referral Transport Annex'!J26</f>
        <v>0</v>
      </c>
      <c r="K33" s="2002">
        <f>+'7.Referral Transport Annex'!K26</f>
        <v>0</v>
      </c>
      <c r="L33" s="2002">
        <f>+'7.Referral Transport Annex'!L26</f>
        <v>0</v>
      </c>
      <c r="M33" s="178">
        <f>+'7.Referral Transport Annex'!M26</f>
        <v>0</v>
      </c>
      <c r="N33" s="2002">
        <f>+'7.Referral Transport Annex'!N26</f>
        <v>0</v>
      </c>
      <c r="O33" s="178">
        <f>+'7.Referral Transport Annex'!O26</f>
        <v>0</v>
      </c>
      <c r="P33" s="103">
        <f>+'7.Referral Transport Annex'!P26</f>
        <v>0</v>
      </c>
      <c r="Q33" s="67"/>
      <c r="R33" s="159"/>
    </row>
    <row r="34" spans="1:18" x14ac:dyDescent="0.2">
      <c r="A34" s="103" t="str">
        <f>+'7.Referral Transport Annex'!A27</f>
        <v>7.6.2</v>
      </c>
      <c r="B34" s="103" t="str">
        <f>+'7.Referral Transport Annex'!B27</f>
        <v>O.2.1.6.6.ii</v>
      </c>
      <c r="C34" s="103" t="str">
        <f>+'7.Referral Transport Annex'!C27</f>
        <v>CHC NCD Clinic</v>
      </c>
      <c r="D34" s="103" t="str">
        <f>+'7.Referral Transport Annex'!D27</f>
        <v>NCD</v>
      </c>
      <c r="E34" s="2002" t="str">
        <f>+'7.Referral Transport Annex'!E27</f>
        <v>NPCDCS</v>
      </c>
      <c r="F34" s="2002">
        <f>+'7.Referral Transport Annex'!F27</f>
        <v>0</v>
      </c>
      <c r="G34" s="2002">
        <f>+'7.Referral Transport Annex'!G27</f>
        <v>0</v>
      </c>
      <c r="H34" s="2002">
        <f>+'7.Referral Transport Annex'!H27</f>
        <v>0</v>
      </c>
      <c r="I34" s="2002">
        <f>+'7.Referral Transport Annex'!I27</f>
        <v>0</v>
      </c>
      <c r="J34" s="2002">
        <f>+'7.Referral Transport Annex'!J27</f>
        <v>0</v>
      </c>
      <c r="K34" s="2002">
        <f>+'7.Referral Transport Annex'!K27</f>
        <v>0</v>
      </c>
      <c r="L34" s="2002">
        <f>+'7.Referral Transport Annex'!L27</f>
        <v>0</v>
      </c>
      <c r="M34" s="178">
        <f>+'7.Referral Transport Annex'!M27</f>
        <v>0</v>
      </c>
      <c r="N34" s="2002">
        <f>+'7.Referral Transport Annex'!N27</f>
        <v>0</v>
      </c>
      <c r="O34" s="178">
        <f>+'7.Referral Transport Annex'!O27</f>
        <v>0</v>
      </c>
      <c r="P34" s="103">
        <f>+'7.Referral Transport Annex'!P27</f>
        <v>0</v>
      </c>
      <c r="Q34" s="67"/>
      <c r="R34" s="159"/>
    </row>
    <row r="35" spans="1:18" x14ac:dyDescent="0.2">
      <c r="A35" s="1465">
        <f>'9.Training Annex'!A7</f>
        <v>9</v>
      </c>
      <c r="B35" s="1465"/>
      <c r="C35" s="1465" t="str">
        <f>'9.Training Annex'!C7</f>
        <v>Training and Capacity Building</v>
      </c>
      <c r="D35" s="1465"/>
      <c r="E35" s="1410"/>
      <c r="F35" s="1410"/>
      <c r="G35" s="1410"/>
      <c r="H35" s="1410"/>
      <c r="I35" s="1410"/>
      <c r="J35" s="1410"/>
      <c r="K35" s="1410"/>
      <c r="L35" s="1410"/>
      <c r="M35" s="528"/>
      <c r="N35" s="1410"/>
      <c r="O35" s="528">
        <f>SUM(O36:O39)</f>
        <v>0</v>
      </c>
      <c r="P35" s="1465"/>
      <c r="Q35" s="2121"/>
      <c r="R35" s="170">
        <f>SUM(R36:R39)</f>
        <v>0</v>
      </c>
    </row>
    <row r="36" spans="1:18" x14ac:dyDescent="0.2">
      <c r="A36" s="4076" t="str">
        <f>'9.Training Annex'!A59</f>
        <v>9.2.4.5</v>
      </c>
      <c r="B36" s="103" t="str">
        <f>'9-A.Training Sub-Annex'!C263</f>
        <v>O.2.3.1</v>
      </c>
      <c r="C36" s="103" t="str">
        <f>+'9-A.Training Sub-Annex'!D263</f>
        <v>State NCD  Cell</v>
      </c>
      <c r="D36" s="103" t="str">
        <f>+'9-A.Training Sub-Annex'!E263</f>
        <v>NCD</v>
      </c>
      <c r="E36" s="2002" t="str">
        <f>+'9-A.Training Sub-Annex'!F263</f>
        <v>NPCDCS</v>
      </c>
      <c r="F36" s="2002">
        <f>+'9-A.Training Sub-Annex'!G263</f>
        <v>0</v>
      </c>
      <c r="G36" s="2002">
        <f>+'9-A.Training Sub-Annex'!H263</f>
        <v>0</v>
      </c>
      <c r="H36" s="2002">
        <f>+'9-A.Training Sub-Annex'!I263</f>
        <v>0</v>
      </c>
      <c r="I36" s="2002">
        <f>+'9-A.Training Sub-Annex'!J263</f>
        <v>0</v>
      </c>
      <c r="J36" s="2002">
        <f>+'9-A.Training Sub-Annex'!K263</f>
        <v>0</v>
      </c>
      <c r="K36" s="2002">
        <f>+'9-A.Training Sub-Annex'!L263</f>
        <v>0</v>
      </c>
      <c r="L36" s="2002">
        <f>+'9-A.Training Sub-Annex'!M263</f>
        <v>0</v>
      </c>
      <c r="M36" s="178">
        <f>+'9-A.Training Sub-Annex'!N263</f>
        <v>0</v>
      </c>
      <c r="N36" s="2002">
        <f>+'9-A.Training Sub-Annex'!O263</f>
        <v>0</v>
      </c>
      <c r="O36" s="178">
        <f>+'9-A.Training Sub-Annex'!P263</f>
        <v>0</v>
      </c>
      <c r="P36" s="103">
        <f>+'9-A.Training Sub-Annex'!Q263</f>
        <v>0</v>
      </c>
      <c r="Q36" s="67"/>
      <c r="R36" s="159"/>
    </row>
    <row r="37" spans="1:18" x14ac:dyDescent="0.2">
      <c r="A37" s="4076"/>
      <c r="B37" s="103" t="str">
        <f>'9-A.Training Sub-Annex'!C264</f>
        <v>O.2.3.2</v>
      </c>
      <c r="C37" s="103" t="str">
        <f>+'9-A.Training Sub-Annex'!D264</f>
        <v>District  NCD Cell</v>
      </c>
      <c r="D37" s="103" t="str">
        <f>+'9-A.Training Sub-Annex'!E264</f>
        <v>NCD</v>
      </c>
      <c r="E37" s="2002" t="str">
        <f>+'9-A.Training Sub-Annex'!F264</f>
        <v>NPCDCS</v>
      </c>
      <c r="F37" s="2002">
        <f>+'9-A.Training Sub-Annex'!G264</f>
        <v>0</v>
      </c>
      <c r="G37" s="2002">
        <f>+'9-A.Training Sub-Annex'!H264</f>
        <v>0</v>
      </c>
      <c r="H37" s="2002">
        <f>+'9-A.Training Sub-Annex'!I264</f>
        <v>0</v>
      </c>
      <c r="I37" s="2002">
        <f>+'9-A.Training Sub-Annex'!J264</f>
        <v>0</v>
      </c>
      <c r="J37" s="2002">
        <f>+'9-A.Training Sub-Annex'!K264</f>
        <v>0</v>
      </c>
      <c r="K37" s="2002">
        <f>+'9-A.Training Sub-Annex'!L264</f>
        <v>0</v>
      </c>
      <c r="L37" s="2002">
        <f>+'9-A.Training Sub-Annex'!M264</f>
        <v>0</v>
      </c>
      <c r="M37" s="178">
        <f>+'9-A.Training Sub-Annex'!N264</f>
        <v>0</v>
      </c>
      <c r="N37" s="2002">
        <f>+'9-A.Training Sub-Annex'!O264</f>
        <v>0</v>
      </c>
      <c r="O37" s="178">
        <f>+'9-A.Training Sub-Annex'!P264</f>
        <v>0</v>
      </c>
      <c r="P37" s="103">
        <f>+'9-A.Training Sub-Annex'!Q264</f>
        <v>0</v>
      </c>
      <c r="Q37" s="67"/>
      <c r="R37" s="159"/>
    </row>
    <row r="38" spans="1:18" x14ac:dyDescent="0.2">
      <c r="A38" s="4076"/>
      <c r="B38" s="103">
        <f>'9-A.Training Sub-Annex'!C265</f>
        <v>0</v>
      </c>
      <c r="C38" s="103" t="str">
        <f>+'9-A.Training Sub-Annex'!D265</f>
        <v>Training for Universal Screening for NCDs</v>
      </c>
      <c r="D38" s="103" t="str">
        <f>+'9-A.Training Sub-Annex'!E265</f>
        <v>NCD</v>
      </c>
      <c r="E38" s="2002" t="str">
        <f>+'9-A.Training Sub-Annex'!F265</f>
        <v>NPCDCS</v>
      </c>
      <c r="F38" s="2002">
        <f>+'9-A.Training Sub-Annex'!G265</f>
        <v>0</v>
      </c>
      <c r="G38" s="2002">
        <f>+'9-A.Training Sub-Annex'!H265</f>
        <v>0</v>
      </c>
      <c r="H38" s="2002">
        <f>+'9-A.Training Sub-Annex'!I265</f>
        <v>0</v>
      </c>
      <c r="I38" s="2002">
        <f>+'9-A.Training Sub-Annex'!J265</f>
        <v>0</v>
      </c>
      <c r="J38" s="2002">
        <f>+'9-A.Training Sub-Annex'!K265</f>
        <v>0</v>
      </c>
      <c r="K38" s="2002">
        <f>+'9-A.Training Sub-Annex'!L265</f>
        <v>0</v>
      </c>
      <c r="L38" s="2002">
        <f>+'9-A.Training Sub-Annex'!M265</f>
        <v>0</v>
      </c>
      <c r="M38" s="178">
        <f>+'9-A.Training Sub-Annex'!N265</f>
        <v>0</v>
      </c>
      <c r="N38" s="2002">
        <f>+'9-A.Training Sub-Annex'!O265</f>
        <v>0</v>
      </c>
      <c r="O38" s="178">
        <f>+'9-A.Training Sub-Annex'!P265</f>
        <v>0</v>
      </c>
      <c r="P38" s="103">
        <f>+'9-A.Training Sub-Annex'!Q265</f>
        <v>0</v>
      </c>
      <c r="Q38" s="67"/>
      <c r="R38" s="159"/>
    </row>
    <row r="39" spans="1:18" x14ac:dyDescent="0.2">
      <c r="A39" s="4076"/>
      <c r="B39" s="103">
        <f>'9-A.Training Sub-Annex'!C266</f>
        <v>0</v>
      </c>
      <c r="C39" s="103" t="str">
        <f>+'9-A.Training Sub-Annex'!D266</f>
        <v>Any other (please specify)</v>
      </c>
      <c r="D39" s="103" t="str">
        <f>+'9-A.Training Sub-Annex'!E266</f>
        <v>NCD</v>
      </c>
      <c r="E39" s="2002" t="str">
        <f>+'9-A.Training Sub-Annex'!F266</f>
        <v>NPCDCS</v>
      </c>
      <c r="F39" s="2002">
        <f>+'9-A.Training Sub-Annex'!G266</f>
        <v>0</v>
      </c>
      <c r="G39" s="2002">
        <f>+'9-A.Training Sub-Annex'!H266</f>
        <v>0</v>
      </c>
      <c r="H39" s="2002">
        <f>+'9-A.Training Sub-Annex'!I266</f>
        <v>0</v>
      </c>
      <c r="I39" s="2002">
        <f>+'9-A.Training Sub-Annex'!J266</f>
        <v>0</v>
      </c>
      <c r="J39" s="2002">
        <f>+'9-A.Training Sub-Annex'!K266</f>
        <v>0</v>
      </c>
      <c r="K39" s="2002">
        <f>+'9-A.Training Sub-Annex'!L266</f>
        <v>0</v>
      </c>
      <c r="L39" s="2002">
        <f>+'9-A.Training Sub-Annex'!M266</f>
        <v>0</v>
      </c>
      <c r="M39" s="178">
        <f>+'9-A.Training Sub-Annex'!N266</f>
        <v>0</v>
      </c>
      <c r="N39" s="2002">
        <f>+'9-A.Training Sub-Annex'!O266</f>
        <v>0</v>
      </c>
      <c r="O39" s="178">
        <f>+'9-A.Training Sub-Annex'!P266</f>
        <v>0</v>
      </c>
      <c r="P39" s="103">
        <f>+'9-A.Training Sub-Annex'!Q266</f>
        <v>0</v>
      </c>
      <c r="Q39" s="67"/>
      <c r="R39" s="159"/>
    </row>
    <row r="40" spans="1:18" ht="30" x14ac:dyDescent="0.2">
      <c r="A40" s="1465">
        <f>'10.Review Research &amp; Surveillen'!A7</f>
        <v>10</v>
      </c>
      <c r="B40" s="1465"/>
      <c r="C40" s="1465" t="str">
        <f>'10.Review Research &amp; Surveillen'!C7</f>
        <v>Reviews, Research, Surveys and Surveillance</v>
      </c>
      <c r="D40" s="1465"/>
      <c r="E40" s="1410"/>
      <c r="F40" s="1410"/>
      <c r="G40" s="1410"/>
      <c r="H40" s="1410"/>
      <c r="I40" s="1410"/>
      <c r="J40" s="1410"/>
      <c r="K40" s="1410"/>
      <c r="L40" s="1410"/>
      <c r="M40" s="528"/>
      <c r="N40" s="1410"/>
      <c r="O40" s="528">
        <f>SUM(O41:O45)</f>
        <v>0</v>
      </c>
      <c r="P40" s="1465"/>
      <c r="Q40" s="2121"/>
      <c r="R40" s="170">
        <f>SUM(R41:R45)</f>
        <v>0</v>
      </c>
    </row>
    <row r="41" spans="1:18" x14ac:dyDescent="0.2">
      <c r="A41" s="2014" t="str">
        <f>+'10.Review Research &amp; Surveillen'!A29</f>
        <v>10.2.12</v>
      </c>
      <c r="B41" s="2014" t="str">
        <f>+'10.Review Research &amp; Surveillen'!B29</f>
        <v>O.2.7.1</v>
      </c>
      <c r="C41" s="2014" t="str">
        <f>+'10.Review Research &amp; Surveillen'!C29</f>
        <v>Research at State NCD Cell</v>
      </c>
      <c r="D41" s="2014" t="str">
        <f>+'10.Review Research &amp; Surveillen'!D29</f>
        <v>NCD</v>
      </c>
      <c r="E41" s="2041" t="str">
        <f>+'10.Review Research &amp; Surveillen'!E29</f>
        <v>NPCDCS</v>
      </c>
      <c r="F41" s="2041">
        <f>+'10.Review Research &amp; Surveillen'!F29</f>
        <v>0</v>
      </c>
      <c r="G41" s="2041">
        <f>+'10.Review Research &amp; Surveillen'!G29</f>
        <v>0</v>
      </c>
      <c r="H41" s="2041">
        <f>+'10.Review Research &amp; Surveillen'!H29</f>
        <v>0</v>
      </c>
      <c r="I41" s="2041">
        <f>+'10.Review Research &amp; Surveillen'!I29</f>
        <v>0</v>
      </c>
      <c r="J41" s="2041">
        <f>+'10.Review Research &amp; Surveillen'!J29</f>
        <v>0</v>
      </c>
      <c r="K41" s="2041">
        <f>+'10.Review Research &amp; Surveillen'!K29</f>
        <v>0</v>
      </c>
      <c r="L41" s="2041">
        <f>+'10.Review Research &amp; Surveillen'!L29</f>
        <v>0</v>
      </c>
      <c r="M41" s="178">
        <f>+'10.Review Research &amp; Surveillen'!M29</f>
        <v>0</v>
      </c>
      <c r="N41" s="2041">
        <f>+'10.Review Research &amp; Surveillen'!N29</f>
        <v>0</v>
      </c>
      <c r="O41" s="178">
        <f>+'10.Review Research &amp; Surveillen'!O29</f>
        <v>0</v>
      </c>
      <c r="P41" s="2014">
        <f>+'10.Review Research &amp; Surveillen'!P29</f>
        <v>0</v>
      </c>
      <c r="Q41" s="67"/>
      <c r="R41" s="159"/>
    </row>
    <row r="42" spans="1:18" x14ac:dyDescent="0.2">
      <c r="A42" s="2014" t="str">
        <f>+'10.Review Research &amp; Surveillen'!A30</f>
        <v>10.2.13</v>
      </c>
      <c r="B42" s="2014" t="str">
        <f>+'10.Review Research &amp; Surveillen'!B30</f>
        <v>O.2.7.2</v>
      </c>
      <c r="C42" s="2014" t="str">
        <f>+'10.Review Research &amp; Surveillen'!C30</f>
        <v>Research at Institutes</v>
      </c>
      <c r="D42" s="2014" t="str">
        <f>+'10.Review Research &amp; Surveillen'!D30</f>
        <v>NCD</v>
      </c>
      <c r="E42" s="2041" t="str">
        <f>+'10.Review Research &amp; Surveillen'!E30</f>
        <v>NPCDCS</v>
      </c>
      <c r="F42" s="2041">
        <f>+'10.Review Research &amp; Surveillen'!F30</f>
        <v>0</v>
      </c>
      <c r="G42" s="2041">
        <f>+'10.Review Research &amp; Surveillen'!G30</f>
        <v>0</v>
      </c>
      <c r="H42" s="2041">
        <f>+'10.Review Research &amp; Surveillen'!H30</f>
        <v>0</v>
      </c>
      <c r="I42" s="2041">
        <f>+'10.Review Research &amp; Surveillen'!I30</f>
        <v>0</v>
      </c>
      <c r="J42" s="2041">
        <f>+'10.Review Research &amp; Surveillen'!J30</f>
        <v>0</v>
      </c>
      <c r="K42" s="2041">
        <f>+'10.Review Research &amp; Surveillen'!K30</f>
        <v>0</v>
      </c>
      <c r="L42" s="2041">
        <f>+'10.Review Research &amp; Surveillen'!L30</f>
        <v>0</v>
      </c>
      <c r="M42" s="178">
        <f>+'10.Review Research &amp; Surveillen'!M30</f>
        <v>0</v>
      </c>
      <c r="N42" s="2041">
        <f>+'10.Review Research &amp; Surveillen'!N30</f>
        <v>0</v>
      </c>
      <c r="O42" s="178">
        <f>+'10.Review Research &amp; Surveillen'!O30</f>
        <v>0</v>
      </c>
      <c r="P42" s="2014">
        <f>+'10.Review Research &amp; Surveillen'!P30</f>
        <v>0</v>
      </c>
      <c r="Q42" s="67"/>
      <c r="R42" s="159"/>
    </row>
    <row r="43" spans="1:18" x14ac:dyDescent="0.2">
      <c r="A43" s="103" t="str">
        <f>+'10.Review Research &amp; Surveillen'!A43</f>
        <v>10.3.2.1</v>
      </c>
      <c r="B43" s="103" t="str">
        <f>+'10.Review Research &amp; Surveillen'!B43</f>
        <v>O.2.7.1</v>
      </c>
      <c r="C43" s="103" t="str">
        <f>+'10.Review Research &amp; Surveillen'!C43</f>
        <v>At State NCD Cell</v>
      </c>
      <c r="D43" s="103" t="str">
        <f>+'10.Review Research &amp; Surveillen'!D43</f>
        <v>NCD</v>
      </c>
      <c r="E43" s="2002" t="str">
        <f>+'10.Review Research &amp; Surveillen'!E43</f>
        <v>NPCDCS</v>
      </c>
      <c r="F43" s="2002">
        <f>+'10.Review Research &amp; Surveillen'!F43</f>
        <v>0</v>
      </c>
      <c r="G43" s="2002">
        <f>+'10.Review Research &amp; Surveillen'!G43</f>
        <v>0</v>
      </c>
      <c r="H43" s="2002">
        <f>+'10.Review Research &amp; Surveillen'!H43</f>
        <v>0</v>
      </c>
      <c r="I43" s="2002">
        <f>+'10.Review Research &amp; Surveillen'!I43</f>
        <v>0</v>
      </c>
      <c r="J43" s="2002">
        <f>+'10.Review Research &amp; Surveillen'!J43</f>
        <v>0</v>
      </c>
      <c r="K43" s="2002">
        <f>+'10.Review Research &amp; Surveillen'!K43</f>
        <v>0</v>
      </c>
      <c r="L43" s="2002">
        <f>+'10.Review Research &amp; Surveillen'!L43</f>
        <v>0</v>
      </c>
      <c r="M43" s="178">
        <f>+'10.Review Research &amp; Surveillen'!M43</f>
        <v>0</v>
      </c>
      <c r="N43" s="2002">
        <f>+'10.Review Research &amp; Surveillen'!N43</f>
        <v>0</v>
      </c>
      <c r="O43" s="178">
        <f>+'10.Review Research &amp; Surveillen'!O43</f>
        <v>0</v>
      </c>
      <c r="P43" s="103">
        <f>+'10.Review Research &amp; Surveillen'!P43</f>
        <v>0</v>
      </c>
      <c r="Q43" s="67"/>
      <c r="R43" s="159"/>
    </row>
    <row r="44" spans="1:18" x14ac:dyDescent="0.2">
      <c r="A44" s="103" t="str">
        <f>+'10.Review Research &amp; Surveillen'!A44</f>
        <v>10.3.2.2</v>
      </c>
      <c r="B44" s="103" t="str">
        <f>+'10.Review Research &amp; Surveillen'!B44</f>
        <v>O.2.7.2</v>
      </c>
      <c r="C44" s="103" t="str">
        <f>+'10.Review Research &amp; Surveillen'!C44</f>
        <v>At Institutes</v>
      </c>
      <c r="D44" s="103" t="str">
        <f>+'10.Review Research &amp; Surveillen'!D44</f>
        <v>NCD</v>
      </c>
      <c r="E44" s="2002" t="str">
        <f>+'10.Review Research &amp; Surveillen'!E44</f>
        <v>NPCDCS</v>
      </c>
      <c r="F44" s="2002">
        <f>+'10.Review Research &amp; Surveillen'!F44</f>
        <v>0</v>
      </c>
      <c r="G44" s="2002">
        <f>+'10.Review Research &amp; Surveillen'!G44</f>
        <v>0</v>
      </c>
      <c r="H44" s="2002">
        <f>+'10.Review Research &amp; Surveillen'!H44</f>
        <v>0</v>
      </c>
      <c r="I44" s="2002">
        <f>+'10.Review Research &amp; Surveillen'!I44</f>
        <v>0</v>
      </c>
      <c r="J44" s="2002">
        <f>+'10.Review Research &amp; Surveillen'!J44</f>
        <v>0</v>
      </c>
      <c r="K44" s="2002">
        <f>+'10.Review Research &amp; Surveillen'!K44</f>
        <v>0</v>
      </c>
      <c r="L44" s="2002">
        <f>+'10.Review Research &amp; Surveillen'!L44</f>
        <v>0</v>
      </c>
      <c r="M44" s="178">
        <f>+'10.Review Research &amp; Surveillen'!M44</f>
        <v>0</v>
      </c>
      <c r="N44" s="2002">
        <f>+'10.Review Research &amp; Surveillen'!N44</f>
        <v>0</v>
      </c>
      <c r="O44" s="178">
        <f>+'10.Review Research &amp; Surveillen'!O44</f>
        <v>0</v>
      </c>
      <c r="P44" s="103">
        <f>+'10.Review Research &amp; Surveillen'!P44</f>
        <v>0</v>
      </c>
      <c r="Q44" s="67"/>
      <c r="R44" s="159"/>
    </row>
    <row r="45" spans="1:18" x14ac:dyDescent="0.2">
      <c r="A45" s="103" t="str">
        <f>+'10.Review Research &amp; Surveillen'!A45</f>
        <v>10.3.2.3</v>
      </c>
      <c r="B45" s="103"/>
      <c r="C45" s="103" t="str">
        <f>+'10.Review Research &amp; Surveillen'!C45</f>
        <v>Any other (please specify)</v>
      </c>
      <c r="D45" s="103" t="str">
        <f>+'10.Review Research &amp; Surveillen'!D45</f>
        <v>NCD</v>
      </c>
      <c r="E45" s="2002" t="str">
        <f>+'10.Review Research &amp; Surveillen'!E45</f>
        <v>NPCDCS</v>
      </c>
      <c r="F45" s="2002">
        <f>+'10.Review Research &amp; Surveillen'!F45</f>
        <v>0</v>
      </c>
      <c r="G45" s="2002">
        <f>+'10.Review Research &amp; Surveillen'!G45</f>
        <v>0</v>
      </c>
      <c r="H45" s="2002">
        <f>+'10.Review Research &amp; Surveillen'!H45</f>
        <v>0</v>
      </c>
      <c r="I45" s="2002">
        <f>+'10.Review Research &amp; Surveillen'!I45</f>
        <v>0</v>
      </c>
      <c r="J45" s="2002">
        <f>+'10.Review Research &amp; Surveillen'!J45</f>
        <v>0</v>
      </c>
      <c r="K45" s="2002">
        <f>+'10.Review Research &amp; Surveillen'!K45</f>
        <v>0</v>
      </c>
      <c r="L45" s="2002">
        <f>+'10.Review Research &amp; Surveillen'!L45</f>
        <v>0</v>
      </c>
      <c r="M45" s="178">
        <f>+'10.Review Research &amp; Surveillen'!M45</f>
        <v>0</v>
      </c>
      <c r="N45" s="2002">
        <f>+'10.Review Research &amp; Surveillen'!N45</f>
        <v>0</v>
      </c>
      <c r="O45" s="178">
        <f>+'10.Review Research &amp; Surveillen'!O45</f>
        <v>0</v>
      </c>
      <c r="P45" s="103">
        <f>+'10.Review Research &amp; Surveillen'!P45</f>
        <v>0</v>
      </c>
      <c r="Q45" s="67"/>
      <c r="R45" s="159"/>
    </row>
    <row r="46" spans="1:18" x14ac:dyDescent="0.2">
      <c r="A46" s="1754">
        <f>'11.IEC-BCC Annex'!A7</f>
        <v>11</v>
      </c>
      <c r="B46" s="1754"/>
      <c r="C46" s="1754" t="str">
        <f>'11.IEC-BCC Annex'!C7</f>
        <v>IEC/BCC</v>
      </c>
      <c r="D46" s="1754"/>
      <c r="E46" s="1755"/>
      <c r="F46" s="1755"/>
      <c r="G46" s="1755"/>
      <c r="H46" s="1755"/>
      <c r="I46" s="1755"/>
      <c r="J46" s="1755"/>
      <c r="K46" s="1755"/>
      <c r="L46" s="1755"/>
      <c r="M46" s="528"/>
      <c r="N46" s="1755"/>
      <c r="O46" s="528">
        <f>SUM(O47:O50)</f>
        <v>0</v>
      </c>
      <c r="P46" s="1754"/>
      <c r="Q46" s="2121"/>
      <c r="R46" s="170">
        <f>SUM(R47:R50)</f>
        <v>0</v>
      </c>
    </row>
    <row r="47" spans="1:18" x14ac:dyDescent="0.2">
      <c r="A47" s="103" t="str">
        <f>'11.IEC-BCC Annex'!A36</f>
        <v>11.4.5</v>
      </c>
      <c r="B47" s="103" t="str">
        <f>+'11-A. IEC Sub-Annex'!C90</f>
        <v>O.2.3.1</v>
      </c>
      <c r="C47" s="103" t="str">
        <f>+'11-A. IEC Sub-Annex'!D90</f>
        <v>IEC/BCC for State NCD  Cell</v>
      </c>
      <c r="D47" s="103" t="str">
        <f>+'11-A. IEC Sub-Annex'!E90</f>
        <v>NCD</v>
      </c>
      <c r="E47" s="2002" t="str">
        <f>+'11-A. IEC Sub-Annex'!F90</f>
        <v>NPCDCS</v>
      </c>
      <c r="F47" s="2002">
        <f>+'11-A. IEC Sub-Annex'!G90</f>
        <v>0</v>
      </c>
      <c r="G47" s="2002">
        <f>+'11-A. IEC Sub-Annex'!H90</f>
        <v>0</v>
      </c>
      <c r="H47" s="2002">
        <f>+'11-A. IEC Sub-Annex'!I90</f>
        <v>0</v>
      </c>
      <c r="I47" s="2002">
        <f>+'11-A. IEC Sub-Annex'!J90</f>
        <v>0</v>
      </c>
      <c r="J47" s="2002">
        <f>+'11-A. IEC Sub-Annex'!K90</f>
        <v>0</v>
      </c>
      <c r="K47" s="2002">
        <f>+'11-A. IEC Sub-Annex'!L90</f>
        <v>0</v>
      </c>
      <c r="L47" s="2002">
        <f>+'11-A. IEC Sub-Annex'!M90</f>
        <v>0</v>
      </c>
      <c r="M47" s="178">
        <f>+'11-A. IEC Sub-Annex'!N90</f>
        <v>0</v>
      </c>
      <c r="N47" s="2002">
        <f>+'11-A. IEC Sub-Annex'!O90</f>
        <v>0</v>
      </c>
      <c r="O47" s="178">
        <f>+'11-A. IEC Sub-Annex'!P90</f>
        <v>0</v>
      </c>
      <c r="P47" s="103">
        <f>+'11-A. IEC Sub-Annex'!Q90</f>
        <v>0</v>
      </c>
      <c r="Q47" s="67"/>
      <c r="R47" s="159"/>
    </row>
    <row r="48" spans="1:18" x14ac:dyDescent="0.2">
      <c r="A48" s="103"/>
      <c r="B48" s="103" t="str">
        <f>+'11-A. IEC Sub-Annex'!C91</f>
        <v>O.2.3.2</v>
      </c>
      <c r="C48" s="103" t="str">
        <f>+'11-A. IEC Sub-Annex'!D91</f>
        <v>IEC/BCC for District  NCD Cell</v>
      </c>
      <c r="D48" s="103" t="str">
        <f>+'11-A. IEC Sub-Annex'!E91</f>
        <v>NCD</v>
      </c>
      <c r="E48" s="2002" t="str">
        <f>+'11-A. IEC Sub-Annex'!F91</f>
        <v>NPCDCS</v>
      </c>
      <c r="F48" s="2002">
        <f>+'11-A. IEC Sub-Annex'!G91</f>
        <v>0</v>
      </c>
      <c r="G48" s="2002">
        <f>+'11-A. IEC Sub-Annex'!H91</f>
        <v>0</v>
      </c>
      <c r="H48" s="2002">
        <f>+'11-A. IEC Sub-Annex'!I91</f>
        <v>0</v>
      </c>
      <c r="I48" s="2002">
        <f>+'11-A. IEC Sub-Annex'!J91</f>
        <v>0</v>
      </c>
      <c r="J48" s="2002">
        <f>+'11-A. IEC Sub-Annex'!K91</f>
        <v>0</v>
      </c>
      <c r="K48" s="2002">
        <f>+'11-A. IEC Sub-Annex'!L91</f>
        <v>0</v>
      </c>
      <c r="L48" s="2002">
        <f>+'11-A. IEC Sub-Annex'!M91</f>
        <v>0</v>
      </c>
      <c r="M48" s="178">
        <f>+'11-A. IEC Sub-Annex'!N91</f>
        <v>0</v>
      </c>
      <c r="N48" s="2002">
        <f>+'11-A. IEC Sub-Annex'!O91</f>
        <v>0</v>
      </c>
      <c r="O48" s="178">
        <f>+'11-A. IEC Sub-Annex'!P91</f>
        <v>0</v>
      </c>
      <c r="P48" s="103">
        <f>+'11-A. IEC Sub-Annex'!Q91</f>
        <v>0</v>
      </c>
      <c r="Q48" s="67"/>
      <c r="R48" s="159"/>
    </row>
    <row r="49" spans="1:18" ht="30" x14ac:dyDescent="0.2">
      <c r="A49" s="103"/>
      <c r="B49" s="103">
        <f>+'11-A. IEC Sub-Annex'!C92</f>
        <v>0</v>
      </c>
      <c r="C49" s="103" t="str">
        <f>+'11-A. IEC Sub-Annex'!D92</f>
        <v>IEC/BCC activities for Universal Screening of NCDs</v>
      </c>
      <c r="D49" s="103" t="str">
        <f>+'11-A. IEC Sub-Annex'!E92</f>
        <v>NCD</v>
      </c>
      <c r="E49" s="2002" t="str">
        <f>+'11-A. IEC Sub-Annex'!F92</f>
        <v>HSS/NPCDCS</v>
      </c>
      <c r="F49" s="2002">
        <f>+'11-A. IEC Sub-Annex'!G92</f>
        <v>0</v>
      </c>
      <c r="G49" s="2002">
        <f>+'11-A. IEC Sub-Annex'!H92</f>
        <v>0</v>
      </c>
      <c r="H49" s="2002">
        <f>+'11-A. IEC Sub-Annex'!I92</f>
        <v>0</v>
      </c>
      <c r="I49" s="2002">
        <f>+'11-A. IEC Sub-Annex'!J92</f>
        <v>0</v>
      </c>
      <c r="J49" s="2002">
        <f>+'11-A. IEC Sub-Annex'!K92</f>
        <v>0</v>
      </c>
      <c r="K49" s="2002">
        <f>+'11-A. IEC Sub-Annex'!L92</f>
        <v>0</v>
      </c>
      <c r="L49" s="2002">
        <f>+'11-A. IEC Sub-Annex'!M92</f>
        <v>0</v>
      </c>
      <c r="M49" s="178">
        <f>+'11-A. IEC Sub-Annex'!N92</f>
        <v>0</v>
      </c>
      <c r="N49" s="2002">
        <f>+'11-A. IEC Sub-Annex'!O92</f>
        <v>0</v>
      </c>
      <c r="O49" s="178">
        <f>+'11-A. IEC Sub-Annex'!P92</f>
        <v>0</v>
      </c>
      <c r="P49" s="103">
        <f>+'11-A. IEC Sub-Annex'!Q92</f>
        <v>0</v>
      </c>
      <c r="Q49" s="67"/>
      <c r="R49" s="159"/>
    </row>
    <row r="50" spans="1:18" ht="30" x14ac:dyDescent="0.2">
      <c r="A50" s="103"/>
      <c r="B50" s="103">
        <f>+'11-A. IEC Sub-Annex'!C93</f>
        <v>0</v>
      </c>
      <c r="C50" s="103" t="str">
        <f>+'11-A. IEC Sub-Annex'!D93</f>
        <v>Any other IEC/BCC activities (please specify)</v>
      </c>
      <c r="D50" s="103" t="str">
        <f>+'11-A. IEC Sub-Annex'!E93</f>
        <v>NCD</v>
      </c>
      <c r="E50" s="2002" t="str">
        <f>+'11-A. IEC Sub-Annex'!F93</f>
        <v>NPCDCS</v>
      </c>
      <c r="F50" s="2002">
        <f>+'11-A. IEC Sub-Annex'!G93</f>
        <v>0</v>
      </c>
      <c r="G50" s="2002">
        <f>+'11-A. IEC Sub-Annex'!H93</f>
        <v>0</v>
      </c>
      <c r="H50" s="2002">
        <f>+'11-A. IEC Sub-Annex'!I93</f>
        <v>0</v>
      </c>
      <c r="I50" s="2002">
        <f>+'11-A. IEC Sub-Annex'!J93</f>
        <v>0</v>
      </c>
      <c r="J50" s="2002">
        <f>+'11-A. IEC Sub-Annex'!K93</f>
        <v>0</v>
      </c>
      <c r="K50" s="2002">
        <f>+'11-A. IEC Sub-Annex'!L93</f>
        <v>0</v>
      </c>
      <c r="L50" s="2002">
        <f>+'11-A. IEC Sub-Annex'!M93</f>
        <v>0</v>
      </c>
      <c r="M50" s="178">
        <f>+'11-A. IEC Sub-Annex'!N93</f>
        <v>0</v>
      </c>
      <c r="N50" s="2002">
        <f>+'11-A. IEC Sub-Annex'!O93</f>
        <v>0</v>
      </c>
      <c r="O50" s="178">
        <f>+'11-A. IEC Sub-Annex'!P93</f>
        <v>0</v>
      </c>
      <c r="P50" s="103">
        <f>+'11-A. IEC Sub-Annex'!Q93</f>
        <v>0</v>
      </c>
      <c r="Q50" s="67"/>
      <c r="R50" s="159"/>
    </row>
    <row r="51" spans="1:18" x14ac:dyDescent="0.2">
      <c r="A51" s="1754">
        <f>'12.Printing Annex'!A7</f>
        <v>12</v>
      </c>
      <c r="B51" s="1754"/>
      <c r="C51" s="1754" t="str">
        <f>'12.Printing Annex'!C7</f>
        <v>Printing</v>
      </c>
      <c r="D51" s="1754"/>
      <c r="E51" s="1755"/>
      <c r="F51" s="1755"/>
      <c r="G51" s="1755"/>
      <c r="H51" s="1755"/>
      <c r="I51" s="1755"/>
      <c r="J51" s="1755"/>
      <c r="K51" s="1755"/>
      <c r="L51" s="1755"/>
      <c r="M51" s="528"/>
      <c r="N51" s="1755"/>
      <c r="O51" s="528">
        <f>SUM(O52:O55)</f>
        <v>0</v>
      </c>
      <c r="P51" s="1754"/>
      <c r="Q51" s="2121"/>
      <c r="R51" s="170">
        <f>SUM(R52:R55)</f>
        <v>0</v>
      </c>
    </row>
    <row r="52" spans="1:18" x14ac:dyDescent="0.2">
      <c r="A52" s="4072" t="str">
        <f>'12.Printing Annex'!A38</f>
        <v>12.4.5</v>
      </c>
      <c r="B52" s="103" t="str">
        <f>'12-A. Print Sub-Annex'!C99</f>
        <v>O.2.2.1.8.i</v>
      </c>
      <c r="C52" s="103" t="str">
        <f>+'12-A. Print Sub-Annex'!D99</f>
        <v>Patient referral cards at PHC Level</v>
      </c>
      <c r="D52" s="103" t="str">
        <f>+'12-A. Print Sub-Annex'!E99</f>
        <v>NCD</v>
      </c>
      <c r="E52" s="2002" t="str">
        <f>+'12-A. Print Sub-Annex'!F99</f>
        <v>NPCDCS</v>
      </c>
      <c r="F52" s="2002">
        <f>+'12-A. Print Sub-Annex'!G99</f>
        <v>0</v>
      </c>
      <c r="G52" s="2002">
        <f>+'12-A. Print Sub-Annex'!H99</f>
        <v>0</v>
      </c>
      <c r="H52" s="2002">
        <f>+'12-A. Print Sub-Annex'!I99</f>
        <v>0</v>
      </c>
      <c r="I52" s="2002">
        <f>+'12-A. Print Sub-Annex'!J99</f>
        <v>0</v>
      </c>
      <c r="J52" s="2002">
        <f>+'12-A. Print Sub-Annex'!K99</f>
        <v>0</v>
      </c>
      <c r="K52" s="2002">
        <f>+'12-A. Print Sub-Annex'!L99</f>
        <v>0</v>
      </c>
      <c r="L52" s="2002">
        <f>+'12-A. Print Sub-Annex'!M99</f>
        <v>0</v>
      </c>
      <c r="M52" s="178">
        <f>+'12-A. Print Sub-Annex'!N99</f>
        <v>0</v>
      </c>
      <c r="N52" s="2002">
        <f>+'12-A. Print Sub-Annex'!O99</f>
        <v>0</v>
      </c>
      <c r="O52" s="178">
        <f>+'12-A. Print Sub-Annex'!P99</f>
        <v>0</v>
      </c>
      <c r="P52" s="103">
        <f>+'12-A. Print Sub-Annex'!Q99</f>
        <v>0</v>
      </c>
      <c r="Q52" s="67"/>
      <c r="R52" s="159"/>
    </row>
    <row r="53" spans="1:18" x14ac:dyDescent="0.2">
      <c r="A53" s="4072"/>
      <c r="B53" s="103" t="str">
        <f>'12-A. Print Sub-Annex'!C100</f>
        <v>O.2.2.1.8.ii</v>
      </c>
      <c r="C53" s="103" t="str">
        <f>+'12-A. Print Sub-Annex'!D100</f>
        <v>Patient referral cards at Sub-centre level</v>
      </c>
      <c r="D53" s="103" t="str">
        <f>+'12-A. Print Sub-Annex'!E100</f>
        <v>NCD</v>
      </c>
      <c r="E53" s="2002" t="str">
        <f>+'12-A. Print Sub-Annex'!F100</f>
        <v>NPCDCS</v>
      </c>
      <c r="F53" s="2002">
        <f>+'12-A. Print Sub-Annex'!G100</f>
        <v>0</v>
      </c>
      <c r="G53" s="2002">
        <f>+'12-A. Print Sub-Annex'!H100</f>
        <v>0</v>
      </c>
      <c r="H53" s="2002">
        <f>+'12-A. Print Sub-Annex'!I100</f>
        <v>0</v>
      </c>
      <c r="I53" s="2002">
        <f>+'12-A. Print Sub-Annex'!J100</f>
        <v>0</v>
      </c>
      <c r="J53" s="2002">
        <f>+'12-A. Print Sub-Annex'!K100</f>
        <v>0</v>
      </c>
      <c r="K53" s="2002">
        <f>+'12-A. Print Sub-Annex'!L100</f>
        <v>0</v>
      </c>
      <c r="L53" s="2002">
        <f>+'12-A. Print Sub-Annex'!M100</f>
        <v>0</v>
      </c>
      <c r="M53" s="178">
        <f>+'12-A. Print Sub-Annex'!N100</f>
        <v>0</v>
      </c>
      <c r="N53" s="2002">
        <f>+'12-A. Print Sub-Annex'!O100</f>
        <v>0</v>
      </c>
      <c r="O53" s="178">
        <f>+'12-A. Print Sub-Annex'!P100</f>
        <v>0</v>
      </c>
      <c r="P53" s="103">
        <f>+'12-A. Print Sub-Annex'!Q100</f>
        <v>0</v>
      </c>
      <c r="Q53" s="67"/>
      <c r="R53" s="159"/>
    </row>
    <row r="54" spans="1:18" ht="30" x14ac:dyDescent="0.2">
      <c r="A54" s="4072"/>
      <c r="B54" s="103">
        <f>'12-A. Print Sub-Annex'!C101</f>
        <v>0</v>
      </c>
      <c r="C54" s="103" t="str">
        <f>+'12-A. Print Sub-Annex'!D101</f>
        <v>Printing activities for Universal Screening of NCDs - printing of cards and modules</v>
      </c>
      <c r="D54" s="103" t="str">
        <f>+'12-A. Print Sub-Annex'!E101</f>
        <v>NCD</v>
      </c>
      <c r="E54" s="2002" t="str">
        <f>+'12-A. Print Sub-Annex'!F101</f>
        <v>NPCDCS</v>
      </c>
      <c r="F54" s="2002">
        <f>+'12-A. Print Sub-Annex'!G101</f>
        <v>0</v>
      </c>
      <c r="G54" s="2002">
        <f>+'12-A. Print Sub-Annex'!H101</f>
        <v>0</v>
      </c>
      <c r="H54" s="2002">
        <f>+'12-A. Print Sub-Annex'!I101</f>
        <v>0</v>
      </c>
      <c r="I54" s="2002">
        <f>+'12-A. Print Sub-Annex'!J101</f>
        <v>0</v>
      </c>
      <c r="J54" s="2002">
        <f>+'12-A. Print Sub-Annex'!K101</f>
        <v>0</v>
      </c>
      <c r="K54" s="2002">
        <f>+'12-A. Print Sub-Annex'!L101</f>
        <v>0</v>
      </c>
      <c r="L54" s="2002">
        <f>+'12-A. Print Sub-Annex'!M101</f>
        <v>0</v>
      </c>
      <c r="M54" s="178">
        <f>+'12-A. Print Sub-Annex'!N101</f>
        <v>0</v>
      </c>
      <c r="N54" s="2002">
        <f>+'12-A. Print Sub-Annex'!O101</f>
        <v>0</v>
      </c>
      <c r="O54" s="178">
        <f>+'12-A. Print Sub-Annex'!P101</f>
        <v>0</v>
      </c>
      <c r="P54" s="103">
        <f>+'12-A. Print Sub-Annex'!Q101</f>
        <v>0</v>
      </c>
      <c r="Q54" s="67"/>
      <c r="R54" s="159"/>
    </row>
    <row r="55" spans="1:18" x14ac:dyDescent="0.2">
      <c r="A55" s="4072"/>
      <c r="B55" s="103">
        <f>'12-A. Print Sub-Annex'!C102</f>
        <v>0</v>
      </c>
      <c r="C55" s="103" t="str">
        <f>+'12-A. Print Sub-Annex'!D102</f>
        <v>Any other (please specify)</v>
      </c>
      <c r="D55" s="103" t="str">
        <f>+'12-A. Print Sub-Annex'!E102</f>
        <v>NCD</v>
      </c>
      <c r="E55" s="2002" t="str">
        <f>+'12-A. Print Sub-Annex'!F102</f>
        <v>NPCDCS</v>
      </c>
      <c r="F55" s="2002">
        <f>+'12-A. Print Sub-Annex'!G102</f>
        <v>0</v>
      </c>
      <c r="G55" s="2002">
        <f>+'12-A. Print Sub-Annex'!H102</f>
        <v>0</v>
      </c>
      <c r="H55" s="2002">
        <f>+'12-A. Print Sub-Annex'!I102</f>
        <v>0</v>
      </c>
      <c r="I55" s="2002">
        <f>+'12-A. Print Sub-Annex'!J102</f>
        <v>0</v>
      </c>
      <c r="J55" s="2002">
        <f>+'12-A. Print Sub-Annex'!K102</f>
        <v>0</v>
      </c>
      <c r="K55" s="2002">
        <f>+'12-A. Print Sub-Annex'!L102</f>
        <v>0</v>
      </c>
      <c r="L55" s="2002">
        <f>+'12-A. Print Sub-Annex'!M102</f>
        <v>0</v>
      </c>
      <c r="M55" s="178">
        <f>+'12-A. Print Sub-Annex'!N102</f>
        <v>0</v>
      </c>
      <c r="N55" s="2002">
        <f>+'12-A. Print Sub-Annex'!O102</f>
        <v>0</v>
      </c>
      <c r="O55" s="178">
        <f>+'12-A. Print Sub-Annex'!P102</f>
        <v>0</v>
      </c>
      <c r="P55" s="103">
        <f>+'12-A. Print Sub-Annex'!Q102</f>
        <v>0</v>
      </c>
      <c r="Q55" s="67"/>
      <c r="R55" s="159"/>
    </row>
    <row r="56" spans="1:18" x14ac:dyDescent="0.2">
      <c r="A56" s="1754">
        <f>'15.PPP Annex'!A7</f>
        <v>15</v>
      </c>
      <c r="B56" s="1754"/>
      <c r="C56" s="1754" t="str">
        <f>'15.PPP Annex'!C7</f>
        <v>PPP</v>
      </c>
      <c r="D56" s="1754"/>
      <c r="E56" s="1755"/>
      <c r="F56" s="1755"/>
      <c r="G56" s="1755"/>
      <c r="H56" s="1755"/>
      <c r="I56" s="1755"/>
      <c r="J56" s="1755"/>
      <c r="K56" s="1755"/>
      <c r="L56" s="1755"/>
      <c r="M56" s="528"/>
      <c r="N56" s="1755"/>
      <c r="O56" s="528">
        <f>SUM(O57:O60)</f>
        <v>0</v>
      </c>
      <c r="P56" s="1754"/>
      <c r="Q56" s="2121"/>
      <c r="R56" s="170">
        <f>SUM(R57:R60)</f>
        <v>0</v>
      </c>
    </row>
    <row r="57" spans="1:18" x14ac:dyDescent="0.2">
      <c r="A57" s="103" t="str">
        <f>+'15.PPP Annex'!A48</f>
        <v>15.4.5.1</v>
      </c>
      <c r="B57" s="103" t="str">
        <f>+'15.PPP Annex'!B48</f>
        <v>15.8.1/ O.2.6.1</v>
      </c>
      <c r="C57" s="103" t="str">
        <f>+'15.PPP Annex'!C48</f>
        <v>PPP at State NCD Cell</v>
      </c>
      <c r="D57" s="103" t="str">
        <f>+'15.PPP Annex'!D48</f>
        <v>NCD</v>
      </c>
      <c r="E57" s="2002" t="str">
        <f>+'15.PPP Annex'!E48</f>
        <v>NPCDCS</v>
      </c>
      <c r="F57" s="2002">
        <f>+'15.PPP Annex'!F48</f>
        <v>0</v>
      </c>
      <c r="G57" s="2002">
        <f>+'15.PPP Annex'!G48</f>
        <v>0</v>
      </c>
      <c r="H57" s="2002">
        <f>+'15.PPP Annex'!H48</f>
        <v>0</v>
      </c>
      <c r="I57" s="2002">
        <f>+'15.PPP Annex'!I48</f>
        <v>0</v>
      </c>
      <c r="J57" s="2002">
        <f>+'15.PPP Annex'!J48</f>
        <v>0</v>
      </c>
      <c r="K57" s="2002">
        <f>+'15.PPP Annex'!K48</f>
        <v>0</v>
      </c>
      <c r="L57" s="2002">
        <f>+'15.PPP Annex'!L48</f>
        <v>0</v>
      </c>
      <c r="M57" s="178">
        <f>+'15.PPP Annex'!M48</f>
        <v>0</v>
      </c>
      <c r="N57" s="2002">
        <f>+'15.PPP Annex'!N48</f>
        <v>0</v>
      </c>
      <c r="O57" s="178">
        <f>+'15.PPP Annex'!O48</f>
        <v>0</v>
      </c>
      <c r="P57" s="103">
        <f>+'15.PPP Annex'!P48</f>
        <v>0</v>
      </c>
      <c r="Q57" s="67"/>
      <c r="R57" s="159"/>
    </row>
    <row r="58" spans="1:18" x14ac:dyDescent="0.2">
      <c r="A58" s="103" t="str">
        <f>+'15.PPP Annex'!A49</f>
        <v>15.4.5.2</v>
      </c>
      <c r="B58" s="103" t="str">
        <f>+'15.PPP Annex'!B49</f>
        <v>15.8.2/ O.2.6.2</v>
      </c>
      <c r="C58" s="103" t="str">
        <f>+'15.PPP Annex'!C49</f>
        <v>PPP at District NCD Cell / Clinic</v>
      </c>
      <c r="D58" s="103" t="str">
        <f>+'15.PPP Annex'!D49</f>
        <v>NCD</v>
      </c>
      <c r="E58" s="2002" t="str">
        <f>+'15.PPP Annex'!E49</f>
        <v>NPCDCS</v>
      </c>
      <c r="F58" s="2002">
        <f>+'15.PPP Annex'!F49</f>
        <v>0</v>
      </c>
      <c r="G58" s="2002">
        <f>+'15.PPP Annex'!G49</f>
        <v>0</v>
      </c>
      <c r="H58" s="2002">
        <f>+'15.PPP Annex'!H49</f>
        <v>0</v>
      </c>
      <c r="I58" s="2002">
        <f>+'15.PPP Annex'!I49</f>
        <v>0</v>
      </c>
      <c r="J58" s="2002">
        <f>+'15.PPP Annex'!J49</f>
        <v>0</v>
      </c>
      <c r="K58" s="2002">
        <f>+'15.PPP Annex'!K49</f>
        <v>0</v>
      </c>
      <c r="L58" s="2002">
        <f>+'15.PPP Annex'!L49</f>
        <v>0</v>
      </c>
      <c r="M58" s="178">
        <f>+'15.PPP Annex'!M49</f>
        <v>0</v>
      </c>
      <c r="N58" s="2002">
        <f>+'15.PPP Annex'!N49</f>
        <v>0</v>
      </c>
      <c r="O58" s="178">
        <f>+'15.PPP Annex'!O49</f>
        <v>0</v>
      </c>
      <c r="P58" s="103">
        <f>+'15.PPP Annex'!P49</f>
        <v>0</v>
      </c>
      <c r="Q58" s="67"/>
      <c r="R58" s="159"/>
    </row>
    <row r="59" spans="1:18" x14ac:dyDescent="0.2">
      <c r="A59" s="103" t="str">
        <f>+'15.PPP Annex'!A50</f>
        <v>15.4.5.3</v>
      </c>
      <c r="B59" s="103" t="str">
        <f>+'15.PPP Annex'!B50</f>
        <v>15.8.3/ O.2.6.3</v>
      </c>
      <c r="C59" s="103" t="str">
        <f>+'15.PPP Annex'!C50</f>
        <v>PPP at CHC NCD Clinic</v>
      </c>
      <c r="D59" s="103" t="str">
        <f>+'15.PPP Annex'!D50</f>
        <v>NCD</v>
      </c>
      <c r="E59" s="2002" t="str">
        <f>+'15.PPP Annex'!E50</f>
        <v>NPCDCS</v>
      </c>
      <c r="F59" s="2002">
        <f>+'15.PPP Annex'!F50</f>
        <v>0</v>
      </c>
      <c r="G59" s="2002">
        <f>+'15.PPP Annex'!G50</f>
        <v>0</v>
      </c>
      <c r="H59" s="2002">
        <f>+'15.PPP Annex'!H50</f>
        <v>0</v>
      </c>
      <c r="I59" s="2002">
        <f>+'15.PPP Annex'!I50</f>
        <v>0</v>
      </c>
      <c r="J59" s="2002">
        <f>+'15.PPP Annex'!J50</f>
        <v>0</v>
      </c>
      <c r="K59" s="2002">
        <f>+'15.PPP Annex'!K50</f>
        <v>0</v>
      </c>
      <c r="L59" s="2002">
        <f>+'15.PPP Annex'!L50</f>
        <v>0</v>
      </c>
      <c r="M59" s="178">
        <f>+'15.PPP Annex'!M50</f>
        <v>0</v>
      </c>
      <c r="N59" s="2002">
        <f>+'15.PPP Annex'!N50</f>
        <v>0</v>
      </c>
      <c r="O59" s="178">
        <f>+'15.PPP Annex'!O50</f>
        <v>0</v>
      </c>
      <c r="P59" s="103">
        <f>+'15.PPP Annex'!P50</f>
        <v>0</v>
      </c>
      <c r="Q59" s="67"/>
      <c r="R59" s="159"/>
    </row>
    <row r="60" spans="1:18" x14ac:dyDescent="0.2">
      <c r="A60" s="103" t="str">
        <f>+'15.PPP Annex'!A51</f>
        <v>15.4.5.4</v>
      </c>
      <c r="B60" s="103"/>
      <c r="C60" s="103" t="str">
        <f>+'15.PPP Annex'!C51</f>
        <v>Any other (please specify)</v>
      </c>
      <c r="D60" s="103" t="str">
        <f>+'15.PPP Annex'!D51</f>
        <v>NCD</v>
      </c>
      <c r="E60" s="2002" t="str">
        <f>+'15.PPP Annex'!E51</f>
        <v>NPCDCS</v>
      </c>
      <c r="F60" s="2002">
        <f>+'15.PPP Annex'!F51</f>
        <v>0</v>
      </c>
      <c r="G60" s="2002">
        <f>+'15.PPP Annex'!G51</f>
        <v>0</v>
      </c>
      <c r="H60" s="2002">
        <f>+'15.PPP Annex'!H51</f>
        <v>0</v>
      </c>
      <c r="I60" s="2002">
        <f>+'15.PPP Annex'!I51</f>
        <v>0</v>
      </c>
      <c r="J60" s="2002">
        <f>+'15.PPP Annex'!J51</f>
        <v>0</v>
      </c>
      <c r="K60" s="2002">
        <f>+'15.PPP Annex'!K51</f>
        <v>0</v>
      </c>
      <c r="L60" s="2002">
        <f>+'15.PPP Annex'!L51</f>
        <v>0</v>
      </c>
      <c r="M60" s="178">
        <f>+'15.PPP Annex'!M51</f>
        <v>0</v>
      </c>
      <c r="N60" s="2002">
        <f>+'15.PPP Annex'!N51</f>
        <v>0</v>
      </c>
      <c r="O60" s="178">
        <f>+'15.PPP Annex'!O51</f>
        <v>0</v>
      </c>
      <c r="P60" s="103">
        <f>+'15.PPP Annex'!P51</f>
        <v>0</v>
      </c>
      <c r="Q60" s="67"/>
      <c r="R60" s="159"/>
    </row>
    <row r="61" spans="1:18" x14ac:dyDescent="0.2">
      <c r="A61" s="844">
        <f>'16.PM Annex'!A7</f>
        <v>16</v>
      </c>
      <c r="B61" s="844"/>
      <c r="C61" s="844" t="str">
        <f>'16.PM Annex'!C7</f>
        <v>Programme Management</v>
      </c>
      <c r="D61" s="846"/>
      <c r="E61" s="845"/>
      <c r="F61" s="845"/>
      <c r="G61" s="845"/>
      <c r="H61" s="845"/>
      <c r="I61" s="845"/>
      <c r="J61" s="845"/>
      <c r="K61" s="845"/>
      <c r="L61" s="845"/>
      <c r="M61" s="528"/>
      <c r="N61" s="845"/>
      <c r="O61" s="528">
        <f>SUM(O62:O73)</f>
        <v>57</v>
      </c>
      <c r="P61" s="844"/>
      <c r="Q61" s="2121"/>
      <c r="R61" s="170">
        <f>SUM(R62:R73)</f>
        <v>0</v>
      </c>
    </row>
    <row r="62" spans="1:18" x14ac:dyDescent="0.2">
      <c r="A62" s="103" t="str">
        <f>'16-A. PM sub Annex'!B61</f>
        <v>16.1.2.2.11</v>
      </c>
      <c r="B62" s="103" t="str">
        <f>'16-A. PM sub Annex'!D61</f>
        <v>O.2.2.1.1</v>
      </c>
      <c r="C62" s="103" t="str">
        <f>'16-A. PM sub Annex'!E61</f>
        <v>State NCD  Cell</v>
      </c>
      <c r="D62" s="103" t="str">
        <f>'16-A. PM sub Annex'!F61</f>
        <v>NCD</v>
      </c>
      <c r="E62" s="2002" t="str">
        <f>'16-A. PM sub Annex'!G61</f>
        <v>HRH&amp;HPIP/NPCDCS</v>
      </c>
      <c r="F62" s="2002">
        <f>'16-A. PM sub Annex'!H61</f>
        <v>0</v>
      </c>
      <c r="G62" s="2002">
        <f>'16-A. PM sub Annex'!I61</f>
        <v>0</v>
      </c>
      <c r="H62" s="2002">
        <f>'16-A. PM sub Annex'!J61</f>
        <v>0</v>
      </c>
      <c r="I62" s="2002">
        <f>'16-A. PM sub Annex'!K61</f>
        <v>0</v>
      </c>
      <c r="J62" s="2002">
        <f>'16-A. PM sub Annex'!L61</f>
        <v>0</v>
      </c>
      <c r="K62" s="2002">
        <f>'16-A. PM sub Annex'!M61</f>
        <v>0</v>
      </c>
      <c r="L62" s="2002">
        <f>'16-A. PM sub Annex'!N61</f>
        <v>0</v>
      </c>
      <c r="M62" s="178">
        <f>'16-A. PM sub Annex'!O61</f>
        <v>0</v>
      </c>
      <c r="N62" s="2002">
        <f>'16-A. PM sub Annex'!P61</f>
        <v>0</v>
      </c>
      <c r="O62" s="178">
        <f>'16-A. PM sub Annex'!Q61</f>
        <v>0</v>
      </c>
      <c r="P62" s="103">
        <f>'16-A. PM sub Annex'!R61</f>
        <v>0</v>
      </c>
      <c r="Q62" s="67"/>
      <c r="R62" s="159"/>
    </row>
    <row r="63" spans="1:18" x14ac:dyDescent="0.2">
      <c r="A63" s="103" t="str">
        <f>'16-A. PM sub Annex'!B62</f>
        <v>16.1.2.2.12</v>
      </c>
      <c r="B63" s="103" t="str">
        <f>'16-A. PM sub Annex'!D62</f>
        <v>O.2.2.1.2</v>
      </c>
      <c r="C63" s="103" t="str">
        <f>'16-A. PM sub Annex'!E62</f>
        <v>District  NCD Cell</v>
      </c>
      <c r="D63" s="103" t="str">
        <f>'16-A. PM sub Annex'!F62</f>
        <v>NCD</v>
      </c>
      <c r="E63" s="2002" t="str">
        <f>'16-A. PM sub Annex'!G62</f>
        <v>HRH&amp;HPIP/NPCDCS</v>
      </c>
      <c r="F63" s="2002">
        <f>'16-A. PM sub Annex'!H62</f>
        <v>0</v>
      </c>
      <c r="G63" s="2002">
        <f>'16-A. PM sub Annex'!I62</f>
        <v>0</v>
      </c>
      <c r="H63" s="2002">
        <f>'16-A. PM sub Annex'!J62</f>
        <v>0</v>
      </c>
      <c r="I63" s="2002">
        <f>'16-A. PM sub Annex'!K62</f>
        <v>0</v>
      </c>
      <c r="J63" s="2002">
        <f>'16-A. PM sub Annex'!L62</f>
        <v>0</v>
      </c>
      <c r="K63" s="2002">
        <f>'16-A. PM sub Annex'!M62</f>
        <v>0</v>
      </c>
      <c r="L63" s="2002">
        <f>'16-A. PM sub Annex'!N62</f>
        <v>0</v>
      </c>
      <c r="M63" s="178">
        <f>'16-A. PM sub Annex'!O62</f>
        <v>0</v>
      </c>
      <c r="N63" s="2002">
        <f>'16-A. PM sub Annex'!P62</f>
        <v>0</v>
      </c>
      <c r="O63" s="178">
        <f>'16-A. PM sub Annex'!Q62</f>
        <v>0</v>
      </c>
      <c r="P63" s="103">
        <f>'16-A. PM sub Annex'!R62</f>
        <v>0</v>
      </c>
      <c r="Q63" s="67"/>
      <c r="R63" s="159"/>
    </row>
    <row r="64" spans="1:18" x14ac:dyDescent="0.2">
      <c r="A64" s="103" t="str">
        <f>'16-A. PM sub Annex'!B64</f>
        <v>16.1.2.2.15</v>
      </c>
      <c r="B64" s="103">
        <f>'16-A. PM sub Annex'!D64</f>
        <v>0</v>
      </c>
      <c r="C64" s="103" t="str">
        <f>'16-A. PM sub Annex'!E64</f>
        <v>Monitoring &amp; Evaluation under MVCR</v>
      </c>
      <c r="D64" s="103" t="str">
        <f>'16-A. PM sub Annex'!F64</f>
        <v>NCD</v>
      </c>
      <c r="E64" s="2002" t="str">
        <f>'16-A. PM sub Annex'!G64</f>
        <v>HRH&amp;HPIP/NPCDCS</v>
      </c>
      <c r="F64" s="2002">
        <f>'16-A. PM sub Annex'!H64</f>
        <v>0</v>
      </c>
      <c r="G64" s="2002">
        <f>'16-A. PM sub Annex'!I64</f>
        <v>0</v>
      </c>
      <c r="H64" s="2002">
        <f>'16-A. PM sub Annex'!J64</f>
        <v>0</v>
      </c>
      <c r="I64" s="2002">
        <f>'16-A. PM sub Annex'!K64</f>
        <v>0</v>
      </c>
      <c r="J64" s="2002">
        <f>'16-A. PM sub Annex'!L64</f>
        <v>0</v>
      </c>
      <c r="K64" s="2002">
        <f>'16-A. PM sub Annex'!M64</f>
        <v>0</v>
      </c>
      <c r="L64" s="2002">
        <f>'16-A. PM sub Annex'!N64</f>
        <v>0</v>
      </c>
      <c r="M64" s="178">
        <f>'16-A. PM sub Annex'!O64</f>
        <v>0</v>
      </c>
      <c r="N64" s="2002">
        <f>'16-A. PM sub Annex'!P64</f>
        <v>0</v>
      </c>
      <c r="O64" s="178">
        <f>'16-A. PM sub Annex'!Q64</f>
        <v>0</v>
      </c>
      <c r="P64" s="103">
        <f>'16-A. PM sub Annex'!R64</f>
        <v>0</v>
      </c>
      <c r="Q64" s="67"/>
      <c r="R64" s="159"/>
    </row>
    <row r="65" spans="1:18" x14ac:dyDescent="0.2">
      <c r="A65" s="103" t="str">
        <f>'16-A. PM sub Annex'!B88</f>
        <v>16.1.3.1.19</v>
      </c>
      <c r="B65" s="103" t="str">
        <f>'16-A. PM sub Annex'!D88</f>
        <v>O.2.2.1</v>
      </c>
      <c r="C65" s="103" t="str">
        <f>'16-A. PM sub Annex'!E88</f>
        <v>State NCD Cell (TA,DA, POL)</v>
      </c>
      <c r="D65" s="103" t="str">
        <f>'16-A. PM sub Annex'!F88</f>
        <v>NCD</v>
      </c>
      <c r="E65" s="2002" t="str">
        <f>'16-A. PM sub Annex'!G88</f>
        <v>HRH&amp;HPIP/NPCDCS</v>
      </c>
      <c r="F65" s="2002">
        <f>'16-A. PM sub Annex'!H88</f>
        <v>0</v>
      </c>
      <c r="G65" s="2002">
        <f>'16-A. PM sub Annex'!I88</f>
        <v>0</v>
      </c>
      <c r="H65" s="2002">
        <f>'16-A. PM sub Annex'!J88</f>
        <v>0</v>
      </c>
      <c r="I65" s="2002">
        <f>'16-A. PM sub Annex'!K88</f>
        <v>0</v>
      </c>
      <c r="J65" s="2002">
        <f>'16-A. PM sub Annex'!L88</f>
        <v>0</v>
      </c>
      <c r="K65" s="2002">
        <f>'16-A. PM sub Annex'!M88</f>
        <v>0</v>
      </c>
      <c r="L65" s="2002">
        <f>'16-A. PM sub Annex'!N88</f>
        <v>0</v>
      </c>
      <c r="M65" s="178">
        <f>'16-A. PM sub Annex'!O88</f>
        <v>0</v>
      </c>
      <c r="N65" s="2002">
        <f>'16-A. PM sub Annex'!P88</f>
        <v>0</v>
      </c>
      <c r="O65" s="178">
        <f>'16-A. PM sub Annex'!Q88</f>
        <v>0</v>
      </c>
      <c r="P65" s="103">
        <f>'16-A. PM sub Annex'!R88</f>
        <v>0</v>
      </c>
      <c r="Q65" s="67"/>
      <c r="R65" s="159"/>
    </row>
    <row r="66" spans="1:18" x14ac:dyDescent="0.2">
      <c r="A66" s="103" t="str">
        <f>'16-A. PM sub Annex'!B109</f>
        <v>16.1.3.3.16</v>
      </c>
      <c r="B66" s="103" t="str">
        <f>'16-A. PM sub Annex'!D109</f>
        <v>O.2.2.1</v>
      </c>
      <c r="C66" s="103" t="str">
        <f>'16-A. PM sub Annex'!E109</f>
        <v>District NCD Cell (TA,DA, POL)</v>
      </c>
      <c r="D66" s="103" t="str">
        <f>'16-A. PM sub Annex'!F109</f>
        <v>NCD</v>
      </c>
      <c r="E66" s="2002" t="str">
        <f>'16-A. PM sub Annex'!G109</f>
        <v>HRH&amp;HPIP/NPCDCS</v>
      </c>
      <c r="F66" s="2002">
        <f>'16-A. PM sub Annex'!H109</f>
        <v>0</v>
      </c>
      <c r="G66" s="2002">
        <f>'16-A. PM sub Annex'!I109</f>
        <v>0</v>
      </c>
      <c r="H66" s="2002">
        <f>'16-A. PM sub Annex'!J109</f>
        <v>0</v>
      </c>
      <c r="I66" s="2002">
        <f>'16-A. PM sub Annex'!K109</f>
        <v>0</v>
      </c>
      <c r="J66" s="2002">
        <f>'16-A. PM sub Annex'!L109</f>
        <v>0</v>
      </c>
      <c r="K66" s="2002">
        <f>'16-A. PM sub Annex'!M109</f>
        <v>0</v>
      </c>
      <c r="L66" s="2002">
        <f>'16-A. PM sub Annex'!N109</f>
        <v>0</v>
      </c>
      <c r="M66" s="178">
        <f>'16-A. PM sub Annex'!O109</f>
        <v>0</v>
      </c>
      <c r="N66" s="2002">
        <f>'16-A. PM sub Annex'!P109</f>
        <v>0</v>
      </c>
      <c r="O66" s="178">
        <f>'16-A. PM sub Annex'!Q109</f>
        <v>0</v>
      </c>
      <c r="P66" s="103">
        <f>'16-A. PM sub Annex'!R109</f>
        <v>0</v>
      </c>
      <c r="Q66" s="67"/>
      <c r="R66" s="159"/>
    </row>
    <row r="67" spans="1:18" x14ac:dyDescent="0.2">
      <c r="A67" s="103" t="str">
        <f>'16-A. PM sub Annex'!B133</f>
        <v>16.1.4.1.13</v>
      </c>
      <c r="B67" s="103" t="str">
        <f>'16-A. PM sub Annex'!D133</f>
        <v>O.2.2.1</v>
      </c>
      <c r="C67" s="103" t="str">
        <f>'16-A. PM sub Annex'!E133</f>
        <v>State NCD Cell (Contingency)</v>
      </c>
      <c r="D67" s="103" t="str">
        <f>'16-A. PM sub Annex'!F133</f>
        <v>NCD</v>
      </c>
      <c r="E67" s="2002" t="str">
        <f>'16-A. PM sub Annex'!G133</f>
        <v>HRH&amp;HPIP/NPCDCS</v>
      </c>
      <c r="F67" s="2002">
        <f>'16-A. PM sub Annex'!H133</f>
        <v>0</v>
      </c>
      <c r="G67" s="2002">
        <f>'16-A. PM sub Annex'!I133</f>
        <v>0</v>
      </c>
      <c r="H67" s="2002">
        <f>'16-A. PM sub Annex'!J133</f>
        <v>0</v>
      </c>
      <c r="I67" s="2002">
        <f>'16-A. PM sub Annex'!K133</f>
        <v>0</v>
      </c>
      <c r="J67" s="2002">
        <f>'16-A. PM sub Annex'!L133</f>
        <v>0</v>
      </c>
      <c r="K67" s="2002">
        <f>'16-A. PM sub Annex'!M133</f>
        <v>0</v>
      </c>
      <c r="L67" s="2002">
        <f>'16-A. PM sub Annex'!N133</f>
        <v>0</v>
      </c>
      <c r="M67" s="178">
        <f>'16-A. PM sub Annex'!O133</f>
        <v>0</v>
      </c>
      <c r="N67" s="2002">
        <f>'16-A. PM sub Annex'!P133</f>
        <v>0</v>
      </c>
      <c r="O67" s="178">
        <f>'16-A. PM sub Annex'!Q133</f>
        <v>0</v>
      </c>
      <c r="P67" s="103">
        <f>'16-A. PM sub Annex'!R133</f>
        <v>0</v>
      </c>
      <c r="Q67" s="67"/>
      <c r="R67" s="159"/>
    </row>
    <row r="68" spans="1:18" ht="45" x14ac:dyDescent="0.2">
      <c r="A68" s="103" t="str">
        <f>'16-A. PM sub Annex'!B145</f>
        <v>16.1.4.2.9</v>
      </c>
      <c r="B68" s="103" t="str">
        <f>'16-A. PM sub Annex'!D145</f>
        <v>O.2.2.1</v>
      </c>
      <c r="C68" s="103" t="str">
        <f>'16-A. PM sub Annex'!E145</f>
        <v>District NCD Cell (Contingency)</v>
      </c>
      <c r="D68" s="103" t="str">
        <f>'16-A. PM sub Annex'!F145</f>
        <v>NCD</v>
      </c>
      <c r="E68" s="2002" t="str">
        <f>'16-A. PM sub Annex'!G145</f>
        <v>HRH&amp;HPIP/NPCDCS</v>
      </c>
      <c r="F68" s="2002">
        <f>'16-A. PM sub Annex'!H145</f>
        <v>0</v>
      </c>
      <c r="G68" s="2002">
        <f>'16-A. PM sub Annex'!I145</f>
        <v>0</v>
      </c>
      <c r="H68" s="2002">
        <f>'16-A. PM sub Annex'!J145</f>
        <v>0</v>
      </c>
      <c r="I68" s="2002">
        <f>'16-A. PM sub Annex'!K145</f>
        <v>0</v>
      </c>
      <c r="J68" s="2002">
        <f>'16-A. PM sub Annex'!L145</f>
        <v>0</v>
      </c>
      <c r="K68" s="2002" t="str">
        <f>'16-A. PM sub Annex'!M145</f>
        <v>Cost per district</v>
      </c>
      <c r="L68" s="2002">
        <f>'16-A. PM sub Annex'!N145</f>
        <v>150000</v>
      </c>
      <c r="M68" s="178">
        <f>'16-A. PM sub Annex'!O145</f>
        <v>1.5</v>
      </c>
      <c r="N68" s="2002">
        <f>'16-A. PM sub Annex'!P145</f>
        <v>38</v>
      </c>
      <c r="O68" s="178">
        <f>'16-A. PM sub Annex'!Q145</f>
        <v>57</v>
      </c>
      <c r="P68" s="103" t="str">
        <f>'16-A. PM sub Annex'!R145</f>
        <v>Ongoing activity.  Contingency for District NCD cell for Makkali Thedi Maruthuvam Programme</v>
      </c>
      <c r="Q68" s="67"/>
      <c r="R68" s="159"/>
    </row>
    <row r="69" spans="1:18" x14ac:dyDescent="0.2">
      <c r="A69" s="103" t="str">
        <f>'16-A. PM sub Annex'!B159</f>
        <v>16.1.5.2.5.1</v>
      </c>
      <c r="B69" s="103" t="str">
        <f>'16-A. PM sub Annex'!D159</f>
        <v>O1.1.1.1</v>
      </c>
      <c r="C69" s="103" t="str">
        <f>'16-A. PM sub Annex'!E159</f>
        <v>State NCD  Cell</v>
      </c>
      <c r="D69" s="103" t="str">
        <f>'16-A. PM sub Annex'!F159</f>
        <v>NCD</v>
      </c>
      <c r="E69" s="2002" t="str">
        <f>'16-A. PM sub Annex'!G159</f>
        <v>HRH&amp;HPIP/NPCDCS</v>
      </c>
      <c r="F69" s="2002">
        <f>'16-A. PM sub Annex'!H159</f>
        <v>0</v>
      </c>
      <c r="G69" s="2002">
        <f>'16-A. PM sub Annex'!I159</f>
        <v>0</v>
      </c>
      <c r="H69" s="2002">
        <f>'16-A. PM sub Annex'!J159</f>
        <v>0</v>
      </c>
      <c r="I69" s="2002">
        <f>'16-A. PM sub Annex'!K159</f>
        <v>0</v>
      </c>
      <c r="J69" s="2002">
        <f>'16-A. PM sub Annex'!L159</f>
        <v>0</v>
      </c>
      <c r="K69" s="2002">
        <f>'16-A. PM sub Annex'!M159</f>
        <v>0</v>
      </c>
      <c r="L69" s="2002">
        <f>'16-A. PM sub Annex'!N159</f>
        <v>0</v>
      </c>
      <c r="M69" s="178">
        <f>'16-A. PM sub Annex'!O159</f>
        <v>0</v>
      </c>
      <c r="N69" s="2002">
        <f>'16-A. PM sub Annex'!P159</f>
        <v>0</v>
      </c>
      <c r="O69" s="178">
        <f>'16-A. PM sub Annex'!Q159</f>
        <v>0</v>
      </c>
      <c r="P69" s="103">
        <f>'16-A. PM sub Annex'!R159</f>
        <v>0</v>
      </c>
      <c r="Q69" s="67"/>
      <c r="R69" s="159"/>
    </row>
    <row r="70" spans="1:18" x14ac:dyDescent="0.2">
      <c r="A70" s="103" t="str">
        <f>'16-A. PM sub Annex'!B160</f>
        <v>16.1.5.2.5.2</v>
      </c>
      <c r="B70" s="103" t="str">
        <f>'16-A. PM sub Annex'!D160</f>
        <v>O1.1.1.2</v>
      </c>
      <c r="C70" s="103" t="str">
        <f>'16-A. PM sub Annex'!E160</f>
        <v>District NCD Cell</v>
      </c>
      <c r="D70" s="103" t="str">
        <f>'16-A. PM sub Annex'!F160</f>
        <v>NCD</v>
      </c>
      <c r="E70" s="2002" t="str">
        <f>'16-A. PM sub Annex'!G160</f>
        <v>HRH&amp;HPIP/NPCDCS</v>
      </c>
      <c r="F70" s="2002">
        <f>'16-A. PM sub Annex'!H160</f>
        <v>0</v>
      </c>
      <c r="G70" s="2002">
        <f>'16-A. PM sub Annex'!I160</f>
        <v>0</v>
      </c>
      <c r="H70" s="2002">
        <f>'16-A. PM sub Annex'!J160</f>
        <v>0</v>
      </c>
      <c r="I70" s="2002">
        <f>'16-A. PM sub Annex'!K160</f>
        <v>0</v>
      </c>
      <c r="J70" s="2002">
        <f>'16-A. PM sub Annex'!L160</f>
        <v>0</v>
      </c>
      <c r="K70" s="2002">
        <f>'16-A. PM sub Annex'!M160</f>
        <v>0</v>
      </c>
      <c r="L70" s="2002">
        <f>'16-A. PM sub Annex'!N160</f>
        <v>0</v>
      </c>
      <c r="M70" s="178">
        <f>'16-A. PM sub Annex'!O160</f>
        <v>0</v>
      </c>
      <c r="N70" s="2002">
        <f>'16-A. PM sub Annex'!P160</f>
        <v>0</v>
      </c>
      <c r="O70" s="178">
        <f>'16-A. PM sub Annex'!Q160</f>
        <v>0</v>
      </c>
      <c r="P70" s="103">
        <f>'16-A. PM sub Annex'!R160</f>
        <v>0</v>
      </c>
      <c r="Q70" s="67"/>
      <c r="R70" s="159"/>
    </row>
    <row r="71" spans="1:18" ht="30" x14ac:dyDescent="0.2">
      <c r="A71" s="103" t="str">
        <f>'16-A. PM sub Annex'!B174</f>
        <v>16.1.5.3.14.1</v>
      </c>
      <c r="B71" s="103" t="str">
        <f>'16-A. PM sub Annex'!D174</f>
        <v>O.2.8.1</v>
      </c>
      <c r="C71" s="103" t="str">
        <f>'16-A. PM sub Annex'!E174</f>
        <v>State NCD Cell</v>
      </c>
      <c r="D71" s="103" t="str">
        <f>'16-A. PM sub Annex'!F174</f>
        <v>NCD</v>
      </c>
      <c r="E71" s="2002" t="str">
        <f>'16-A. PM sub Annex'!G174</f>
        <v>HRH&amp;HPIP/NPCDCS</v>
      </c>
      <c r="F71" s="2002">
        <f>'16-A. PM sub Annex'!H174</f>
        <v>0</v>
      </c>
      <c r="G71" s="2002">
        <f>'16-A. PM sub Annex'!I174</f>
        <v>0</v>
      </c>
      <c r="H71" s="2002">
        <f>'16-A. PM sub Annex'!J174</f>
        <v>0</v>
      </c>
      <c r="I71" s="2002">
        <f>'16-A. PM sub Annex'!K174</f>
        <v>0</v>
      </c>
      <c r="J71" s="2002">
        <f>'16-A. PM sub Annex'!L174</f>
        <v>0</v>
      </c>
      <c r="K71" s="2002">
        <f>'16-A. PM sub Annex'!M174</f>
        <v>0</v>
      </c>
      <c r="L71" s="2002">
        <f>'16-A. PM sub Annex'!N174</f>
        <v>0</v>
      </c>
      <c r="M71" s="178">
        <f>'16-A. PM sub Annex'!O174</f>
        <v>0</v>
      </c>
      <c r="N71" s="2002">
        <f>'16-A. PM sub Annex'!P174</f>
        <v>0</v>
      </c>
      <c r="O71" s="178">
        <f>'16-A. PM sub Annex'!Q174</f>
        <v>0</v>
      </c>
      <c r="P71" s="103">
        <f>'16-A. PM sub Annex'!R174</f>
        <v>0</v>
      </c>
      <c r="Q71" s="67"/>
      <c r="R71" s="159"/>
    </row>
    <row r="72" spans="1:18" ht="30" x14ac:dyDescent="0.2">
      <c r="A72" s="103" t="str">
        <f>'16-A. PM sub Annex'!B176</f>
        <v>16.1.5.3.15.1</v>
      </c>
      <c r="B72" s="103" t="str">
        <f>'16-A. PM sub Annex'!D176</f>
        <v>O.2.9.1</v>
      </c>
      <c r="C72" s="103" t="str">
        <f>'16-A. PM sub Annex'!E176</f>
        <v>State NCD Cell</v>
      </c>
      <c r="D72" s="103" t="str">
        <f>'16-A. PM sub Annex'!F176</f>
        <v>NCD</v>
      </c>
      <c r="E72" s="2002" t="str">
        <f>'16-A. PM sub Annex'!G176</f>
        <v>HRH&amp;HPIP/NPCDCS</v>
      </c>
      <c r="F72" s="2002">
        <f>'16-A. PM sub Annex'!H176</f>
        <v>0</v>
      </c>
      <c r="G72" s="2002">
        <f>'16-A. PM sub Annex'!I176</f>
        <v>0</v>
      </c>
      <c r="H72" s="2002">
        <f>'16-A. PM sub Annex'!J176</f>
        <v>0</v>
      </c>
      <c r="I72" s="2002">
        <f>'16-A. PM sub Annex'!K176</f>
        <v>0</v>
      </c>
      <c r="J72" s="2002">
        <f>'16-A. PM sub Annex'!L176</f>
        <v>0</v>
      </c>
      <c r="K72" s="2002">
        <f>'16-A. PM sub Annex'!M176</f>
        <v>0</v>
      </c>
      <c r="L72" s="2002">
        <f>'16-A. PM sub Annex'!N176</f>
        <v>0</v>
      </c>
      <c r="M72" s="178">
        <f>'16-A. PM sub Annex'!O176</f>
        <v>0</v>
      </c>
      <c r="N72" s="2002">
        <f>'16-A. PM sub Annex'!P176</f>
        <v>0</v>
      </c>
      <c r="O72" s="178">
        <f>'16-A. PM sub Annex'!Q176</f>
        <v>0</v>
      </c>
      <c r="P72" s="103">
        <f>'16-A. PM sub Annex'!R176</f>
        <v>0</v>
      </c>
      <c r="Q72" s="67"/>
      <c r="R72" s="159"/>
    </row>
    <row r="73" spans="1:18" ht="30" x14ac:dyDescent="0.2">
      <c r="A73" s="103" t="str">
        <f>'16-A. PM sub Annex'!B177</f>
        <v>16.1.5.3.15.2</v>
      </c>
      <c r="B73" s="103" t="str">
        <f>'16-A. PM sub Annex'!D177</f>
        <v>O.2.9.2</v>
      </c>
      <c r="C73" s="103" t="str">
        <f>'16-A. PM sub Annex'!E177</f>
        <v xml:space="preserve">District NCD Cell </v>
      </c>
      <c r="D73" s="103" t="str">
        <f>'16-A. PM sub Annex'!F177</f>
        <v>NCD</v>
      </c>
      <c r="E73" s="2002" t="str">
        <f>'16-A. PM sub Annex'!G177</f>
        <v>HRH&amp;HPIP/NPCDCS</v>
      </c>
      <c r="F73" s="2002">
        <f>'16-A. PM sub Annex'!H177</f>
        <v>0</v>
      </c>
      <c r="G73" s="2002">
        <f>'16-A. PM sub Annex'!I177</f>
        <v>0</v>
      </c>
      <c r="H73" s="2002">
        <f>'16-A. PM sub Annex'!J177</f>
        <v>0</v>
      </c>
      <c r="I73" s="2002">
        <f>'16-A. PM sub Annex'!K177</f>
        <v>0</v>
      </c>
      <c r="J73" s="2002">
        <f>'16-A. PM sub Annex'!L177</f>
        <v>0</v>
      </c>
      <c r="K73" s="2002">
        <f>'16-A. PM sub Annex'!M177</f>
        <v>0</v>
      </c>
      <c r="L73" s="2002">
        <f>'16-A. PM sub Annex'!N177</f>
        <v>0</v>
      </c>
      <c r="M73" s="178">
        <f>'16-A. PM sub Annex'!O177</f>
        <v>0</v>
      </c>
      <c r="N73" s="2002">
        <f>'16-A. PM sub Annex'!P177</f>
        <v>0</v>
      </c>
      <c r="O73" s="178">
        <f>'16-A. PM sub Annex'!Q177</f>
        <v>0</v>
      </c>
      <c r="P73" s="103">
        <f>'16-A. PM sub Annex'!R177</f>
        <v>0</v>
      </c>
      <c r="Q73" s="67"/>
      <c r="R73" s="159"/>
    </row>
  </sheetData>
  <sheetProtection sheet="1" formatCells="0" formatColumns="0" formatRows="0" autoFilter="0"/>
  <autoFilter ref="A5:M73"/>
  <mergeCells count="13">
    <mergeCell ref="A18:A23"/>
    <mergeCell ref="A24:A31"/>
    <mergeCell ref="A36:A39"/>
    <mergeCell ref="A52:A55"/>
    <mergeCell ref="Q4:R4"/>
    <mergeCell ref="E4:E5"/>
    <mergeCell ref="F4:J4"/>
    <mergeCell ref="K4:P4"/>
    <mergeCell ref="A1:C1"/>
    <mergeCell ref="A4:A5"/>
    <mergeCell ref="B4:B5"/>
    <mergeCell ref="C4:C5"/>
    <mergeCell ref="D4:D5"/>
  </mergeCell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7" tint="0.79998168889431442"/>
  </sheetPr>
  <dimension ref="A1:R23"/>
  <sheetViews>
    <sheetView zoomScale="80" zoomScaleNormal="80" workbookViewId="0">
      <pane xSplit="3" ySplit="5" topLeftCell="L12" activePane="bottomRight" state="frozen"/>
      <selection activeCell="A4" sqref="A4:R11"/>
      <selection pane="topRight" activeCell="A4" sqref="A4:R11"/>
      <selection pane="bottomLeft" activeCell="A4" sqref="A4:R11"/>
      <selection pane="bottomRight" activeCell="Q13" sqref="Q13:R13"/>
    </sheetView>
  </sheetViews>
  <sheetFormatPr defaultColWidth="9.140625" defaultRowHeight="15" x14ac:dyDescent="0.2"/>
  <cols>
    <col min="1" max="1" width="10.85546875" style="881" bestFit="1" customWidth="1"/>
    <col min="2" max="2" width="16.42578125" style="881" hidden="1" customWidth="1"/>
    <col min="3" max="3" width="67.85546875" style="881" bestFit="1" customWidth="1"/>
    <col min="4" max="4" width="10" style="835" hidden="1" customWidth="1"/>
    <col min="5" max="5" width="16.42578125" style="835" hidden="1" customWidth="1"/>
    <col min="6" max="6" width="21.42578125" style="835" hidden="1" customWidth="1"/>
    <col min="7" max="7" width="15" style="835" hidden="1" customWidth="1"/>
    <col min="8" max="8" width="16.42578125" style="956" hidden="1" customWidth="1"/>
    <col min="9" max="9" width="12.5703125" style="835" hidden="1" customWidth="1"/>
    <col min="10" max="10" width="12.140625" style="956" hidden="1" customWidth="1"/>
    <col min="11" max="11" width="12.7109375" style="881" hidden="1" customWidth="1"/>
    <col min="12" max="12" width="11.42578125" style="881" customWidth="1"/>
    <col min="13" max="13" width="12" style="956" hidden="1" customWidth="1"/>
    <col min="14" max="14" width="9.140625" style="835"/>
    <col min="15" max="15" width="14.5703125" style="956" customWidth="1"/>
    <col min="16" max="16" width="42.28515625" style="835" hidden="1" customWidth="1"/>
    <col min="17" max="17" width="39.5703125" style="835" customWidth="1"/>
    <col min="18" max="18" width="16.28515625" style="835" customWidth="1"/>
    <col min="19" max="16384" width="9.140625" style="835"/>
  </cols>
  <sheetData>
    <row r="1" spans="1:18" s="2159" customFormat="1" x14ac:dyDescent="0.2">
      <c r="A1" s="4089" t="s">
        <v>2386</v>
      </c>
      <c r="B1" s="4089"/>
      <c r="C1" s="4089"/>
      <c r="D1" s="959"/>
      <c r="E1" s="893"/>
      <c r="F1" s="2151" t="s">
        <v>3957</v>
      </c>
      <c r="J1" s="1103"/>
      <c r="K1" s="2160"/>
      <c r="L1" s="2160"/>
      <c r="M1" s="1103"/>
      <c r="O1" s="2161"/>
    </row>
    <row r="2" spans="1:18" s="2159" customFormat="1" ht="30" x14ac:dyDescent="0.25">
      <c r="A2" s="1859" t="str">
        <f>HYPERLINK("#Index!F3", "Index Pg")</f>
        <v>Index Pg</v>
      </c>
      <c r="B2" s="1367" t="str">
        <f>HYPERLINK("#'Summary of Abstracts'!A2", "Summary of Abst.")</f>
        <v>Summary of Abst.</v>
      </c>
      <c r="C2" s="1583" t="str">
        <f>HYPERLINK("#'Budget Summary I'!A1:AL1", "Budget Summary I")</f>
        <v>Budget Summary I</v>
      </c>
      <c r="D2" s="2162"/>
      <c r="E2" s="2153" t="s">
        <v>4608</v>
      </c>
      <c r="F2" s="177">
        <f>R6+R10+R15+R18+R22+R20</f>
        <v>0</v>
      </c>
      <c r="J2" s="1103"/>
      <c r="K2" s="2049"/>
      <c r="L2" s="2049"/>
      <c r="M2" s="1103"/>
      <c r="O2" s="2161"/>
    </row>
    <row r="3" spans="1:18" s="2159" customFormat="1" x14ac:dyDescent="0.25">
      <c r="A3" s="1863"/>
      <c r="B3" s="1864"/>
      <c r="C3" s="1583" t="str">
        <f>HYPERLINK("#'Budget Summary II'!A3:B5", "Budget Summary II")</f>
        <v>Budget Summary II</v>
      </c>
      <c r="D3" s="2162"/>
      <c r="E3" s="2153" t="s">
        <v>4609</v>
      </c>
      <c r="F3" s="177">
        <f>O6+O10+O15+O18+O22+O20</f>
        <v>510</v>
      </c>
      <c r="J3" s="1103"/>
      <c r="K3" s="2049"/>
      <c r="L3" s="2049"/>
      <c r="M3" s="1103"/>
      <c r="O3" s="2161"/>
    </row>
    <row r="4" spans="1:18" x14ac:dyDescent="0.2">
      <c r="A4" s="3823" t="s">
        <v>53</v>
      </c>
      <c r="B4" s="3823" t="s">
        <v>54</v>
      </c>
      <c r="C4" s="3823" t="s">
        <v>55</v>
      </c>
      <c r="D4" s="3823" t="s">
        <v>56</v>
      </c>
      <c r="E4" s="3823" t="s">
        <v>57</v>
      </c>
      <c r="F4" s="3822" t="s">
        <v>4629</v>
      </c>
      <c r="G4" s="3822"/>
      <c r="H4" s="3822"/>
      <c r="I4" s="3822"/>
      <c r="J4" s="3822"/>
      <c r="K4" s="3822" t="s">
        <v>4640</v>
      </c>
      <c r="L4" s="3822"/>
      <c r="M4" s="3822"/>
      <c r="N4" s="3822"/>
      <c r="O4" s="3822"/>
      <c r="P4" s="3822"/>
      <c r="Q4" s="3826" t="s">
        <v>4670</v>
      </c>
      <c r="R4" s="3826"/>
    </row>
    <row r="5" spans="1:18" ht="60" x14ac:dyDescent="0.2">
      <c r="A5" s="4086"/>
      <c r="B5" s="4086"/>
      <c r="C5" s="4086"/>
      <c r="D5" s="4086"/>
      <c r="E5" s="4086"/>
      <c r="F5" s="2079" t="s">
        <v>4630</v>
      </c>
      <c r="G5" s="2079" t="s">
        <v>4638</v>
      </c>
      <c r="H5" s="2079" t="s">
        <v>4631</v>
      </c>
      <c r="I5" s="2079" t="s">
        <v>4639</v>
      </c>
      <c r="J5" s="2079" t="s">
        <v>2538</v>
      </c>
      <c r="K5" s="2080" t="s">
        <v>58</v>
      </c>
      <c r="L5" s="2080" t="s">
        <v>59</v>
      </c>
      <c r="M5" s="2081" t="s">
        <v>60</v>
      </c>
      <c r="N5" s="2080" t="s">
        <v>61</v>
      </c>
      <c r="O5" s="2081" t="s">
        <v>62</v>
      </c>
      <c r="P5" s="897" t="s">
        <v>63</v>
      </c>
      <c r="Q5" s="899" t="s">
        <v>2540</v>
      </c>
      <c r="R5" s="900" t="s">
        <v>4671</v>
      </c>
    </row>
    <row r="6" spans="1:18" x14ac:dyDescent="0.2">
      <c r="A6" s="2032">
        <f>'1.SD Facility Based Annex'!A7</f>
        <v>1</v>
      </c>
      <c r="B6" s="2032">
        <f>'1.SD Facility Based Annex'!B7</f>
        <v>0</v>
      </c>
      <c r="C6" s="2032" t="str">
        <f>'1.SD Facility Based Annex'!C7</f>
        <v>Service Delivery - Facility Based</v>
      </c>
      <c r="D6" s="2032"/>
      <c r="E6" s="2032"/>
      <c r="F6" s="2032"/>
      <c r="G6" s="2032"/>
      <c r="H6" s="2032"/>
      <c r="I6" s="2032"/>
      <c r="J6" s="2032"/>
      <c r="K6" s="2032"/>
      <c r="L6" s="2032"/>
      <c r="M6" s="841"/>
      <c r="N6" s="2032"/>
      <c r="O6" s="841">
        <f>SUM(O7:O9)</f>
        <v>0</v>
      </c>
      <c r="P6" s="2032"/>
      <c r="Q6" s="2032"/>
      <c r="R6" s="841">
        <f>SUM(R7:R9)</f>
        <v>0</v>
      </c>
    </row>
    <row r="7" spans="1:18" x14ac:dyDescent="0.2">
      <c r="A7" s="2099" t="str">
        <f>'1.SD Facility Based Annex'!A47</f>
        <v>1.1.6.5.1</v>
      </c>
      <c r="B7" s="2099">
        <f>'1.SD Facility Based Annex'!B47</f>
        <v>0</v>
      </c>
      <c r="C7" s="2099" t="str">
        <f>'1.SD Facility Based Annex'!C47</f>
        <v>Hemo-Dialysis Services under PMNDP</v>
      </c>
      <c r="D7" s="2099" t="str">
        <f>'1.SD Facility Based Annex'!D47</f>
        <v>NCD</v>
      </c>
      <c r="E7" s="2099" t="str">
        <f>'1.SD Facility Based Annex'!E47</f>
        <v>HCT</v>
      </c>
      <c r="F7" s="2099">
        <f>'1.SD Facility Based Annex'!F47</f>
        <v>0</v>
      </c>
      <c r="G7" s="2099">
        <f>'1.SD Facility Based Annex'!G47</f>
        <v>0</v>
      </c>
      <c r="H7" s="2099">
        <f>'1.SD Facility Based Annex'!H47</f>
        <v>0</v>
      </c>
      <c r="I7" s="2099">
        <f>'1.SD Facility Based Annex'!I47</f>
        <v>0</v>
      </c>
      <c r="J7" s="2099">
        <f>'1.SD Facility Based Annex'!J47</f>
        <v>0</v>
      </c>
      <c r="K7" s="2099">
        <f>'1.SD Facility Based Annex'!K47</f>
        <v>0</v>
      </c>
      <c r="L7" s="2099">
        <f>'1.SD Facility Based Annex'!L47</f>
        <v>0</v>
      </c>
      <c r="M7" s="2163">
        <f>'1.SD Facility Based Annex'!M47</f>
        <v>0</v>
      </c>
      <c r="N7" s="2099">
        <f>'1.SD Facility Based Annex'!N47</f>
        <v>0</v>
      </c>
      <c r="O7" s="2163">
        <f>'1.SD Facility Based Annex'!O47</f>
        <v>0</v>
      </c>
      <c r="P7" s="103">
        <f>'1.SD Facility Based Annex'!P47</f>
        <v>0</v>
      </c>
      <c r="Q7" s="171"/>
      <c r="R7" s="171"/>
    </row>
    <row r="8" spans="1:18" x14ac:dyDescent="0.2">
      <c r="A8" s="103" t="str">
        <f>'1.SD Facility Based Annex'!A48</f>
        <v>1.1.6.5.2</v>
      </c>
      <c r="B8" s="103">
        <f>'1.SD Facility Based Annex'!B48</f>
        <v>0</v>
      </c>
      <c r="C8" s="103" t="str">
        <f>'1.SD Facility Based Annex'!C48</f>
        <v>Peritoneal Dialysis Services under PMNDP</v>
      </c>
      <c r="D8" s="103" t="str">
        <f>'1.SD Facility Based Annex'!D48</f>
        <v>NCD</v>
      </c>
      <c r="E8" s="103" t="str">
        <f>'1.SD Facility Based Annex'!E48</f>
        <v>HCT</v>
      </c>
      <c r="F8" s="103">
        <f>'1.SD Facility Based Annex'!F48</f>
        <v>0</v>
      </c>
      <c r="G8" s="103">
        <f>'1.SD Facility Based Annex'!G48</f>
        <v>0</v>
      </c>
      <c r="H8" s="103">
        <f>'1.SD Facility Based Annex'!H48</f>
        <v>0</v>
      </c>
      <c r="I8" s="103">
        <f>'1.SD Facility Based Annex'!I48</f>
        <v>0</v>
      </c>
      <c r="J8" s="103">
        <f>'1.SD Facility Based Annex'!J48</f>
        <v>0</v>
      </c>
      <c r="K8" s="103">
        <f>'1.SD Facility Based Annex'!K48</f>
        <v>0</v>
      </c>
      <c r="L8" s="103">
        <f>'1.SD Facility Based Annex'!L48</f>
        <v>0</v>
      </c>
      <c r="M8" s="675">
        <f>'1.SD Facility Based Annex'!M48</f>
        <v>0</v>
      </c>
      <c r="N8" s="103">
        <f>'1.SD Facility Based Annex'!N48</f>
        <v>0</v>
      </c>
      <c r="O8" s="675">
        <f>'1.SD Facility Based Annex'!O48</f>
        <v>0</v>
      </c>
      <c r="P8" s="103">
        <f>'1.SD Facility Based Annex'!P48</f>
        <v>0</v>
      </c>
      <c r="Q8" s="171"/>
      <c r="R8" s="171"/>
    </row>
    <row r="9" spans="1:18" ht="30" x14ac:dyDescent="0.2">
      <c r="A9" s="2164" t="str">
        <f>'1.SD Facility Based Annex'!A49</f>
        <v>1.1.6.5.3</v>
      </c>
      <c r="B9" s="2164">
        <f>'1.SD Facility Based Annex'!B49</f>
        <v>0</v>
      </c>
      <c r="C9" s="2164" t="str">
        <f>'1.SD Facility Based Annex'!C49</f>
        <v>RO water testing (Bacteriological, endotoxin, Chemical) and tank/pipes disinfection (peracetic acid) for Dialysis</v>
      </c>
      <c r="D9" s="2164" t="str">
        <f>'1.SD Facility Based Annex'!D49</f>
        <v>NCD</v>
      </c>
      <c r="E9" s="2164" t="str">
        <f>'1.SD Facility Based Annex'!E49</f>
        <v>HCT</v>
      </c>
      <c r="F9" s="2164">
        <f>'1.SD Facility Based Annex'!F49</f>
        <v>0</v>
      </c>
      <c r="G9" s="2164">
        <f>'1.SD Facility Based Annex'!G49</f>
        <v>0</v>
      </c>
      <c r="H9" s="2164">
        <f>'1.SD Facility Based Annex'!H49</f>
        <v>0</v>
      </c>
      <c r="I9" s="2164">
        <f>'1.SD Facility Based Annex'!I49</f>
        <v>0</v>
      </c>
      <c r="J9" s="2164">
        <f>'1.SD Facility Based Annex'!J49</f>
        <v>0</v>
      </c>
      <c r="K9" s="2164">
        <f>'1.SD Facility Based Annex'!K49</f>
        <v>0</v>
      </c>
      <c r="L9" s="2164">
        <f>'1.SD Facility Based Annex'!L49</f>
        <v>0</v>
      </c>
      <c r="M9" s="2165">
        <f>'1.SD Facility Based Annex'!M49</f>
        <v>0</v>
      </c>
      <c r="N9" s="2164">
        <f>'1.SD Facility Based Annex'!N49</f>
        <v>0</v>
      </c>
      <c r="O9" s="2165">
        <f>'1.SD Facility Based Annex'!O49</f>
        <v>0</v>
      </c>
      <c r="P9" s="103">
        <f>'1.SD Facility Based Annex'!P49</f>
        <v>0</v>
      </c>
      <c r="Q9" s="171"/>
      <c r="R9" s="171"/>
    </row>
    <row r="10" spans="1:18" x14ac:dyDescent="0.2">
      <c r="A10" s="2032">
        <f>'6.Procurement Annex'!A7</f>
        <v>6</v>
      </c>
      <c r="B10" s="2032"/>
      <c r="C10" s="2032" t="str">
        <f>'6.Procurement Annex'!C7</f>
        <v>Procurement</v>
      </c>
      <c r="D10" s="724"/>
      <c r="E10" s="724"/>
      <c r="F10" s="724"/>
      <c r="G10" s="724"/>
      <c r="H10" s="528"/>
      <c r="I10" s="724"/>
      <c r="J10" s="528"/>
      <c r="K10" s="2032"/>
      <c r="L10" s="2032"/>
      <c r="M10" s="528"/>
      <c r="N10" s="2098"/>
      <c r="O10" s="2020">
        <f>SUM(O11:O14)</f>
        <v>510</v>
      </c>
      <c r="P10" s="2098"/>
      <c r="Q10" s="2168"/>
      <c r="R10" s="2145">
        <f>SUM(R11:R14)</f>
        <v>0</v>
      </c>
    </row>
    <row r="11" spans="1:18" x14ac:dyDescent="0.2">
      <c r="A11" s="2099" t="str">
        <f>'6.Procurement Annex'!A41</f>
        <v>6.1.5.6</v>
      </c>
      <c r="B11" s="2099">
        <f>'6-A. Proc. Sub-Annex'!C121</f>
        <v>0</v>
      </c>
      <c r="C11" s="2099" t="str">
        <f>'6-A. Proc. Sub-Annex'!D121</f>
        <v xml:space="preserve">Medical devices as per National Dialysis Programme </v>
      </c>
      <c r="D11" s="2099" t="str">
        <f>'6-A. Proc. Sub-Annex'!E121</f>
        <v>NCD</v>
      </c>
      <c r="E11" s="2099" t="str">
        <f>'6-A. Proc. Sub-Annex'!F121</f>
        <v>HCT</v>
      </c>
      <c r="F11" s="2099">
        <f>'6-A. Proc. Sub-Annex'!G121</f>
        <v>0</v>
      </c>
      <c r="G11" s="2099">
        <f>'6-A. Proc. Sub-Annex'!H121</f>
        <v>0</v>
      </c>
      <c r="H11" s="2099">
        <f>'6-A. Proc. Sub-Annex'!I121</f>
        <v>0</v>
      </c>
      <c r="I11" s="2099">
        <f>'6-A. Proc. Sub-Annex'!J121</f>
        <v>0</v>
      </c>
      <c r="J11" s="2099">
        <f>'6-A. Proc. Sub-Annex'!K121</f>
        <v>0</v>
      </c>
      <c r="K11" s="2099">
        <f>'6-A. Proc. Sub-Annex'!L121</f>
        <v>0</v>
      </c>
      <c r="L11" s="2099">
        <f>'6-A. Proc. Sub-Annex'!M121</f>
        <v>0</v>
      </c>
      <c r="M11" s="2163">
        <f>'6-A. Proc. Sub-Annex'!N121</f>
        <v>0</v>
      </c>
      <c r="N11" s="2099">
        <f>'6-A. Proc. Sub-Annex'!O121</f>
        <v>0</v>
      </c>
      <c r="O11" s="2163">
        <f>'6-A. Proc. Sub-Annex'!P121</f>
        <v>0</v>
      </c>
      <c r="P11" s="103">
        <f>'6-A. Proc. Sub-Annex'!Q121</f>
        <v>0</v>
      </c>
      <c r="Q11" s="3365"/>
      <c r="R11" s="203"/>
    </row>
    <row r="12" spans="1:18" x14ac:dyDescent="0.2">
      <c r="A12" s="103"/>
      <c r="B12" s="2099">
        <f>'6-A. Proc. Sub-Annex'!C122</f>
        <v>0</v>
      </c>
      <c r="C12" s="2099" t="str">
        <f>'6-A. Proc. Sub-Annex'!D122</f>
        <v>Any other equipment (please specify)</v>
      </c>
      <c r="D12" s="2099" t="str">
        <f>'6-A. Proc. Sub-Annex'!E122</f>
        <v>NCD</v>
      </c>
      <c r="E12" s="2099" t="str">
        <f>'6-A. Proc. Sub-Annex'!F122</f>
        <v>HCT</v>
      </c>
      <c r="F12" s="2099">
        <f>'6-A. Proc. Sub-Annex'!G122</f>
        <v>0</v>
      </c>
      <c r="G12" s="2099">
        <f>'6-A. Proc. Sub-Annex'!H122</f>
        <v>0</v>
      </c>
      <c r="H12" s="2099">
        <f>'6-A. Proc. Sub-Annex'!I122</f>
        <v>0</v>
      </c>
      <c r="I12" s="2099">
        <f>'6-A. Proc. Sub-Annex'!J122</f>
        <v>0</v>
      </c>
      <c r="J12" s="2099">
        <f>'6-A. Proc. Sub-Annex'!K122</f>
        <v>0</v>
      </c>
      <c r="K12" s="2099">
        <f>'6-A. Proc. Sub-Annex'!L122</f>
        <v>0</v>
      </c>
      <c r="L12" s="2099">
        <f>'6-A. Proc. Sub-Annex'!M122</f>
        <v>0</v>
      </c>
      <c r="M12" s="2163">
        <f>'6-A. Proc. Sub-Annex'!N122</f>
        <v>0</v>
      </c>
      <c r="N12" s="2099">
        <f>'6-A. Proc. Sub-Annex'!O122</f>
        <v>0</v>
      </c>
      <c r="O12" s="2163">
        <f>'6-A. Proc. Sub-Annex'!P122</f>
        <v>0</v>
      </c>
      <c r="P12" s="103">
        <f>'6-A. Proc. Sub-Annex'!Q122</f>
        <v>0</v>
      </c>
      <c r="Q12" s="3365"/>
      <c r="R12" s="171"/>
    </row>
    <row r="13" spans="1:18" ht="30" x14ac:dyDescent="0.2">
      <c r="A13" s="103" t="str">
        <f>'6.Procurement Annex'!A84</f>
        <v>6.2.4.6</v>
      </c>
      <c r="B13" s="103">
        <f>'6-A. Proc. Sub-Annex'!C272</f>
        <v>0</v>
      </c>
      <c r="C13" s="103" t="str">
        <f>'6-A. Proc. Sub-Annex'!D272</f>
        <v>Drugs &amp; Consumables for Haemodialysis (Erythropoietin, iron, vitamin, etc) &amp; Peritoneal dialysis (refer page 17 of guideline)</v>
      </c>
      <c r="D13" s="103" t="str">
        <f>'6-A. Proc. Sub-Annex'!E272</f>
        <v>NCD</v>
      </c>
      <c r="E13" s="103" t="str">
        <f>'6-A. Proc. Sub-Annex'!F272</f>
        <v>HCT</v>
      </c>
      <c r="F13" s="103">
        <f>'6-A. Proc. Sub-Annex'!G272</f>
        <v>0</v>
      </c>
      <c r="G13" s="103">
        <f>'6-A. Proc. Sub-Annex'!H272</f>
        <v>0</v>
      </c>
      <c r="H13" s="103">
        <f>'6-A. Proc. Sub-Annex'!I272</f>
        <v>0</v>
      </c>
      <c r="I13" s="103">
        <f>'6-A. Proc. Sub-Annex'!J272</f>
        <v>0</v>
      </c>
      <c r="J13" s="103">
        <f>'6-A. Proc. Sub-Annex'!K272</f>
        <v>0</v>
      </c>
      <c r="K13" s="103">
        <f>'6-A. Proc. Sub-Annex'!L272</f>
        <v>0</v>
      </c>
      <c r="L13" s="103">
        <f>'6-A. Proc. Sub-Annex'!M272</f>
        <v>0</v>
      </c>
      <c r="M13" s="675">
        <f>'6-A. Proc. Sub-Annex'!N272</f>
        <v>0</v>
      </c>
      <c r="N13" s="103">
        <f>'6-A. Proc. Sub-Annex'!O272</f>
        <v>0</v>
      </c>
      <c r="O13" s="675">
        <f>'6-A. Proc. Sub-Annex'!P272</f>
        <v>0</v>
      </c>
      <c r="P13" s="103">
        <f>'6-A. Proc. Sub-Annex'!Q272</f>
        <v>0</v>
      </c>
      <c r="Q13" s="171"/>
      <c r="R13" s="171"/>
    </row>
    <row r="14" spans="1:18" ht="180" x14ac:dyDescent="0.2">
      <c r="A14" s="2164"/>
      <c r="B14" s="103">
        <f>'6-A. Proc. Sub-Annex'!C273</f>
        <v>0</v>
      </c>
      <c r="C14" s="103" t="str">
        <f>'6-A. Proc. Sub-Annex'!D273</f>
        <v>Any other drug (please specify)</v>
      </c>
      <c r="D14" s="103" t="str">
        <f>'6-A. Proc. Sub-Annex'!E273</f>
        <v>NCD</v>
      </c>
      <c r="E14" s="103" t="str">
        <f>'6-A. Proc. Sub-Annex'!F273</f>
        <v>HCT</v>
      </c>
      <c r="F14" s="103">
        <f>'6-A. Proc. Sub-Annex'!G273</f>
        <v>0</v>
      </c>
      <c r="G14" s="103">
        <f>'6-A. Proc. Sub-Annex'!H273</f>
        <v>0</v>
      </c>
      <c r="H14" s="103">
        <f>'6-A. Proc. Sub-Annex'!I273</f>
        <v>0</v>
      </c>
      <c r="I14" s="103">
        <f>'6-A. Proc. Sub-Annex'!J273</f>
        <v>0</v>
      </c>
      <c r="J14" s="103">
        <f>'6-A. Proc. Sub-Annex'!K273</f>
        <v>0</v>
      </c>
      <c r="K14" s="103" t="str">
        <f>'6-A. Proc. Sub-Annex'!L273</f>
        <v>Cost per centre</v>
      </c>
      <c r="L14" s="103">
        <f>'6-A. Proc. Sub-Annex'!M273</f>
        <v>5100000</v>
      </c>
      <c r="M14" s="675">
        <f>'6-A. Proc. Sub-Annex'!N273</f>
        <v>51</v>
      </c>
      <c r="N14" s="103">
        <f>'6-A. Proc. Sub-Annex'!O273</f>
        <v>10</v>
      </c>
      <c r="O14" s="675">
        <f>'6-A. Proc. Sub-Annex'!P273</f>
        <v>510</v>
      </c>
      <c r="P14" s="103" t="str">
        <f>'6-A. Proc. Sub-Annex'!Q273</f>
        <v xml:space="preserve">New activity.
GOI has approved Rs. 5.2 Cr towards procurement of Urological Equipment for 10 Secondary Care Hospitals in the PIP 2017-18. TNMSC has finalised the Rate for the total equipment to the tune of Rs. 10,28,62,263/-. Orders have been placed so far for Rs. 2,76,53,097, balance Rs. 7,52,09,166/- needed for other equipment. Now the available balance is only Rs. 2,43,46,903/-, hence additional amount required i.e. Rs. 5.10 Cr is proposed in Supplementary PIP 2021-22. </v>
      </c>
      <c r="Q14" s="1914"/>
      <c r="R14" s="171"/>
    </row>
    <row r="15" spans="1:18" x14ac:dyDescent="0.2">
      <c r="A15" s="2032">
        <f>'9.Training Annex'!A7</f>
        <v>9</v>
      </c>
      <c r="B15" s="2032"/>
      <c r="C15" s="2032" t="str">
        <f>'9.Training Annex'!C7</f>
        <v>Training and Capacity Building</v>
      </c>
      <c r="D15" s="724"/>
      <c r="E15" s="724"/>
      <c r="F15" s="724"/>
      <c r="G15" s="724"/>
      <c r="H15" s="528"/>
      <c r="I15" s="724"/>
      <c r="J15" s="528"/>
      <c r="K15" s="2032"/>
      <c r="L15" s="2032"/>
      <c r="M15" s="528"/>
      <c r="N15" s="2098"/>
      <c r="O15" s="2020">
        <f>SUM(O16:O17)</f>
        <v>0</v>
      </c>
      <c r="P15" s="2098"/>
      <c r="Q15" s="2168"/>
      <c r="R15" s="2145">
        <f>SUM(R16:R17)</f>
        <v>0</v>
      </c>
    </row>
    <row r="16" spans="1:18" ht="30" x14ac:dyDescent="0.2">
      <c r="A16" s="4080" t="str">
        <f>'9.Training Annex'!A64</f>
        <v>9.2.4.10</v>
      </c>
      <c r="B16" s="2095">
        <f>'9-A.Training Sub-Annex'!C282</f>
        <v>0</v>
      </c>
      <c r="C16" s="2095" t="str">
        <f>'9-A.Training Sub-Annex'!D282</f>
        <v>Training for Nurse, medical officer, Nephrologist, ANM/ASHA, patients &amp; bystanders on peritoneal dialysis/Haemodialysis</v>
      </c>
      <c r="D16" s="2095" t="str">
        <f>'9-A.Training Sub-Annex'!E282</f>
        <v>NCD</v>
      </c>
      <c r="E16" s="2095" t="str">
        <f>'9-A.Training Sub-Annex'!F282</f>
        <v>HCT</v>
      </c>
      <c r="F16" s="2095">
        <f>'9-A.Training Sub-Annex'!G282</f>
        <v>0</v>
      </c>
      <c r="G16" s="2095">
        <f>'9-A.Training Sub-Annex'!H282</f>
        <v>0</v>
      </c>
      <c r="H16" s="2095">
        <f>'9-A.Training Sub-Annex'!I282</f>
        <v>0</v>
      </c>
      <c r="I16" s="2095">
        <f>'9-A.Training Sub-Annex'!J282</f>
        <v>0</v>
      </c>
      <c r="J16" s="2095">
        <f>'9-A.Training Sub-Annex'!K282</f>
        <v>0</v>
      </c>
      <c r="K16" s="2095">
        <f>'9-A.Training Sub-Annex'!L282</f>
        <v>0</v>
      </c>
      <c r="L16" s="2095">
        <f>'9-A.Training Sub-Annex'!M282</f>
        <v>0</v>
      </c>
      <c r="M16" s="2166">
        <f>'9-A.Training Sub-Annex'!N282</f>
        <v>0</v>
      </c>
      <c r="N16" s="2095">
        <f>'9-A.Training Sub-Annex'!O282</f>
        <v>0</v>
      </c>
      <c r="O16" s="2166">
        <f>'9-A.Training Sub-Annex'!P282</f>
        <v>0</v>
      </c>
      <c r="P16" s="103">
        <f>'9-A.Training Sub-Annex'!Q282</f>
        <v>0</v>
      </c>
      <c r="Q16" s="171"/>
      <c r="R16" s="171"/>
    </row>
    <row r="17" spans="1:18" x14ac:dyDescent="0.2">
      <c r="A17" s="4082"/>
      <c r="B17" s="2095">
        <f>'9-A.Training Sub-Annex'!C283</f>
        <v>0</v>
      </c>
      <c r="C17" s="2095" t="str">
        <f>'9-A.Training Sub-Annex'!D283</f>
        <v>Any other (please specify)</v>
      </c>
      <c r="D17" s="2095" t="str">
        <f>'9-A.Training Sub-Annex'!E283</f>
        <v>NCD</v>
      </c>
      <c r="E17" s="2095" t="str">
        <f>'9-A.Training Sub-Annex'!F283</f>
        <v>HCT</v>
      </c>
      <c r="F17" s="2095">
        <f>'9-A.Training Sub-Annex'!G283</f>
        <v>0</v>
      </c>
      <c r="G17" s="2095">
        <f>'9-A.Training Sub-Annex'!H283</f>
        <v>0</v>
      </c>
      <c r="H17" s="2095">
        <f>'9-A.Training Sub-Annex'!I283</f>
        <v>0</v>
      </c>
      <c r="I17" s="2095">
        <f>'9-A.Training Sub-Annex'!J283</f>
        <v>0</v>
      </c>
      <c r="J17" s="2095">
        <f>'9-A.Training Sub-Annex'!K283</f>
        <v>0</v>
      </c>
      <c r="K17" s="2095">
        <f>'9-A.Training Sub-Annex'!L283</f>
        <v>0</v>
      </c>
      <c r="L17" s="2095">
        <f>'9-A.Training Sub-Annex'!M283</f>
        <v>0</v>
      </c>
      <c r="M17" s="2166">
        <f>'9-A.Training Sub-Annex'!N283</f>
        <v>0</v>
      </c>
      <c r="N17" s="2095">
        <f>'9-A.Training Sub-Annex'!O283</f>
        <v>0</v>
      </c>
      <c r="O17" s="2166">
        <f>'9-A.Training Sub-Annex'!P283</f>
        <v>0</v>
      </c>
      <c r="P17" s="103">
        <f>'9-A.Training Sub-Annex'!Q283</f>
        <v>0</v>
      </c>
      <c r="Q17" s="171"/>
      <c r="R17" s="171"/>
    </row>
    <row r="18" spans="1:18" x14ac:dyDescent="0.2">
      <c r="A18" s="2032">
        <f>'11.IEC-BCC Annex'!A7</f>
        <v>11</v>
      </c>
      <c r="B18" s="2032"/>
      <c r="C18" s="2032" t="str">
        <f>'11.IEC-BCC Annex'!C7</f>
        <v>IEC/BCC</v>
      </c>
      <c r="D18" s="724"/>
      <c r="E18" s="724"/>
      <c r="F18" s="724"/>
      <c r="G18" s="724"/>
      <c r="H18" s="528"/>
      <c r="I18" s="724"/>
      <c r="J18" s="528"/>
      <c r="K18" s="2032"/>
      <c r="L18" s="2032"/>
      <c r="M18" s="528"/>
      <c r="N18" s="2098"/>
      <c r="O18" s="2020">
        <f>O19</f>
        <v>0</v>
      </c>
      <c r="P18" s="2098"/>
      <c r="Q18" s="2168"/>
      <c r="R18" s="2145">
        <f>R19</f>
        <v>0</v>
      </c>
    </row>
    <row r="19" spans="1:18" ht="30" x14ac:dyDescent="0.2">
      <c r="A19" s="2095" t="str">
        <f>'11.IEC-BCC Annex'!A39</f>
        <v>11.4.8</v>
      </c>
      <c r="B19" s="2095">
        <f>'11-A. IEC Sub-Annex'!C96</f>
        <v>0</v>
      </c>
      <c r="C19" s="2095" t="str">
        <f>'11-A. IEC Sub-Annex'!D96</f>
        <v>IEC/BCC - National Dialysis Programme (Haemodialysis and Peritoneal Dialysis)</v>
      </c>
      <c r="D19" s="2095" t="str">
        <f>'11-A. IEC Sub-Annex'!E96</f>
        <v>NCD</v>
      </c>
      <c r="E19" s="2095" t="str">
        <f>'11-A. IEC Sub-Annex'!F96</f>
        <v>HSS/NHSRC-HCT</v>
      </c>
      <c r="F19" s="2095">
        <f>'11-A. IEC Sub-Annex'!G96</f>
        <v>0</v>
      </c>
      <c r="G19" s="2095">
        <f>'11-A. IEC Sub-Annex'!H96</f>
        <v>0</v>
      </c>
      <c r="H19" s="2095">
        <f>'11-A. IEC Sub-Annex'!I96</f>
        <v>0</v>
      </c>
      <c r="I19" s="2095">
        <f>'11-A. IEC Sub-Annex'!J96</f>
        <v>0</v>
      </c>
      <c r="J19" s="2095">
        <f>'11-A. IEC Sub-Annex'!K96</f>
        <v>0</v>
      </c>
      <c r="K19" s="2095">
        <f>'11-A. IEC Sub-Annex'!L96</f>
        <v>0</v>
      </c>
      <c r="L19" s="2095">
        <f>'11-A. IEC Sub-Annex'!M96</f>
        <v>0</v>
      </c>
      <c r="M19" s="2166">
        <f>'11-A. IEC Sub-Annex'!N96</f>
        <v>0</v>
      </c>
      <c r="N19" s="2095">
        <f>'11-A. IEC Sub-Annex'!O96</f>
        <v>0</v>
      </c>
      <c r="O19" s="2166">
        <f>'11-A. IEC Sub-Annex'!P96</f>
        <v>0</v>
      </c>
      <c r="P19" s="103">
        <f>'11-A. IEC Sub-Annex'!Q96</f>
        <v>0</v>
      </c>
      <c r="Q19" s="171"/>
      <c r="R19" s="171"/>
    </row>
    <row r="20" spans="1:18" x14ac:dyDescent="0.2">
      <c r="A20" s="2032">
        <f>'12.Printing Annex'!A7</f>
        <v>12</v>
      </c>
      <c r="B20" s="2032"/>
      <c r="C20" s="2032" t="str">
        <f>'12.Printing Annex'!C7</f>
        <v>Printing</v>
      </c>
      <c r="D20" s="724"/>
      <c r="E20" s="724"/>
      <c r="F20" s="724"/>
      <c r="G20" s="724"/>
      <c r="H20" s="528"/>
      <c r="I20" s="724"/>
      <c r="J20" s="528"/>
      <c r="K20" s="2032"/>
      <c r="L20" s="2032"/>
      <c r="M20" s="528"/>
      <c r="N20" s="2098"/>
      <c r="O20" s="2020">
        <f>O21</f>
        <v>0</v>
      </c>
      <c r="P20" s="2098"/>
      <c r="Q20" s="2168"/>
      <c r="R20" s="2145">
        <f>R21</f>
        <v>0</v>
      </c>
    </row>
    <row r="21" spans="1:18" x14ac:dyDescent="0.2">
      <c r="A21" s="2099" t="str">
        <f>'12.Printing Annex'!A39</f>
        <v>12.4.6</v>
      </c>
      <c r="B21" s="2099">
        <f>'12-A. Print Sub-Annex'!C103</f>
        <v>0</v>
      </c>
      <c r="C21" s="2099" t="str">
        <f>'12-A. Print Sub-Annex'!D103</f>
        <v>Printing activities under PMNDP</v>
      </c>
      <c r="D21" s="2099" t="str">
        <f>'12-A. Print Sub-Annex'!E103</f>
        <v>NCD</v>
      </c>
      <c r="E21" s="2099" t="str">
        <f>'12-A. Print Sub-Annex'!F103</f>
        <v>HCT</v>
      </c>
      <c r="F21" s="2099">
        <f>'12-A. Print Sub-Annex'!G103</f>
        <v>0</v>
      </c>
      <c r="G21" s="2099">
        <f>'12-A. Print Sub-Annex'!H103</f>
        <v>0</v>
      </c>
      <c r="H21" s="2099">
        <f>'12-A. Print Sub-Annex'!I103</f>
        <v>0</v>
      </c>
      <c r="I21" s="2099">
        <f>'12-A. Print Sub-Annex'!J103</f>
        <v>0</v>
      </c>
      <c r="J21" s="2099">
        <f>'12-A. Print Sub-Annex'!K103</f>
        <v>0</v>
      </c>
      <c r="K21" s="2099">
        <f>'12-A. Print Sub-Annex'!L103</f>
        <v>0</v>
      </c>
      <c r="L21" s="2099">
        <f>'12-A. Print Sub-Annex'!M103</f>
        <v>0</v>
      </c>
      <c r="M21" s="2163">
        <f>'12-A. Print Sub-Annex'!N103</f>
        <v>0</v>
      </c>
      <c r="N21" s="2099">
        <f>'12-A. Print Sub-Annex'!O103</f>
        <v>0</v>
      </c>
      <c r="O21" s="2163">
        <f>'12-A. Print Sub-Annex'!P103</f>
        <v>0</v>
      </c>
      <c r="P21" s="103">
        <f>'12-A. Print Sub-Annex'!Q103</f>
        <v>0</v>
      </c>
      <c r="Q21" s="171"/>
      <c r="R21" s="171"/>
    </row>
    <row r="22" spans="1:18" x14ac:dyDescent="0.2">
      <c r="A22" s="2167" t="s">
        <v>5597</v>
      </c>
      <c r="B22" s="2032"/>
      <c r="C22" s="2032" t="str">
        <f>'15.PPP Annex'!C7</f>
        <v>PPP</v>
      </c>
      <c r="D22" s="724"/>
      <c r="E22" s="724"/>
      <c r="F22" s="724"/>
      <c r="G22" s="724"/>
      <c r="H22" s="528"/>
      <c r="I22" s="724"/>
      <c r="J22" s="528"/>
      <c r="K22" s="2032"/>
      <c r="L22" s="2032"/>
      <c r="M22" s="528"/>
      <c r="N22" s="2098"/>
      <c r="O22" s="2020">
        <f>O23</f>
        <v>0</v>
      </c>
      <c r="P22" s="2098"/>
      <c r="Q22" s="2168"/>
      <c r="R22" s="2145">
        <f>R23</f>
        <v>0</v>
      </c>
    </row>
    <row r="23" spans="1:18" x14ac:dyDescent="0.2">
      <c r="A23" s="2099" t="str">
        <f>'15.PPP Annex'!A52</f>
        <v>15.4.6</v>
      </c>
      <c r="B23" s="2099" t="str">
        <f>'15.PPP Annex'!B52</f>
        <v>15.9.4/ B.13.4</v>
      </c>
      <c r="C23" s="2099" t="str">
        <f>'15.PPP Annex'!C52</f>
        <v>Pradhan Mantri National Dialysis Programme</v>
      </c>
      <c r="D23" s="2099" t="str">
        <f>'15.PPP Annex'!D52</f>
        <v>NCD</v>
      </c>
      <c r="E23" s="2099" t="str">
        <f>'15.PPP Annex'!E52</f>
        <v>HCT</v>
      </c>
      <c r="F23" s="2099">
        <f>'15.PPP Annex'!F52</f>
        <v>0</v>
      </c>
      <c r="G23" s="2099">
        <f>'15.PPP Annex'!G52</f>
        <v>0</v>
      </c>
      <c r="H23" s="2099">
        <f>'15.PPP Annex'!H52</f>
        <v>0</v>
      </c>
      <c r="I23" s="2099">
        <f>'15.PPP Annex'!I52</f>
        <v>0</v>
      </c>
      <c r="J23" s="2099">
        <f>'15.PPP Annex'!J52</f>
        <v>0</v>
      </c>
      <c r="K23" s="2099">
        <f>'15.PPP Annex'!K52</f>
        <v>0</v>
      </c>
      <c r="L23" s="2099">
        <f>'15.PPP Annex'!L52</f>
        <v>0</v>
      </c>
      <c r="M23" s="2163">
        <f>'15.PPP Annex'!M52</f>
        <v>0</v>
      </c>
      <c r="N23" s="2099">
        <f>'15.PPP Annex'!N52</f>
        <v>0</v>
      </c>
      <c r="O23" s="2163">
        <f>'15.PPP Annex'!O52</f>
        <v>0</v>
      </c>
      <c r="P23" s="103">
        <f>'15.PPP Annex'!P52</f>
        <v>0</v>
      </c>
      <c r="Q23" s="171"/>
      <c r="R23" s="171"/>
    </row>
  </sheetData>
  <sheetProtection sheet="1" formatCells="0" formatColumns="0" formatRows="0" autoFilter="0"/>
  <autoFilter ref="A5:M23"/>
  <mergeCells count="10">
    <mergeCell ref="A16:A17"/>
    <mergeCell ref="Q4:R4"/>
    <mergeCell ref="E4:E5"/>
    <mergeCell ref="A1:C1"/>
    <mergeCell ref="A4:A5"/>
    <mergeCell ref="B4:B5"/>
    <mergeCell ref="C4:C5"/>
    <mergeCell ref="D4:D5"/>
    <mergeCell ref="F4:J4"/>
    <mergeCell ref="K4:P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R21"/>
  <sheetViews>
    <sheetView zoomScale="60" zoomScaleNormal="60" workbookViewId="0">
      <pane xSplit="3" ySplit="5" topLeftCell="D6" activePane="bottomRight" state="frozen"/>
      <selection activeCell="A394" sqref="A394:XFD396"/>
      <selection pane="topRight" activeCell="A394" sqref="A394:XFD396"/>
      <selection pane="bottomLeft" activeCell="A394" sqref="A394:XFD396"/>
      <selection pane="bottomRight" activeCell="Q20" sqref="Q20:R21"/>
    </sheetView>
  </sheetViews>
  <sheetFormatPr defaultColWidth="8.7109375" defaultRowHeight="15" x14ac:dyDescent="0.25"/>
  <cols>
    <col min="1" max="1" width="13.85546875" style="881" customWidth="1"/>
    <col min="2" max="2" width="17.5703125" style="881" hidden="1" customWidth="1"/>
    <col min="3" max="3" width="46.28515625" style="881" customWidth="1"/>
    <col min="4" max="4" width="5.5703125" style="835" hidden="1" customWidth="1"/>
    <col min="5" max="5" width="19.42578125" style="835" hidden="1" customWidth="1"/>
    <col min="6" max="6" width="21.140625" style="835" hidden="1" customWidth="1"/>
    <col min="7" max="7" width="16.140625" style="835" hidden="1" customWidth="1"/>
    <col min="8" max="8" width="18.42578125" style="956" hidden="1" customWidth="1"/>
    <col min="9" max="9" width="9.85546875" style="835" hidden="1" customWidth="1"/>
    <col min="10" max="10" width="16.140625" style="956" hidden="1" customWidth="1"/>
    <col min="11" max="11" width="17.140625" style="835" hidden="1" customWidth="1"/>
    <col min="12" max="12" width="14.85546875" style="835" customWidth="1"/>
    <col min="13" max="13" width="16.5703125" style="956" hidden="1" customWidth="1"/>
    <col min="14" max="14" width="8.7109375" style="835"/>
    <col min="15" max="15" width="12.140625" style="956" customWidth="1"/>
    <col min="16" max="16" width="35.5703125" style="2102" hidden="1" customWidth="1"/>
    <col min="17" max="17" width="46.42578125" style="2102" customWidth="1"/>
    <col min="18" max="18" width="11.28515625" style="2106" customWidth="1"/>
    <col min="19" max="16384" width="8.7109375" style="2075"/>
  </cols>
  <sheetData>
    <row r="1" spans="1:18" s="2171" customFormat="1" x14ac:dyDescent="0.25">
      <c r="A1" s="4087" t="s">
        <v>4134</v>
      </c>
      <c r="B1" s="4087"/>
      <c r="C1" s="4087"/>
      <c r="D1" s="2114"/>
      <c r="E1" s="893"/>
      <c r="F1" s="2151" t="s">
        <v>3986</v>
      </c>
      <c r="G1" s="2116"/>
      <c r="H1" s="2116"/>
      <c r="I1" s="2116"/>
      <c r="J1" s="2116"/>
      <c r="K1" s="2114"/>
      <c r="L1" s="2114"/>
      <c r="M1" s="2116"/>
      <c r="N1" s="2159"/>
      <c r="O1" s="2161"/>
      <c r="P1" s="2169"/>
      <c r="Q1" s="2169"/>
      <c r="R1" s="2170"/>
    </row>
    <row r="2" spans="1:18" s="2171" customFormat="1" x14ac:dyDescent="0.25">
      <c r="A2" s="1859" t="str">
        <f>HYPERLINK("#Index!F3", "Index Pg")</f>
        <v>Index Pg</v>
      </c>
      <c r="B2" s="1864"/>
      <c r="C2" s="1583" t="str">
        <f>HYPERLINK("#'Budget Summary I'!A1:AL1", "Budget Summary I")</f>
        <v>Budget Summary I</v>
      </c>
      <c r="D2" s="2048"/>
      <c r="E2" s="2153" t="s">
        <v>4608</v>
      </c>
      <c r="F2" s="177">
        <f>R6+R8+R10+R13+R15+R17+R19</f>
        <v>0</v>
      </c>
      <c r="G2" s="2116"/>
      <c r="H2" s="2116"/>
      <c r="I2" s="2116"/>
      <c r="J2" s="1103"/>
      <c r="K2" s="1104"/>
      <c r="L2" s="1104"/>
      <c r="M2" s="1103"/>
      <c r="N2" s="2159"/>
      <c r="O2" s="2161"/>
      <c r="P2" s="2169"/>
      <c r="Q2" s="2169"/>
      <c r="R2" s="2170"/>
    </row>
    <row r="3" spans="1:18" s="2171" customFormat="1" x14ac:dyDescent="0.25">
      <c r="A3" s="1863"/>
      <c r="B3" s="1864"/>
      <c r="C3" s="1098" t="str">
        <f>HYPERLINK("#'Budget Summary II'!A3:B5", "Budget Summary II")</f>
        <v>Budget Summary II</v>
      </c>
      <c r="D3" s="2048"/>
      <c r="E3" s="2158" t="s">
        <v>4609</v>
      </c>
      <c r="F3" s="725">
        <f>O6+O8+O10+O13+O15+O17+O19</f>
        <v>0</v>
      </c>
      <c r="G3" s="2116"/>
      <c r="H3" s="2116"/>
      <c r="I3" s="2116"/>
      <c r="J3" s="1103"/>
      <c r="K3" s="1104"/>
      <c r="L3" s="1104"/>
      <c r="M3" s="1103"/>
      <c r="N3" s="2159"/>
      <c r="O3" s="2161"/>
      <c r="P3" s="2169"/>
      <c r="Q3" s="2169"/>
      <c r="R3" s="2170"/>
    </row>
    <row r="4" spans="1:18" s="835" customForma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s="835" customFormat="1" ht="45"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1945" t="s">
        <v>63</v>
      </c>
      <c r="Q5" s="1946" t="s">
        <v>2540</v>
      </c>
      <c r="R5" s="900" t="s">
        <v>4671</v>
      </c>
    </row>
    <row r="6" spans="1:18" s="2088" customFormat="1" x14ac:dyDescent="0.25">
      <c r="A6" s="2032">
        <f>'3.Community Intervention Annexn'!A7</f>
        <v>3</v>
      </c>
      <c r="B6" s="2032"/>
      <c r="C6" s="2032" t="str">
        <f>'3.Community Intervention Annexn'!C7</f>
        <v>Community Interventions</v>
      </c>
      <c r="D6" s="724"/>
      <c r="E6" s="724"/>
      <c r="F6" s="724"/>
      <c r="G6" s="724"/>
      <c r="H6" s="528"/>
      <c r="I6" s="724"/>
      <c r="J6" s="528"/>
      <c r="K6" s="724"/>
      <c r="L6" s="724"/>
      <c r="M6" s="528"/>
      <c r="N6" s="2098"/>
      <c r="O6" s="2020">
        <f>O7</f>
        <v>0</v>
      </c>
      <c r="P6" s="2094"/>
      <c r="Q6" s="2094"/>
      <c r="R6" s="2020">
        <f>R7</f>
        <v>0</v>
      </c>
    </row>
    <row r="7" spans="1:18" s="2088" customFormat="1" ht="30" x14ac:dyDescent="0.25">
      <c r="A7" s="103" t="str">
        <f>'3.Community Intervention Annexn'!A55</f>
        <v>3.3.3.3</v>
      </c>
      <c r="B7" s="103">
        <f>'3.Community Intervention Annexn'!B55</f>
        <v>0</v>
      </c>
      <c r="C7" s="103" t="str">
        <f>'3.Community Intervention Annexn'!C55</f>
        <v>Training of PRI under National Program for Climate Change and Human Health (NPCCHH)</v>
      </c>
      <c r="D7" s="103" t="str">
        <f>'3.Community Intervention Annexn'!D55</f>
        <v>NCD</v>
      </c>
      <c r="E7" s="103" t="str">
        <f>'3.Community Intervention Annexn'!E55</f>
        <v>NPCCHH</v>
      </c>
      <c r="F7" s="2002">
        <f>'3.Community Intervention Annexn'!F55</f>
        <v>0</v>
      </c>
      <c r="G7" s="2002">
        <f>'3.Community Intervention Annexn'!G55</f>
        <v>0</v>
      </c>
      <c r="H7" s="2002">
        <f>'3.Community Intervention Annexn'!H55</f>
        <v>0</v>
      </c>
      <c r="I7" s="2002">
        <f>'3.Community Intervention Annexn'!I55</f>
        <v>0</v>
      </c>
      <c r="J7" s="2002">
        <f>'3.Community Intervention Annexn'!J55</f>
        <v>0</v>
      </c>
      <c r="K7" s="2002">
        <f>'3.Community Intervention Annexn'!K55</f>
        <v>0</v>
      </c>
      <c r="L7" s="2002">
        <f>'3.Community Intervention Annexn'!L55</f>
        <v>0</v>
      </c>
      <c r="M7" s="178">
        <f>'3.Community Intervention Annexn'!M55</f>
        <v>0</v>
      </c>
      <c r="N7" s="2002">
        <f>'3.Community Intervention Annexn'!N55</f>
        <v>0</v>
      </c>
      <c r="O7" s="178">
        <f>'3.Community Intervention Annexn'!O55</f>
        <v>0</v>
      </c>
      <c r="P7" s="103">
        <f>'3.Community Intervention Annexn'!P55</f>
        <v>0</v>
      </c>
      <c r="Q7" s="2107"/>
      <c r="R7" s="2108"/>
    </row>
    <row r="8" spans="1:18" s="2088" customFormat="1" x14ac:dyDescent="0.25">
      <c r="A8" s="2032">
        <f>'5.Infrastructure Annex'!A7</f>
        <v>5</v>
      </c>
      <c r="B8" s="2032"/>
      <c r="C8" s="2032" t="str">
        <f>'5.Infrastructure Annex'!C7</f>
        <v>Infrastructure</v>
      </c>
      <c r="D8" s="724"/>
      <c r="E8" s="724"/>
      <c r="F8" s="724"/>
      <c r="G8" s="724"/>
      <c r="H8" s="528"/>
      <c r="I8" s="724"/>
      <c r="J8" s="528"/>
      <c r="K8" s="724"/>
      <c r="L8" s="724"/>
      <c r="M8" s="528"/>
      <c r="N8" s="2098"/>
      <c r="O8" s="2020">
        <f>O9</f>
        <v>0</v>
      </c>
      <c r="P8" s="2094"/>
      <c r="Q8" s="2111"/>
      <c r="R8" s="2020">
        <f>R9</f>
        <v>0</v>
      </c>
    </row>
    <row r="9" spans="1:18" s="2088" customFormat="1" ht="30" x14ac:dyDescent="0.25">
      <c r="A9" s="103" t="str">
        <f>'5.Infrastructure Annex'!A34</f>
        <v>5.1.1.2.13</v>
      </c>
      <c r="B9" s="103">
        <f>'5.Infrastructure Annex'!B34</f>
        <v>0</v>
      </c>
      <c r="C9" s="103" t="str">
        <f>'5.Infrastructure Annex'!C34</f>
        <v>Greening of Health sector: DH/ CHC as per IPHS guidelines</v>
      </c>
      <c r="D9" s="103" t="str">
        <f>'5.Infrastructure Annex'!D34</f>
        <v>NCD</v>
      </c>
      <c r="E9" s="103" t="str">
        <f>'5.Infrastructure Annex'!E34</f>
        <v>NPCCHH</v>
      </c>
      <c r="F9" s="2002">
        <f>'5.Infrastructure Annex'!F34</f>
        <v>0</v>
      </c>
      <c r="G9" s="2002">
        <f>'5.Infrastructure Annex'!G34</f>
        <v>0</v>
      </c>
      <c r="H9" s="2002">
        <f>'5.Infrastructure Annex'!H34</f>
        <v>0</v>
      </c>
      <c r="I9" s="2002">
        <f>'5.Infrastructure Annex'!I34</f>
        <v>0</v>
      </c>
      <c r="J9" s="2002">
        <f>'5.Infrastructure Annex'!J34</f>
        <v>0</v>
      </c>
      <c r="K9" s="2002">
        <f>'5.Infrastructure Annex'!K34</f>
        <v>0</v>
      </c>
      <c r="L9" s="2002">
        <f>'5.Infrastructure Annex'!L34</f>
        <v>0</v>
      </c>
      <c r="M9" s="178">
        <f>'5.Infrastructure Annex'!M34</f>
        <v>0</v>
      </c>
      <c r="N9" s="2002">
        <f>'5.Infrastructure Annex'!N34</f>
        <v>0</v>
      </c>
      <c r="O9" s="178">
        <f>'5.Infrastructure Annex'!O34</f>
        <v>0</v>
      </c>
      <c r="P9" s="103">
        <f>'5.Infrastructure Annex'!P34</f>
        <v>0</v>
      </c>
      <c r="Q9" s="2107"/>
      <c r="R9" s="2108">
        <v>0</v>
      </c>
    </row>
    <row r="10" spans="1:18" x14ac:dyDescent="0.25">
      <c r="A10" s="2032">
        <f>'9.Training Annex'!A7</f>
        <v>9</v>
      </c>
      <c r="B10" s="2032"/>
      <c r="C10" s="2032" t="str">
        <f>'9.Training Annex'!C7</f>
        <v>Training and Capacity Building</v>
      </c>
      <c r="D10" s="724"/>
      <c r="E10" s="724"/>
      <c r="F10" s="724"/>
      <c r="G10" s="724"/>
      <c r="H10" s="528"/>
      <c r="I10" s="724"/>
      <c r="J10" s="528"/>
      <c r="K10" s="724"/>
      <c r="L10" s="724"/>
      <c r="M10" s="528"/>
      <c r="N10" s="2098"/>
      <c r="O10" s="2020">
        <f>SUM(O11:O12)</f>
        <v>0</v>
      </c>
      <c r="P10" s="2094"/>
      <c r="Q10" s="2111"/>
      <c r="R10" s="2020">
        <f>SUM(R11:R12)</f>
        <v>0</v>
      </c>
    </row>
    <row r="11" spans="1:18" ht="30" x14ac:dyDescent="0.25">
      <c r="A11" s="4092" t="str">
        <f>'9.Training Annex'!A63</f>
        <v>9.2.4.9</v>
      </c>
      <c r="B11" s="103">
        <f>'9-A.Training Sub-Annex'!C279</f>
        <v>0</v>
      </c>
      <c r="C11" s="103" t="str">
        <f>'9-A.Training Sub-Annex'!D279</f>
        <v>Trainings of Medical Officers, Health Workers and Programme officers under NPCCHH</v>
      </c>
      <c r="D11" s="103" t="str">
        <f>'9-A.Training Sub-Annex'!E279</f>
        <v>NCD</v>
      </c>
      <c r="E11" s="103" t="str">
        <f>'9-A.Training Sub-Annex'!F279</f>
        <v>NPCCHH</v>
      </c>
      <c r="F11" s="2002">
        <f>'9-A.Training Sub-Annex'!G279</f>
        <v>0</v>
      </c>
      <c r="G11" s="2002">
        <f>'9-A.Training Sub-Annex'!H279</f>
        <v>0</v>
      </c>
      <c r="H11" s="2002">
        <f>'9-A.Training Sub-Annex'!I279</f>
        <v>0</v>
      </c>
      <c r="I11" s="2002">
        <f>'9-A.Training Sub-Annex'!J279</f>
        <v>0</v>
      </c>
      <c r="J11" s="2002">
        <f>'9-A.Training Sub-Annex'!K279</f>
        <v>0</v>
      </c>
      <c r="K11" s="2002">
        <f>'9-A.Training Sub-Annex'!L279</f>
        <v>0</v>
      </c>
      <c r="L11" s="2002">
        <f>'9-A.Training Sub-Annex'!M279</f>
        <v>0</v>
      </c>
      <c r="M11" s="178">
        <f>'9-A.Training Sub-Annex'!N279</f>
        <v>0</v>
      </c>
      <c r="N11" s="2002">
        <f>'9-A.Training Sub-Annex'!O279</f>
        <v>0</v>
      </c>
      <c r="O11" s="178">
        <f>'9-A.Training Sub-Annex'!P279</f>
        <v>0</v>
      </c>
      <c r="P11" s="103">
        <f>'9-A.Training Sub-Annex'!Q279</f>
        <v>0</v>
      </c>
      <c r="Q11" s="2109"/>
      <c r="R11" s="2110"/>
    </row>
    <row r="12" spans="1:18" x14ac:dyDescent="0.25">
      <c r="A12" s="4093"/>
      <c r="B12" s="103">
        <f>'9-A.Training Sub-Annex'!C280</f>
        <v>0</v>
      </c>
      <c r="C12" s="103" t="str">
        <f>'9-A.Training Sub-Annex'!D280</f>
        <v>Any other (please specify)</v>
      </c>
      <c r="D12" s="103" t="str">
        <f>'9-A.Training Sub-Annex'!E280</f>
        <v>NCD</v>
      </c>
      <c r="E12" s="103" t="str">
        <f>'9-A.Training Sub-Annex'!F280</f>
        <v>NPCCHH</v>
      </c>
      <c r="F12" s="2002">
        <f>'9-A.Training Sub-Annex'!G280</f>
        <v>0</v>
      </c>
      <c r="G12" s="2002">
        <f>'9-A.Training Sub-Annex'!H280</f>
        <v>0</v>
      </c>
      <c r="H12" s="2002">
        <f>'9-A.Training Sub-Annex'!I280</f>
        <v>0</v>
      </c>
      <c r="I12" s="2002">
        <f>'9-A.Training Sub-Annex'!J280</f>
        <v>0</v>
      </c>
      <c r="J12" s="2002">
        <f>'9-A.Training Sub-Annex'!K280</f>
        <v>0</v>
      </c>
      <c r="K12" s="2002">
        <f>'9-A.Training Sub-Annex'!L280</f>
        <v>0</v>
      </c>
      <c r="L12" s="2002">
        <f>'9-A.Training Sub-Annex'!M280</f>
        <v>0</v>
      </c>
      <c r="M12" s="178">
        <f>'9-A.Training Sub-Annex'!N280</f>
        <v>0</v>
      </c>
      <c r="N12" s="2002">
        <f>'9-A.Training Sub-Annex'!O280</f>
        <v>0</v>
      </c>
      <c r="O12" s="178">
        <f>'9-A.Training Sub-Annex'!P280</f>
        <v>0</v>
      </c>
      <c r="P12" s="103">
        <f>'9-A.Training Sub-Annex'!Q280</f>
        <v>0</v>
      </c>
      <c r="Q12" s="2109"/>
      <c r="R12" s="2110"/>
    </row>
    <row r="13" spans="1:18" x14ac:dyDescent="0.25">
      <c r="A13" s="2032">
        <f>'10.Review Research &amp; Surveillen'!A7</f>
        <v>10</v>
      </c>
      <c r="B13" s="2032"/>
      <c r="C13" s="2032" t="str">
        <f>'10.Review Research &amp; Surveillen'!C7</f>
        <v>Reviews, Research, Surveys and Surveillance</v>
      </c>
      <c r="D13" s="724"/>
      <c r="E13" s="724"/>
      <c r="F13" s="724"/>
      <c r="G13" s="724"/>
      <c r="H13" s="528"/>
      <c r="I13" s="724"/>
      <c r="J13" s="528"/>
      <c r="K13" s="724"/>
      <c r="L13" s="724"/>
      <c r="M13" s="528"/>
      <c r="N13" s="2098"/>
      <c r="O13" s="2020">
        <f>O14</f>
        <v>0</v>
      </c>
      <c r="P13" s="2094"/>
      <c r="Q13" s="2111"/>
      <c r="R13" s="2020">
        <f>R14</f>
        <v>0</v>
      </c>
    </row>
    <row r="14" spans="1:18" ht="45" x14ac:dyDescent="0.25">
      <c r="A14" s="2014" t="str">
        <f>'10.Review Research &amp; Surveillen'!A31</f>
        <v>10.2.14</v>
      </c>
      <c r="B14" s="2014">
        <f>'10.Review Research &amp; Surveillen'!B31</f>
        <v>0</v>
      </c>
      <c r="C14" s="2014" t="str">
        <f>'10.Review Research &amp; Surveillen'!C31</f>
        <v>Surveillance/ Vulnerability assessment/ Research related to Climate Change, Air Pollution and Heat related illness</v>
      </c>
      <c r="D14" s="2014" t="str">
        <f>'10.Review Research &amp; Surveillen'!D31</f>
        <v>NCD</v>
      </c>
      <c r="E14" s="2014" t="str">
        <f>'10.Review Research &amp; Surveillen'!E31</f>
        <v>NPCCHH</v>
      </c>
      <c r="F14" s="2055">
        <f>'10.Review Research &amp; Surveillen'!F31</f>
        <v>0</v>
      </c>
      <c r="G14" s="2055">
        <f>'10.Review Research &amp; Surveillen'!G31</f>
        <v>0</v>
      </c>
      <c r="H14" s="2055">
        <f>'10.Review Research &amp; Surveillen'!H31</f>
        <v>0</v>
      </c>
      <c r="I14" s="2055">
        <f>'10.Review Research &amp; Surveillen'!I31</f>
        <v>0</v>
      </c>
      <c r="J14" s="2055">
        <f>'10.Review Research &amp; Surveillen'!J31</f>
        <v>0</v>
      </c>
      <c r="K14" s="2055">
        <f>'10.Review Research &amp; Surveillen'!K31</f>
        <v>0</v>
      </c>
      <c r="L14" s="2055">
        <f>'10.Review Research &amp; Surveillen'!L31</f>
        <v>0</v>
      </c>
      <c r="M14" s="178">
        <f>'10.Review Research &amp; Surveillen'!M31</f>
        <v>0</v>
      </c>
      <c r="N14" s="2055">
        <f>'10.Review Research &amp; Surveillen'!N31</f>
        <v>0</v>
      </c>
      <c r="O14" s="178">
        <f>'10.Review Research &amp; Surveillen'!O31</f>
        <v>0</v>
      </c>
      <c r="P14" s="2015">
        <f>'10.Review Research &amp; Surveillen'!P31</f>
        <v>0</v>
      </c>
      <c r="Q14" s="2109"/>
      <c r="R14" s="2110"/>
    </row>
    <row r="15" spans="1:18" x14ac:dyDescent="0.25">
      <c r="A15" s="2032">
        <f>'11.IEC-BCC Annex'!A7</f>
        <v>11</v>
      </c>
      <c r="B15" s="2032"/>
      <c r="C15" s="2032" t="str">
        <f>'11.IEC-BCC Annex'!C7</f>
        <v>IEC/BCC</v>
      </c>
      <c r="D15" s="724"/>
      <c r="E15" s="724"/>
      <c r="F15" s="724"/>
      <c r="G15" s="724"/>
      <c r="H15" s="528"/>
      <c r="I15" s="724"/>
      <c r="J15" s="528"/>
      <c r="K15" s="724"/>
      <c r="L15" s="724"/>
      <c r="M15" s="528"/>
      <c r="N15" s="2098"/>
      <c r="O15" s="2020">
        <f>O16</f>
        <v>0</v>
      </c>
      <c r="P15" s="2094"/>
      <c r="Q15" s="2111"/>
      <c r="R15" s="2020">
        <f>R16</f>
        <v>0</v>
      </c>
    </row>
    <row r="16" spans="1:18" ht="45" x14ac:dyDescent="0.25">
      <c r="A16" s="103" t="str">
        <f>'11.IEC-BCC Annex'!A38</f>
        <v>11.4.7</v>
      </c>
      <c r="B16" s="103">
        <f>'11-A. IEC Sub-Annex'!C95</f>
        <v>0</v>
      </c>
      <c r="C16" s="103" t="str">
        <f>'11-A. IEC Sub-Annex'!D95</f>
        <v>IEC on Climate Sensitive Diseases at Block , District and State level  – Air pollution, Heat and other relevant Climate Sensitive diseases</v>
      </c>
      <c r="D16" s="103" t="str">
        <f>'11-A. IEC Sub-Annex'!E95</f>
        <v>NCD</v>
      </c>
      <c r="E16" s="103" t="str">
        <f>'11-A. IEC Sub-Annex'!F95</f>
        <v>NPCCHH</v>
      </c>
      <c r="F16" s="2002">
        <f>'11-A. IEC Sub-Annex'!G95</f>
        <v>0</v>
      </c>
      <c r="G16" s="2002">
        <f>'11-A. IEC Sub-Annex'!H95</f>
        <v>0</v>
      </c>
      <c r="H16" s="2002">
        <f>'11-A. IEC Sub-Annex'!I95</f>
        <v>0</v>
      </c>
      <c r="I16" s="2002">
        <f>'11-A. IEC Sub-Annex'!J95</f>
        <v>0</v>
      </c>
      <c r="J16" s="2002">
        <f>'11-A. IEC Sub-Annex'!K95</f>
        <v>0</v>
      </c>
      <c r="K16" s="2002">
        <f>'11-A. IEC Sub-Annex'!L95</f>
        <v>0</v>
      </c>
      <c r="L16" s="2002">
        <f>'11-A. IEC Sub-Annex'!M95</f>
        <v>0</v>
      </c>
      <c r="M16" s="178">
        <f>'11-A. IEC Sub-Annex'!N95</f>
        <v>0</v>
      </c>
      <c r="N16" s="2002">
        <f>'11-A. IEC Sub-Annex'!O95</f>
        <v>0</v>
      </c>
      <c r="O16" s="178">
        <f>'11-A. IEC Sub-Annex'!P95</f>
        <v>0</v>
      </c>
      <c r="P16" s="103">
        <f>'11-A. IEC Sub-Annex'!Q95</f>
        <v>0</v>
      </c>
      <c r="Q16" s="2109"/>
      <c r="R16" s="2110"/>
    </row>
    <row r="17" spans="1:18" x14ac:dyDescent="0.25">
      <c r="A17" s="2032">
        <f>'12.Printing Annex'!A7</f>
        <v>12</v>
      </c>
      <c r="B17" s="2032"/>
      <c r="C17" s="2032" t="str">
        <f>'12.Printing Annex'!C7</f>
        <v>Printing</v>
      </c>
      <c r="D17" s="724"/>
      <c r="E17" s="724"/>
      <c r="F17" s="724"/>
      <c r="G17" s="724"/>
      <c r="H17" s="528"/>
      <c r="I17" s="724"/>
      <c r="J17" s="528"/>
      <c r="K17" s="724"/>
      <c r="L17" s="724"/>
      <c r="M17" s="528"/>
      <c r="N17" s="2098"/>
      <c r="O17" s="2020">
        <f>O18</f>
        <v>0</v>
      </c>
      <c r="P17" s="2094"/>
      <c r="Q17" s="2111"/>
      <c r="R17" s="2020">
        <f>R18</f>
        <v>0</v>
      </c>
    </row>
    <row r="18" spans="1:18" x14ac:dyDescent="0.25">
      <c r="A18" s="103" t="str">
        <f>'12.Printing Annex'!A40</f>
        <v>12.4.7</v>
      </c>
      <c r="B18" s="103">
        <f>'12-A. Print Sub-Annex'!C104</f>
        <v>0</v>
      </c>
      <c r="C18" s="103" t="str">
        <f>'12-A. Print Sub-Annex'!D104</f>
        <v>Printing activities for NPCCHH</v>
      </c>
      <c r="D18" s="103" t="str">
        <f>'12-A. Print Sub-Annex'!E104</f>
        <v>NCD</v>
      </c>
      <c r="E18" s="103" t="str">
        <f>'12-A. Print Sub-Annex'!F104</f>
        <v>NPCCHH</v>
      </c>
      <c r="F18" s="2002">
        <f>'12-A. Print Sub-Annex'!G104</f>
        <v>0</v>
      </c>
      <c r="G18" s="2002">
        <f>'12-A. Print Sub-Annex'!H104</f>
        <v>0</v>
      </c>
      <c r="H18" s="2002">
        <f>'12-A. Print Sub-Annex'!I104</f>
        <v>0</v>
      </c>
      <c r="I18" s="2002">
        <f>'12-A. Print Sub-Annex'!J104</f>
        <v>0</v>
      </c>
      <c r="J18" s="2002">
        <f>'12-A. Print Sub-Annex'!K104</f>
        <v>0</v>
      </c>
      <c r="K18" s="2002">
        <f>'12-A. Print Sub-Annex'!L104</f>
        <v>0</v>
      </c>
      <c r="L18" s="2002">
        <f>'12-A. Print Sub-Annex'!M104</f>
        <v>0</v>
      </c>
      <c r="M18" s="178">
        <f>'12-A. Print Sub-Annex'!N104</f>
        <v>0</v>
      </c>
      <c r="N18" s="2002">
        <f>'12-A. Print Sub-Annex'!O104</f>
        <v>0</v>
      </c>
      <c r="O18" s="178">
        <f>'12-A. Print Sub-Annex'!P104</f>
        <v>0</v>
      </c>
      <c r="P18" s="103">
        <f>'12-A. Print Sub-Annex'!Q104</f>
        <v>0</v>
      </c>
      <c r="Q18" s="2109"/>
      <c r="R18" s="2110"/>
    </row>
    <row r="19" spans="1:18" x14ac:dyDescent="0.25">
      <c r="A19" s="844">
        <f>'16.PM Annex'!A7</f>
        <v>16</v>
      </c>
      <c r="B19" s="844">
        <f>'16.PM Annex'!B7</f>
        <v>0</v>
      </c>
      <c r="C19" s="844" t="str">
        <f>'16.PM Annex'!C7</f>
        <v>Programme Management</v>
      </c>
      <c r="D19" s="845"/>
      <c r="E19" s="845"/>
      <c r="F19" s="845"/>
      <c r="G19" s="845"/>
      <c r="H19" s="528"/>
      <c r="I19" s="845"/>
      <c r="J19" s="528"/>
      <c r="K19" s="845"/>
      <c r="L19" s="845"/>
      <c r="M19" s="528"/>
      <c r="N19" s="2098"/>
      <c r="O19" s="2020">
        <f>O20+O21</f>
        <v>0</v>
      </c>
      <c r="P19" s="2094"/>
      <c r="Q19" s="2111"/>
      <c r="R19" s="2020">
        <f>R20+R21</f>
        <v>0</v>
      </c>
    </row>
    <row r="20" spans="1:18" ht="30" x14ac:dyDescent="0.25">
      <c r="A20" s="103" t="str">
        <f>'16-A. PM sub Annex'!B44</f>
        <v>16.1.2.1.23</v>
      </c>
      <c r="B20" s="103">
        <f>'16-A. PM sub Annex'!D44</f>
        <v>0</v>
      </c>
      <c r="C20" s="103" t="str">
        <f>'16-A. PM sub Annex'!E44</f>
        <v>Task force Meeting to draft health sector plan for Heat and Air Pollution</v>
      </c>
      <c r="D20" s="2002" t="str">
        <f>'16-A. PM sub Annex'!F44</f>
        <v>NCD</v>
      </c>
      <c r="E20" s="2002" t="str">
        <f>'16-A. PM sub Annex'!G44</f>
        <v>HRH&amp;HPIP/NPCCHH</v>
      </c>
      <c r="F20" s="2002">
        <f>'16-A. PM sub Annex'!H44</f>
        <v>0</v>
      </c>
      <c r="G20" s="2002">
        <f>'16-A. PM sub Annex'!I44</f>
        <v>0</v>
      </c>
      <c r="H20" s="2002">
        <f>'16-A. PM sub Annex'!J44</f>
        <v>0</v>
      </c>
      <c r="I20" s="2002">
        <f>'16-A. PM sub Annex'!K44</f>
        <v>0</v>
      </c>
      <c r="J20" s="2002">
        <f>'16-A. PM sub Annex'!L44</f>
        <v>0</v>
      </c>
      <c r="K20" s="2002">
        <f>'16-A. PM sub Annex'!M44</f>
        <v>0</v>
      </c>
      <c r="L20" s="2002">
        <f>'16-A. PM sub Annex'!N44</f>
        <v>0</v>
      </c>
      <c r="M20" s="178">
        <f>'16-A. PM sub Annex'!O44</f>
        <v>0</v>
      </c>
      <c r="N20" s="2002">
        <f>'16-A. PM sub Annex'!P44</f>
        <v>0</v>
      </c>
      <c r="O20" s="178">
        <f>'16-A. PM sub Annex'!Q44</f>
        <v>0</v>
      </c>
      <c r="P20" s="103">
        <f>'16-A. PM sub Annex'!R44</f>
        <v>0</v>
      </c>
      <c r="Q20" s="2109"/>
      <c r="R20" s="2110"/>
    </row>
    <row r="21" spans="1:18" ht="30" x14ac:dyDescent="0.25">
      <c r="A21" s="103" t="str">
        <f>'16-A. PM sub Annex'!B45</f>
        <v>16.1.2.1.24</v>
      </c>
      <c r="B21" s="103">
        <f>'16-A. PM sub Annex'!D45</f>
        <v>0</v>
      </c>
      <c r="C21" s="103" t="str">
        <f>'16-A. PM sub Annex'!E45</f>
        <v xml:space="preserve">Sensitization workshop/ Meeting of  the State Program Officers and District level Health Officers   </v>
      </c>
      <c r="D21" s="2002" t="str">
        <f>'16-A. PM sub Annex'!F45</f>
        <v>NCD</v>
      </c>
      <c r="E21" s="2002" t="str">
        <f>'16-A. PM sub Annex'!G45</f>
        <v>HRH&amp;HPIP/NPCCHH</v>
      </c>
      <c r="F21" s="2002">
        <f>'16-A. PM sub Annex'!H45</f>
        <v>0</v>
      </c>
      <c r="G21" s="2002">
        <f>'16-A. PM sub Annex'!I45</f>
        <v>0</v>
      </c>
      <c r="H21" s="2002">
        <f>'16-A. PM sub Annex'!J45</f>
        <v>0</v>
      </c>
      <c r="I21" s="2002">
        <f>'16-A. PM sub Annex'!K45</f>
        <v>0</v>
      </c>
      <c r="J21" s="2002">
        <f>'16-A. PM sub Annex'!L45</f>
        <v>0</v>
      </c>
      <c r="K21" s="2002">
        <f>'16-A. PM sub Annex'!M45</f>
        <v>0</v>
      </c>
      <c r="L21" s="2002">
        <f>'16-A. PM sub Annex'!N45</f>
        <v>0</v>
      </c>
      <c r="M21" s="178">
        <f>'16-A. PM sub Annex'!O45</f>
        <v>0</v>
      </c>
      <c r="N21" s="2002">
        <f>'16-A. PM sub Annex'!P45</f>
        <v>0</v>
      </c>
      <c r="O21" s="178">
        <f>'16-A. PM sub Annex'!Q45</f>
        <v>0</v>
      </c>
      <c r="P21" s="103">
        <f>'16-A. PM sub Annex'!R45</f>
        <v>0</v>
      </c>
      <c r="Q21" s="2109"/>
      <c r="R21" s="2110"/>
    </row>
  </sheetData>
  <sheetProtection sheet="1" formatCells="0" formatColumns="0" formatRows="0"/>
  <autoFilter ref="A5:M21"/>
  <mergeCells count="10">
    <mergeCell ref="A11:A12"/>
    <mergeCell ref="Q4:R4"/>
    <mergeCell ref="E4:E5"/>
    <mergeCell ref="A1:C1"/>
    <mergeCell ref="A4:A5"/>
    <mergeCell ref="B4:B5"/>
    <mergeCell ref="C4:C5"/>
    <mergeCell ref="D4:D5"/>
    <mergeCell ref="F4:J4"/>
    <mergeCell ref="K4:P4"/>
  </mergeCells>
  <pageMargins left="0.7" right="0.7" top="0.75" bottom="0.75" header="0.3" footer="0.3"/>
  <pageSetup orientation="portrait" horizontalDpi="300"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7" tint="0.79998168889431442"/>
  </sheetPr>
  <dimension ref="A1:R21"/>
  <sheetViews>
    <sheetView zoomScale="80" zoomScaleNormal="80" workbookViewId="0">
      <pane xSplit="3" ySplit="5" topLeftCell="D6" activePane="bottomRight" state="frozen"/>
      <selection activeCell="A4" sqref="A4:R11"/>
      <selection pane="topRight" activeCell="A4" sqref="A4:R11"/>
      <selection pane="bottomLeft" activeCell="A4" sqref="A4:R11"/>
      <selection pane="bottomRight" activeCell="Q15" sqref="Q15:R15"/>
    </sheetView>
  </sheetViews>
  <sheetFormatPr defaultColWidth="9.140625" defaultRowHeight="15" x14ac:dyDescent="0.2"/>
  <cols>
    <col min="1" max="1" width="10.85546875" style="1825" bestFit="1" customWidth="1"/>
    <col min="2" max="2" width="16.140625" style="1825" hidden="1" customWidth="1"/>
    <col min="3" max="3" width="46.140625" style="881" customWidth="1"/>
    <col min="4" max="4" width="4.28515625" style="835" hidden="1" customWidth="1"/>
    <col min="5" max="5" width="14.5703125" style="835" hidden="1" customWidth="1"/>
    <col min="6" max="6" width="22.140625" style="1196" hidden="1" customWidth="1"/>
    <col min="7" max="7" width="15.42578125" style="1196" hidden="1" customWidth="1"/>
    <col min="8" max="8" width="9.85546875" style="1962" hidden="1" customWidth="1"/>
    <col min="9" max="9" width="8.140625" style="1196" hidden="1" customWidth="1"/>
    <col min="10" max="10" width="12.140625" style="1962" hidden="1" customWidth="1"/>
    <col min="11" max="11" width="10.140625" style="1825" hidden="1" customWidth="1"/>
    <col min="12" max="12" width="10.7109375" style="1825" customWidth="1"/>
    <col min="13" max="13" width="13.85546875" style="1962" hidden="1" customWidth="1"/>
    <col min="14" max="15" width="9.140625" style="1963"/>
    <col min="16" max="16" width="39.85546875" style="3348" hidden="1" customWidth="1"/>
    <col min="17" max="17" width="34.42578125" style="3348" customWidth="1"/>
    <col min="18" max="16384" width="9.140625" style="1963"/>
  </cols>
  <sheetData>
    <row r="1" spans="1:18" s="2173" customFormat="1" x14ac:dyDescent="0.2">
      <c r="A1" s="4073" t="s">
        <v>2135</v>
      </c>
      <c r="B1" s="4073"/>
      <c r="C1" s="4073"/>
      <c r="D1" s="990"/>
      <c r="E1" s="893"/>
      <c r="F1" s="98" t="s">
        <v>3965</v>
      </c>
      <c r="G1" s="1934"/>
      <c r="H1" s="1934"/>
      <c r="I1" s="2036"/>
      <c r="J1" s="1934"/>
      <c r="K1" s="2172"/>
      <c r="L1" s="2172"/>
      <c r="M1" s="1934"/>
      <c r="P1" s="2178"/>
      <c r="Q1" s="2178"/>
    </row>
    <row r="2" spans="1:18" s="2173" customFormat="1" x14ac:dyDescent="0.25">
      <c r="A2" s="1859" t="str">
        <f>HYPERLINK("#Index!F3", "Index Pg")</f>
        <v>Index Pg</v>
      </c>
      <c r="B2" s="1864"/>
      <c r="C2" s="831" t="str">
        <f>HYPERLINK("#'Budget Summary I'!A1:AL1", "Budget Summary I")</f>
        <v>Budget Summary I</v>
      </c>
      <c r="D2" s="2174"/>
      <c r="E2" s="2153" t="s">
        <v>4608</v>
      </c>
      <c r="F2" s="177">
        <f>R20+R14+R9+R6+R17</f>
        <v>0</v>
      </c>
      <c r="G2" s="1934"/>
      <c r="H2" s="1934"/>
      <c r="I2" s="1309"/>
      <c r="J2" s="1934"/>
      <c r="K2" s="2064"/>
      <c r="L2" s="2064"/>
      <c r="M2" s="1934"/>
      <c r="P2" s="2178"/>
      <c r="Q2" s="2178"/>
    </row>
    <row r="3" spans="1:18" s="2173" customFormat="1" x14ac:dyDescent="0.25">
      <c r="A3" s="1863"/>
      <c r="B3" s="1864"/>
      <c r="C3" s="831" t="str">
        <f>HYPERLINK("#'Budget Summary II'!A3:B5", "Budget Summary II")</f>
        <v>Budget Summary II</v>
      </c>
      <c r="D3" s="2174"/>
      <c r="E3" s="2153" t="s">
        <v>4609</v>
      </c>
      <c r="F3" s="177">
        <f ca="1">O20+O14+O9+O6+O17</f>
        <v>244.19</v>
      </c>
      <c r="G3" s="1934"/>
      <c r="H3" s="1934"/>
      <c r="I3" s="1309"/>
      <c r="J3" s="1934"/>
      <c r="K3" s="2064"/>
      <c r="L3" s="2064"/>
      <c r="M3" s="1934"/>
      <c r="P3" s="2178"/>
      <c r="Q3" s="2178"/>
    </row>
    <row r="4" spans="1:18" s="1196" customFormat="1" ht="14.45" customHeight="1" x14ac:dyDescent="0.2">
      <c r="A4" s="3823" t="s">
        <v>53</v>
      </c>
      <c r="B4" s="3823" t="s">
        <v>54</v>
      </c>
      <c r="C4" s="3823" t="s">
        <v>55</v>
      </c>
      <c r="D4" s="3823" t="s">
        <v>56</v>
      </c>
      <c r="E4" s="3823" t="s">
        <v>57</v>
      </c>
      <c r="F4" s="3822" t="s">
        <v>4629</v>
      </c>
      <c r="G4" s="3822"/>
      <c r="H4" s="3822"/>
      <c r="I4" s="3822"/>
      <c r="J4" s="3822"/>
      <c r="K4" s="3822" t="s">
        <v>4640</v>
      </c>
      <c r="L4" s="3822"/>
      <c r="M4" s="3822"/>
      <c r="N4" s="3822"/>
      <c r="O4" s="3822"/>
      <c r="P4" s="3822"/>
      <c r="Q4" s="3826" t="s">
        <v>4670</v>
      </c>
      <c r="R4" s="3826"/>
    </row>
    <row r="5" spans="1:18" s="1196" customFormat="1" ht="60" x14ac:dyDescent="0.2">
      <c r="A5" s="3823"/>
      <c r="B5" s="3823"/>
      <c r="C5" s="3823"/>
      <c r="D5" s="3823"/>
      <c r="E5" s="3823"/>
      <c r="F5" s="896" t="s">
        <v>4630</v>
      </c>
      <c r="G5" s="896" t="s">
        <v>4638</v>
      </c>
      <c r="H5" s="896" t="s">
        <v>4631</v>
      </c>
      <c r="I5" s="896" t="s">
        <v>4639</v>
      </c>
      <c r="J5" s="2079" t="s">
        <v>2538</v>
      </c>
      <c r="K5" s="2080" t="s">
        <v>58</v>
      </c>
      <c r="L5" s="2080" t="s">
        <v>59</v>
      </c>
      <c r="M5" s="2081" t="s">
        <v>60</v>
      </c>
      <c r="N5" s="2080" t="s">
        <v>61</v>
      </c>
      <c r="O5" s="2081" t="s">
        <v>62</v>
      </c>
      <c r="P5" s="2080" t="s">
        <v>63</v>
      </c>
      <c r="Q5" s="1609" t="s">
        <v>2540</v>
      </c>
      <c r="R5" s="1686" t="s">
        <v>4671</v>
      </c>
    </row>
    <row r="6" spans="1:18" x14ac:dyDescent="0.2">
      <c r="A6" s="2032">
        <f>'6.Procurement Annex'!A7</f>
        <v>6</v>
      </c>
      <c r="B6" s="2032"/>
      <c r="C6" s="2032" t="str">
        <f>'6.Procurement Annex'!C7</f>
        <v>Procurement</v>
      </c>
      <c r="D6" s="724"/>
      <c r="E6" s="724"/>
      <c r="F6" s="724"/>
      <c r="G6" s="724"/>
      <c r="H6" s="528"/>
      <c r="I6" s="724"/>
      <c r="J6" s="528"/>
      <c r="K6" s="2032"/>
      <c r="L6" s="2032"/>
      <c r="M6" s="528"/>
      <c r="N6" s="2022"/>
      <c r="O6" s="2022">
        <f>O7+O8</f>
        <v>0</v>
      </c>
      <c r="P6" s="2118"/>
      <c r="Q6" s="2118"/>
      <c r="R6" s="2022">
        <f>R7+R8</f>
        <v>0</v>
      </c>
    </row>
    <row r="7" spans="1:18" x14ac:dyDescent="0.2">
      <c r="A7" s="4094" t="str">
        <f>'6.Procurement Annex'!A42</f>
        <v>6.1.5.7</v>
      </c>
      <c r="B7" s="1982">
        <f>'6-A. Proc. Sub-Annex'!C124</f>
        <v>0</v>
      </c>
      <c r="C7" s="1982" t="str">
        <f>'6-A. Proc. Sub-Annex'!D124</f>
        <v>Procurement of equipment</v>
      </c>
      <c r="D7" s="1982" t="str">
        <f>'6-A. Proc. Sub-Annex'!E124</f>
        <v>NCD</v>
      </c>
      <c r="E7" s="1982" t="str">
        <f>'6-A. Proc. Sub-Annex'!F124</f>
        <v>NPPCD</v>
      </c>
      <c r="F7" s="1982">
        <f>'6-A. Proc. Sub-Annex'!G124</f>
        <v>0</v>
      </c>
      <c r="G7" s="1982">
        <f>'6-A. Proc. Sub-Annex'!H124</f>
        <v>0</v>
      </c>
      <c r="H7" s="1982">
        <f>'6-A. Proc. Sub-Annex'!I124</f>
        <v>0</v>
      </c>
      <c r="I7" s="1982">
        <f>'6-A. Proc. Sub-Annex'!J124</f>
        <v>0</v>
      </c>
      <c r="J7" s="1982">
        <f>'6-A. Proc. Sub-Annex'!K124</f>
        <v>0</v>
      </c>
      <c r="K7" s="1982">
        <f>'6-A. Proc. Sub-Annex'!L124</f>
        <v>0</v>
      </c>
      <c r="L7" s="1982">
        <f>'6-A. Proc. Sub-Annex'!M124</f>
        <v>0</v>
      </c>
      <c r="M7" s="1982">
        <f>'6-A. Proc. Sub-Annex'!N124</f>
        <v>0</v>
      </c>
      <c r="N7" s="1982">
        <f>'6-A. Proc. Sub-Annex'!O124</f>
        <v>0</v>
      </c>
      <c r="O7" s="1982">
        <f>'6-A. Proc. Sub-Annex'!P124</f>
        <v>0</v>
      </c>
      <c r="P7" s="3344">
        <f>'6-A. Proc. Sub-Annex'!Q124</f>
        <v>0</v>
      </c>
      <c r="Q7" s="3343"/>
      <c r="R7" s="81"/>
    </row>
    <row r="8" spans="1:18" x14ac:dyDescent="0.2">
      <c r="A8" s="4095"/>
      <c r="B8" s="1982">
        <f>'6-A. Proc. Sub-Annex'!C125</f>
        <v>0</v>
      </c>
      <c r="C8" s="1982" t="str">
        <f>'6-A. Proc. Sub-Annex'!D125</f>
        <v>Any other equipment (please specify)</v>
      </c>
      <c r="D8" s="1982" t="str">
        <f>'6-A. Proc. Sub-Annex'!E125</f>
        <v>NCD</v>
      </c>
      <c r="E8" s="1982" t="str">
        <f>'6-A. Proc. Sub-Annex'!F125</f>
        <v>NPPCD</v>
      </c>
      <c r="F8" s="1982">
        <f>'6-A. Proc. Sub-Annex'!G125</f>
        <v>0</v>
      </c>
      <c r="G8" s="1982">
        <f>'6-A. Proc. Sub-Annex'!H125</f>
        <v>0</v>
      </c>
      <c r="H8" s="1982">
        <f>'6-A. Proc. Sub-Annex'!I125</f>
        <v>0</v>
      </c>
      <c r="I8" s="1982">
        <f>'6-A. Proc. Sub-Annex'!J125</f>
        <v>0</v>
      </c>
      <c r="J8" s="1982">
        <f>'6-A. Proc. Sub-Annex'!K125</f>
        <v>0</v>
      </c>
      <c r="K8" s="1982">
        <f>'6-A. Proc. Sub-Annex'!L125</f>
        <v>0</v>
      </c>
      <c r="L8" s="1982">
        <f>'6-A. Proc. Sub-Annex'!M125</f>
        <v>0</v>
      </c>
      <c r="M8" s="1982">
        <f>'6-A. Proc. Sub-Annex'!N125</f>
        <v>0</v>
      </c>
      <c r="N8" s="1982">
        <f>'6-A. Proc. Sub-Annex'!O125</f>
        <v>0</v>
      </c>
      <c r="O8" s="1982">
        <f>'6-A. Proc. Sub-Annex'!P125</f>
        <v>0</v>
      </c>
      <c r="P8" s="3344">
        <f>'6-A. Proc. Sub-Annex'!Q125</f>
        <v>0</v>
      </c>
      <c r="Q8" s="3343"/>
      <c r="R8" s="81"/>
    </row>
    <row r="9" spans="1:18" x14ac:dyDescent="0.2">
      <c r="A9" s="2032">
        <f>'9.Training Annex'!A7</f>
        <v>9</v>
      </c>
      <c r="B9" s="2032"/>
      <c r="C9" s="2032" t="str">
        <f>'9.Training Annex'!C7</f>
        <v>Training and Capacity Building</v>
      </c>
      <c r="D9" s="724"/>
      <c r="E9" s="724"/>
      <c r="F9" s="724"/>
      <c r="G9" s="724"/>
      <c r="H9" s="528"/>
      <c r="I9" s="724"/>
      <c r="J9" s="528"/>
      <c r="K9" s="2032"/>
      <c r="L9" s="2032"/>
      <c r="M9" s="528"/>
      <c r="N9" s="2022"/>
      <c r="O9" s="2022">
        <f ca="1">-SUM(O9:O13)</f>
        <v>0</v>
      </c>
      <c r="P9" s="2118"/>
      <c r="Q9" s="3360"/>
      <c r="R9" s="2022">
        <f>SUM(R10:R13)</f>
        <v>0</v>
      </c>
    </row>
    <row r="10" spans="1:18" x14ac:dyDescent="0.2">
      <c r="A10" s="1982" t="str">
        <f>'9.Training Annex'!A60</f>
        <v>9.2.4.6</v>
      </c>
      <c r="B10" s="1982" t="str">
        <f>'9-A.Training Sub-Annex'!C268</f>
        <v>B.25.2.1.b</v>
      </c>
      <c r="C10" s="1982" t="str">
        <f>'9-A.Training Sub-Annex'!D268</f>
        <v>Trainings at District Hospital</v>
      </c>
      <c r="D10" s="1982" t="str">
        <f>'9-A.Training Sub-Annex'!E268</f>
        <v>NCD</v>
      </c>
      <c r="E10" s="1982" t="str">
        <f>'9-A.Training Sub-Annex'!F268</f>
        <v>NPPCD</v>
      </c>
      <c r="F10" s="1982">
        <f>'9-A.Training Sub-Annex'!G268</f>
        <v>0</v>
      </c>
      <c r="G10" s="1982">
        <f>'9-A.Training Sub-Annex'!H268</f>
        <v>0</v>
      </c>
      <c r="H10" s="1982">
        <f>'9-A.Training Sub-Annex'!I268</f>
        <v>0</v>
      </c>
      <c r="I10" s="1982">
        <f>'9-A.Training Sub-Annex'!J268</f>
        <v>0</v>
      </c>
      <c r="J10" s="1982">
        <f>'9-A.Training Sub-Annex'!K268</f>
        <v>0</v>
      </c>
      <c r="K10" s="1982">
        <f>'9-A.Training Sub-Annex'!L268</f>
        <v>0</v>
      </c>
      <c r="L10" s="1982">
        <f>'9-A.Training Sub-Annex'!M268</f>
        <v>0</v>
      </c>
      <c r="M10" s="1982">
        <f>'9-A.Training Sub-Annex'!N268</f>
        <v>0</v>
      </c>
      <c r="N10" s="1982">
        <f>'9-A.Training Sub-Annex'!O268</f>
        <v>0</v>
      </c>
      <c r="O10" s="1982">
        <f>'9-A.Training Sub-Annex'!P268</f>
        <v>0</v>
      </c>
      <c r="P10" s="3344">
        <f>'9-A.Training Sub-Annex'!Q268</f>
        <v>0</v>
      </c>
      <c r="Q10" s="3343"/>
      <c r="R10" s="81"/>
    </row>
    <row r="11" spans="1:18" x14ac:dyDescent="0.2">
      <c r="A11" s="1982"/>
      <c r="B11" s="1982" t="str">
        <f>'9-A.Training Sub-Annex'!C269</f>
        <v>B.25.2.1.c</v>
      </c>
      <c r="C11" s="1982" t="str">
        <f>'9-A.Training Sub-Annex'!D269</f>
        <v>Trainings at CHC/Sub-Divisional Hospital</v>
      </c>
      <c r="D11" s="1982" t="str">
        <f>'9-A.Training Sub-Annex'!E269</f>
        <v>NCD</v>
      </c>
      <c r="E11" s="1982" t="str">
        <f>'9-A.Training Sub-Annex'!F269</f>
        <v>NPPCD</v>
      </c>
      <c r="F11" s="1982">
        <f>'9-A.Training Sub-Annex'!G269</f>
        <v>0</v>
      </c>
      <c r="G11" s="1982">
        <f>'9-A.Training Sub-Annex'!H269</f>
        <v>0</v>
      </c>
      <c r="H11" s="1982">
        <f>'9-A.Training Sub-Annex'!I269</f>
        <v>0</v>
      </c>
      <c r="I11" s="1982">
        <f>'9-A.Training Sub-Annex'!J269</f>
        <v>0</v>
      </c>
      <c r="J11" s="1982">
        <f>'9-A.Training Sub-Annex'!K269</f>
        <v>0</v>
      </c>
      <c r="K11" s="1982">
        <f>'9-A.Training Sub-Annex'!L269</f>
        <v>0</v>
      </c>
      <c r="L11" s="1982">
        <f>'9-A.Training Sub-Annex'!M269</f>
        <v>0</v>
      </c>
      <c r="M11" s="1982">
        <f>'9-A.Training Sub-Annex'!N269</f>
        <v>0</v>
      </c>
      <c r="N11" s="1982">
        <f>'9-A.Training Sub-Annex'!O269</f>
        <v>0</v>
      </c>
      <c r="O11" s="1982">
        <f>'9-A.Training Sub-Annex'!P269</f>
        <v>0</v>
      </c>
      <c r="P11" s="3344">
        <f>'9-A.Training Sub-Annex'!Q269</f>
        <v>0</v>
      </c>
      <c r="Q11" s="3343"/>
      <c r="R11" s="81"/>
    </row>
    <row r="12" spans="1:18" x14ac:dyDescent="0.2">
      <c r="A12" s="1982"/>
      <c r="B12" s="1982" t="str">
        <f>'9-A.Training Sub-Annex'!C270</f>
        <v>B.25.2.1.d</v>
      </c>
      <c r="C12" s="1982" t="str">
        <f>'9-A.Training Sub-Annex'!D270</f>
        <v>Trainings at PHC</v>
      </c>
      <c r="D12" s="1982" t="str">
        <f>'9-A.Training Sub-Annex'!E270</f>
        <v>NCD</v>
      </c>
      <c r="E12" s="1982" t="str">
        <f>'9-A.Training Sub-Annex'!F270</f>
        <v>NPPCD</v>
      </c>
      <c r="F12" s="1982">
        <f>'9-A.Training Sub-Annex'!G270</f>
        <v>0</v>
      </c>
      <c r="G12" s="1982">
        <f>'9-A.Training Sub-Annex'!H270</f>
        <v>0</v>
      </c>
      <c r="H12" s="1982">
        <f>'9-A.Training Sub-Annex'!I270</f>
        <v>0</v>
      </c>
      <c r="I12" s="1982">
        <f>'9-A.Training Sub-Annex'!J270</f>
        <v>0</v>
      </c>
      <c r="J12" s="1982">
        <f>'9-A.Training Sub-Annex'!K270</f>
        <v>0</v>
      </c>
      <c r="K12" s="1982">
        <f>'9-A.Training Sub-Annex'!L270</f>
        <v>0</v>
      </c>
      <c r="L12" s="1982">
        <f>'9-A.Training Sub-Annex'!M270</f>
        <v>0</v>
      </c>
      <c r="M12" s="1982">
        <f>'9-A.Training Sub-Annex'!N270</f>
        <v>0</v>
      </c>
      <c r="N12" s="1982">
        <f>'9-A.Training Sub-Annex'!O270</f>
        <v>0</v>
      </c>
      <c r="O12" s="1982">
        <f>'9-A.Training Sub-Annex'!P270</f>
        <v>0</v>
      </c>
      <c r="P12" s="3344">
        <f>'9-A.Training Sub-Annex'!Q270</f>
        <v>0</v>
      </c>
      <c r="Q12" s="3343"/>
      <c r="R12" s="81"/>
    </row>
    <row r="13" spans="1:18" x14ac:dyDescent="0.2">
      <c r="A13" s="1982"/>
      <c r="B13" s="1982">
        <f>'9-A.Training Sub-Annex'!C271</f>
        <v>0</v>
      </c>
      <c r="C13" s="1982" t="str">
        <f>'9-A.Training Sub-Annex'!D271</f>
        <v>Any other (please specify)</v>
      </c>
      <c r="D13" s="1982" t="str">
        <f>'9-A.Training Sub-Annex'!E271</f>
        <v>NCD</v>
      </c>
      <c r="E13" s="1982" t="str">
        <f>'9-A.Training Sub-Annex'!F271</f>
        <v>NPPCD</v>
      </c>
      <c r="F13" s="1982">
        <f>'9-A.Training Sub-Annex'!G271</f>
        <v>0</v>
      </c>
      <c r="G13" s="1982">
        <f>'9-A.Training Sub-Annex'!H271</f>
        <v>0</v>
      </c>
      <c r="H13" s="1982">
        <f>'9-A.Training Sub-Annex'!I271</f>
        <v>0</v>
      </c>
      <c r="I13" s="1982">
        <f>'9-A.Training Sub-Annex'!J271</f>
        <v>0</v>
      </c>
      <c r="J13" s="1982">
        <f>'9-A.Training Sub-Annex'!K271</f>
        <v>0</v>
      </c>
      <c r="K13" s="1982">
        <f>'9-A.Training Sub-Annex'!L271</f>
        <v>0</v>
      </c>
      <c r="L13" s="1982">
        <f>'9-A.Training Sub-Annex'!M271</f>
        <v>0</v>
      </c>
      <c r="M13" s="1982">
        <f>'9-A.Training Sub-Annex'!N271</f>
        <v>0</v>
      </c>
      <c r="N13" s="1982">
        <f>'9-A.Training Sub-Annex'!O271</f>
        <v>0</v>
      </c>
      <c r="O13" s="1982">
        <f>'9-A.Training Sub-Annex'!P271</f>
        <v>0</v>
      </c>
      <c r="P13" s="3344">
        <f>'9-A.Training Sub-Annex'!Q271</f>
        <v>0</v>
      </c>
      <c r="Q13" s="3343"/>
      <c r="R13" s="81"/>
    </row>
    <row r="14" spans="1:18" x14ac:dyDescent="0.2">
      <c r="A14" s="2032">
        <f>'11.IEC-BCC Annex'!A7</f>
        <v>11</v>
      </c>
      <c r="B14" s="2032"/>
      <c r="C14" s="2032" t="str">
        <f>'11.IEC-BCC Annex'!C7</f>
        <v>IEC/BCC</v>
      </c>
      <c r="D14" s="724"/>
      <c r="E14" s="724"/>
      <c r="F14" s="724"/>
      <c r="G14" s="724"/>
      <c r="H14" s="528"/>
      <c r="I14" s="724"/>
      <c r="J14" s="528"/>
      <c r="K14" s="2032"/>
      <c r="L14" s="2032"/>
      <c r="M14" s="528"/>
      <c r="N14" s="2022"/>
      <c r="O14" s="2022">
        <f>O15+O16</f>
        <v>0</v>
      </c>
      <c r="P14" s="2118"/>
      <c r="Q14" s="3360"/>
      <c r="R14" s="2022">
        <f>R15+R16</f>
        <v>0</v>
      </c>
    </row>
    <row r="15" spans="1:18" x14ac:dyDescent="0.2">
      <c r="A15" s="4094" t="str">
        <f>'11.IEC-BCC Annex'!A40</f>
        <v>11.4.9</v>
      </c>
      <c r="B15" s="1982">
        <f>'11-A. IEC Sub-Annex'!C98</f>
        <v>0</v>
      </c>
      <c r="C15" s="1982" t="str">
        <f>'11-A. IEC Sub-Annex'!D98</f>
        <v>IEC activities</v>
      </c>
      <c r="D15" s="1982" t="str">
        <f>'11-A. IEC Sub-Annex'!E98</f>
        <v>NCD</v>
      </c>
      <c r="E15" s="1982" t="str">
        <f>'11-A. IEC Sub-Annex'!F98</f>
        <v>NPPCD</v>
      </c>
      <c r="F15" s="1982">
        <f>'11-A. IEC Sub-Annex'!G98</f>
        <v>0</v>
      </c>
      <c r="G15" s="1982">
        <f>'11-A. IEC Sub-Annex'!H98</f>
        <v>0</v>
      </c>
      <c r="H15" s="1982">
        <f>'11-A. IEC Sub-Annex'!I98</f>
        <v>0</v>
      </c>
      <c r="I15" s="1982">
        <f>'11-A. IEC Sub-Annex'!J98</f>
        <v>0</v>
      </c>
      <c r="J15" s="1982">
        <f>'11-A. IEC Sub-Annex'!K98</f>
        <v>0</v>
      </c>
      <c r="K15" s="1982">
        <f>'11-A. IEC Sub-Annex'!L98</f>
        <v>0</v>
      </c>
      <c r="L15" s="1982">
        <f>'11-A. IEC Sub-Annex'!M98</f>
        <v>0</v>
      </c>
      <c r="M15" s="1982">
        <f>'11-A. IEC Sub-Annex'!N98</f>
        <v>0</v>
      </c>
      <c r="N15" s="1982">
        <f>'11-A. IEC Sub-Annex'!O98</f>
        <v>0</v>
      </c>
      <c r="O15" s="1982">
        <f>'11-A. IEC Sub-Annex'!P98</f>
        <v>0</v>
      </c>
      <c r="P15" s="3344">
        <f>'11-A. IEC Sub-Annex'!Q98</f>
        <v>0</v>
      </c>
      <c r="Q15" s="3343"/>
      <c r="R15" s="81"/>
    </row>
    <row r="16" spans="1:18" x14ac:dyDescent="0.2">
      <c r="A16" s="4095"/>
      <c r="B16" s="1982">
        <f>'11-A. IEC Sub-Annex'!C99</f>
        <v>0</v>
      </c>
      <c r="C16" s="1982" t="str">
        <f>'11-A. IEC Sub-Annex'!D99</f>
        <v>Any Other</v>
      </c>
      <c r="D16" s="1982" t="str">
        <f>'11-A. IEC Sub-Annex'!E99</f>
        <v>NCD</v>
      </c>
      <c r="E16" s="1982" t="str">
        <f>'11-A. IEC Sub-Annex'!F99</f>
        <v>NPPCD</v>
      </c>
      <c r="F16" s="1982">
        <f>'11-A. IEC Sub-Annex'!G99</f>
        <v>0</v>
      </c>
      <c r="G16" s="1982">
        <f>'11-A. IEC Sub-Annex'!H99</f>
        <v>0</v>
      </c>
      <c r="H16" s="1982">
        <f>'11-A. IEC Sub-Annex'!I99</f>
        <v>0</v>
      </c>
      <c r="I16" s="1982">
        <f>'11-A. IEC Sub-Annex'!J99</f>
        <v>0</v>
      </c>
      <c r="J16" s="1982">
        <f>'11-A. IEC Sub-Annex'!K99</f>
        <v>0</v>
      </c>
      <c r="K16" s="1982">
        <f>'11-A. IEC Sub-Annex'!L99</f>
        <v>0</v>
      </c>
      <c r="L16" s="1982">
        <f>'11-A. IEC Sub-Annex'!M99</f>
        <v>0</v>
      </c>
      <c r="M16" s="1982">
        <f>'11-A. IEC Sub-Annex'!N99</f>
        <v>0</v>
      </c>
      <c r="N16" s="1982">
        <f>'11-A. IEC Sub-Annex'!O99</f>
        <v>0</v>
      </c>
      <c r="O16" s="1982">
        <f>'11-A. IEC Sub-Annex'!P99</f>
        <v>0</v>
      </c>
      <c r="P16" s="3344">
        <f>'11-A. IEC Sub-Annex'!Q99</f>
        <v>0</v>
      </c>
      <c r="Q16" s="3343"/>
      <c r="R16" s="81"/>
    </row>
    <row r="17" spans="1:18" x14ac:dyDescent="0.2">
      <c r="A17" s="2068">
        <f>'12.Printing Annex'!A7</f>
        <v>12</v>
      </c>
      <c r="B17" s="1952"/>
      <c r="C17" s="2068" t="str">
        <f>'12.Printing Annex'!C7</f>
        <v>Printing</v>
      </c>
      <c r="D17" s="1886"/>
      <c r="E17" s="1886"/>
      <c r="F17" s="1950"/>
      <c r="G17" s="1950"/>
      <c r="H17" s="1951"/>
      <c r="I17" s="1950"/>
      <c r="J17" s="1951"/>
      <c r="K17" s="1952"/>
      <c r="L17" s="1952"/>
      <c r="M17" s="1951"/>
      <c r="N17" s="2011"/>
      <c r="O17" s="2011">
        <f>O18</f>
        <v>0</v>
      </c>
      <c r="P17" s="3340"/>
      <c r="Q17" s="3341"/>
      <c r="R17" s="2011">
        <f>R18</f>
        <v>0</v>
      </c>
    </row>
    <row r="18" spans="1:18" x14ac:dyDescent="0.2">
      <c r="A18" s="1982" t="str">
        <f>'12.Printing Annex'!A41</f>
        <v>12.4.8</v>
      </c>
      <c r="B18" s="1982">
        <f>'12-A. Print Sub-Annex'!C105</f>
        <v>0</v>
      </c>
      <c r="C18" s="1982" t="str">
        <f>'12-A. Print Sub-Annex'!D105</f>
        <v>Printing activities under NPPCD</v>
      </c>
      <c r="D18" s="1982" t="str">
        <f>'12-A. Print Sub-Annex'!E105</f>
        <v>NCD</v>
      </c>
      <c r="E18" s="1982" t="str">
        <f>'12-A. Print Sub-Annex'!F105</f>
        <v>NPPCD</v>
      </c>
      <c r="F18" s="1982">
        <f>'12-A. Print Sub-Annex'!G105</f>
        <v>0</v>
      </c>
      <c r="G18" s="1982">
        <f>'12-A. Print Sub-Annex'!H105</f>
        <v>0</v>
      </c>
      <c r="H18" s="1982">
        <f>'12-A. Print Sub-Annex'!I105</f>
        <v>0</v>
      </c>
      <c r="I18" s="1982">
        <f>'12-A. Print Sub-Annex'!J105</f>
        <v>0</v>
      </c>
      <c r="J18" s="1982">
        <f>'12-A. Print Sub-Annex'!K105</f>
        <v>0</v>
      </c>
      <c r="K18" s="1982">
        <f>'12-A. Print Sub-Annex'!L105</f>
        <v>0</v>
      </c>
      <c r="L18" s="1982">
        <f>'12-A. Print Sub-Annex'!M105</f>
        <v>0</v>
      </c>
      <c r="M18" s="1982">
        <f>'12-A. Print Sub-Annex'!N105</f>
        <v>0</v>
      </c>
      <c r="N18" s="1982">
        <f>'12-A. Print Sub-Annex'!O105</f>
        <v>0</v>
      </c>
      <c r="O18" s="1982">
        <f>'12-A. Print Sub-Annex'!P105</f>
        <v>0</v>
      </c>
      <c r="P18" s="3344">
        <f>'12-A. Print Sub-Annex'!Q105</f>
        <v>0</v>
      </c>
      <c r="Q18" s="3343"/>
      <c r="R18" s="81"/>
    </row>
    <row r="19" spans="1:18" x14ac:dyDescent="0.2">
      <c r="A19" s="1982"/>
      <c r="B19" s="1982"/>
      <c r="C19" s="103"/>
      <c r="D19" s="2002"/>
      <c r="E19" s="2002"/>
      <c r="F19" s="2001"/>
      <c r="G19" s="2001"/>
      <c r="H19" s="1958"/>
      <c r="I19" s="2001"/>
      <c r="J19" s="1958"/>
      <c r="K19" s="1982"/>
      <c r="L19" s="1982"/>
      <c r="M19" s="1958"/>
      <c r="N19" s="1242"/>
      <c r="O19" s="1242"/>
      <c r="P19" s="870"/>
      <c r="Q19" s="3343"/>
      <c r="R19" s="81"/>
    </row>
    <row r="20" spans="1:18" x14ac:dyDescent="0.2">
      <c r="A20" s="2032">
        <f>'15.PPP Annex'!A7</f>
        <v>15</v>
      </c>
      <c r="B20" s="2032"/>
      <c r="C20" s="2032" t="str">
        <f>'15.PPP Annex'!C7</f>
        <v>PPP</v>
      </c>
      <c r="D20" s="724"/>
      <c r="E20" s="724"/>
      <c r="F20" s="724"/>
      <c r="G20" s="724"/>
      <c r="H20" s="528"/>
      <c r="I20" s="724"/>
      <c r="J20" s="528"/>
      <c r="K20" s="2032"/>
      <c r="L20" s="2032"/>
      <c r="M20" s="528"/>
      <c r="N20" s="2022"/>
      <c r="O20" s="2022">
        <f>O21</f>
        <v>0</v>
      </c>
      <c r="P20" s="2118"/>
      <c r="Q20" s="3360"/>
      <c r="R20" s="2022">
        <f>R21</f>
        <v>0</v>
      </c>
    </row>
    <row r="21" spans="1:18" x14ac:dyDescent="0.2">
      <c r="A21" s="1982" t="str">
        <f>'15.PPP Annex'!A35</f>
        <v>15.4.1</v>
      </c>
      <c r="B21" s="1982" t="str">
        <f>'15.PPP Annex'!B35</f>
        <v>15.2.1/ B.25.1.2</v>
      </c>
      <c r="C21" s="1982" t="str">
        <f>'15.PPP Annex'!C35</f>
        <v>Public Private Partnership under NPPCD</v>
      </c>
      <c r="D21" s="1982" t="str">
        <f>'15.PPP Annex'!D35</f>
        <v>NCD</v>
      </c>
      <c r="E21" s="1982" t="str">
        <f>'15.PPP Annex'!E35</f>
        <v>NPPCD</v>
      </c>
      <c r="F21" s="1982">
        <f>'15.PPP Annex'!F35</f>
        <v>0</v>
      </c>
      <c r="G21" s="1982">
        <f>'15.PPP Annex'!G35</f>
        <v>0</v>
      </c>
      <c r="H21" s="1982">
        <f>'15.PPP Annex'!H35</f>
        <v>0</v>
      </c>
      <c r="I21" s="1982">
        <f>'15.PPP Annex'!I35</f>
        <v>0</v>
      </c>
      <c r="J21" s="1982">
        <f>'15.PPP Annex'!J35</f>
        <v>0</v>
      </c>
      <c r="K21" s="1982">
        <f>'15.PPP Annex'!K35</f>
        <v>0</v>
      </c>
      <c r="L21" s="1982">
        <f>'15.PPP Annex'!L35</f>
        <v>0</v>
      </c>
      <c r="M21" s="1982">
        <f>'15.PPP Annex'!M35</f>
        <v>0</v>
      </c>
      <c r="N21" s="1982">
        <f>'15.PPP Annex'!N35</f>
        <v>0</v>
      </c>
      <c r="O21" s="1982">
        <f>'15.PPP Annex'!O35</f>
        <v>0</v>
      </c>
      <c r="P21" s="3344">
        <f>'15.PPP Annex'!P35</f>
        <v>0</v>
      </c>
      <c r="Q21" s="578"/>
      <c r="R21" s="2175"/>
    </row>
  </sheetData>
  <sheetProtection formatCells="0" formatColumns="0" formatRows="0" autoFilter="0"/>
  <autoFilter ref="A5:M21"/>
  <mergeCells count="11">
    <mergeCell ref="A15:A16"/>
    <mergeCell ref="A7:A8"/>
    <mergeCell ref="Q4:R4"/>
    <mergeCell ref="E4:E5"/>
    <mergeCell ref="A1:C1"/>
    <mergeCell ref="A4:A5"/>
    <mergeCell ref="B4:B5"/>
    <mergeCell ref="C4:C5"/>
    <mergeCell ref="D4:D5"/>
    <mergeCell ref="F4:J4"/>
    <mergeCell ref="K4:P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7" tint="0.79998168889431442"/>
  </sheetPr>
  <dimension ref="A1:R22"/>
  <sheetViews>
    <sheetView zoomScale="55" zoomScaleNormal="55" workbookViewId="0">
      <pane xSplit="3" ySplit="5" topLeftCell="L6" activePane="bottomRight" state="frozen"/>
      <selection activeCell="A4" sqref="A4:R11"/>
      <selection pane="topRight" activeCell="A4" sqref="A4:R11"/>
      <selection pane="bottomLeft" activeCell="A4" sqref="A4:R11"/>
      <selection pane="bottomRight" activeCell="Q20" sqref="Q20:R21"/>
    </sheetView>
  </sheetViews>
  <sheetFormatPr defaultColWidth="9.140625" defaultRowHeight="15" x14ac:dyDescent="0.2"/>
  <cols>
    <col min="1" max="1" width="10.85546875" style="881" bestFit="1" customWidth="1"/>
    <col min="2" max="2" width="16.85546875" style="881" hidden="1" customWidth="1"/>
    <col min="3" max="3" width="43.140625" style="881" customWidth="1"/>
    <col min="4" max="4" width="4.5703125" style="835" hidden="1" customWidth="1"/>
    <col min="5" max="5" width="15.140625" style="835" hidden="1" customWidth="1"/>
    <col min="6" max="6" width="22.140625" style="835" hidden="1" customWidth="1"/>
    <col min="7" max="7" width="17.28515625" style="835" hidden="1" customWidth="1"/>
    <col min="8" max="8" width="18.28515625" style="956" hidden="1" customWidth="1"/>
    <col min="9" max="9" width="9.140625" style="835" hidden="1" customWidth="1"/>
    <col min="10" max="10" width="12.140625" style="956" hidden="1" customWidth="1"/>
    <col min="11" max="11" width="12.85546875" style="835" hidden="1" customWidth="1"/>
    <col min="12" max="12" width="13.140625" style="835" customWidth="1"/>
    <col min="13" max="13" width="13.85546875" style="956" hidden="1" customWidth="1"/>
    <col min="14" max="14" width="9.140625" style="835"/>
    <col min="15" max="15" width="16.140625" style="956" customWidth="1"/>
    <col min="16" max="16" width="38.7109375" style="881" hidden="1" customWidth="1"/>
    <col min="17" max="17" width="31.5703125" style="881" customWidth="1"/>
    <col min="18" max="18" width="29" style="956" bestFit="1" customWidth="1"/>
    <col min="19" max="16384" width="9.140625" style="826"/>
  </cols>
  <sheetData>
    <row r="1" spans="1:18" ht="14.45" customHeight="1" x14ac:dyDescent="0.2">
      <c r="A1" s="4089" t="s">
        <v>2136</v>
      </c>
      <c r="B1" s="4089"/>
      <c r="C1" s="4089"/>
      <c r="D1" s="1193"/>
      <c r="E1" s="893"/>
      <c r="F1" s="98" t="s">
        <v>3965</v>
      </c>
      <c r="G1" s="1100"/>
      <c r="H1" s="1100"/>
      <c r="I1" s="1100"/>
      <c r="J1" s="1103"/>
      <c r="K1" s="1100"/>
      <c r="L1" s="1100"/>
      <c r="M1" s="1103"/>
      <c r="N1" s="2159"/>
    </row>
    <row r="2" spans="1:18" x14ac:dyDescent="0.25">
      <c r="A2" s="1859" t="str">
        <f>HYPERLINK("#Index!F3", "Index Pg")</f>
        <v>Index Pg</v>
      </c>
      <c r="B2" s="1864"/>
      <c r="C2" s="831" t="str">
        <f>HYPERLINK("#'Budget Summary I'!A1:AL1", "Budget Summary I")</f>
        <v>Budget Summary I</v>
      </c>
      <c r="D2" s="2162"/>
      <c r="E2" s="2153" t="s">
        <v>4608</v>
      </c>
      <c r="F2" s="177">
        <f>M14+M11+M6+M19</f>
        <v>0</v>
      </c>
      <c r="G2" s="1100"/>
      <c r="H2" s="1100"/>
      <c r="I2" s="1100"/>
      <c r="J2" s="1103"/>
      <c r="K2" s="1104"/>
      <c r="L2" s="1104"/>
      <c r="M2" s="1103"/>
      <c r="N2" s="2159"/>
    </row>
    <row r="3" spans="1:18" s="2178" customFormat="1" x14ac:dyDescent="0.25">
      <c r="A3" s="1863"/>
      <c r="B3" s="1864"/>
      <c r="C3" s="1937" t="str">
        <f>HYPERLINK("#'Budget Summary II'!A3:B5", "Budget Summary II")</f>
        <v>Budget Summary II</v>
      </c>
      <c r="D3" s="2176"/>
      <c r="E3" s="2158" t="s">
        <v>4609</v>
      </c>
      <c r="F3" s="725">
        <f>J14+J11+J6+J19</f>
        <v>0</v>
      </c>
      <c r="G3" s="1100"/>
      <c r="H3" s="1100"/>
      <c r="I3" s="1100"/>
      <c r="J3" s="1103"/>
      <c r="K3" s="1104"/>
      <c r="L3" s="1104"/>
      <c r="M3" s="1103"/>
      <c r="N3" s="2159"/>
      <c r="O3" s="2161"/>
      <c r="P3" s="2177"/>
      <c r="Q3" s="2177"/>
      <c r="R3" s="2161"/>
    </row>
    <row r="4" spans="1:18" s="835" customForma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s="835" customFormat="1" ht="60"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897" t="s">
        <v>63</v>
      </c>
      <c r="Q5" s="899" t="s">
        <v>2540</v>
      </c>
      <c r="R5" s="900" t="s">
        <v>4671</v>
      </c>
    </row>
    <row r="6" spans="1:18" x14ac:dyDescent="0.2">
      <c r="A6" s="2032">
        <f>'1.SD Facility Based Annex'!A7</f>
        <v>1</v>
      </c>
      <c r="B6" s="2032"/>
      <c r="C6" s="2032" t="str">
        <f>'1.SD Facility Based Annex'!C7</f>
        <v>Service Delivery - Facility Based</v>
      </c>
      <c r="D6" s="2032"/>
      <c r="E6" s="2032"/>
      <c r="F6" s="724"/>
      <c r="G6" s="724"/>
      <c r="H6" s="724"/>
      <c r="I6" s="724"/>
      <c r="J6" s="724"/>
      <c r="K6" s="724"/>
      <c r="L6" s="724"/>
      <c r="M6" s="528"/>
      <c r="N6" s="724"/>
      <c r="O6" s="528">
        <f>SUM(O7:O10)</f>
        <v>0</v>
      </c>
      <c r="P6" s="2032"/>
      <c r="Q6" s="2032"/>
      <c r="R6" s="528">
        <f>SUM(R7:R10)</f>
        <v>0</v>
      </c>
    </row>
    <row r="7" spans="1:18" ht="45" x14ac:dyDescent="0.2">
      <c r="A7" s="103" t="str">
        <f>'1.SD Facility Based Annex'!A44</f>
        <v>1.1.6.3</v>
      </c>
      <c r="B7" s="103" t="str">
        <f>'1.SD Facility Based Annex'!B44</f>
        <v>B.29.1.6</v>
      </c>
      <c r="C7" s="103" t="str">
        <f>'1.SD Facility Based Annex'!C44</f>
        <v>Recurring Grant-in-aid (For newly selected district): Medical Management including Treatment, surgery and rehab</v>
      </c>
      <c r="D7" s="103" t="str">
        <f>'1.SD Facility Based Annex'!D44</f>
        <v>NCD</v>
      </c>
      <c r="E7" s="103" t="str">
        <f>'1.SD Facility Based Annex'!E44</f>
        <v>NPPCF</v>
      </c>
      <c r="F7" s="2002">
        <f>'1.SD Facility Based Annex'!F44</f>
        <v>0</v>
      </c>
      <c r="G7" s="2002">
        <f>'1.SD Facility Based Annex'!G44</f>
        <v>0</v>
      </c>
      <c r="H7" s="2002">
        <f>'1.SD Facility Based Annex'!H44</f>
        <v>0</v>
      </c>
      <c r="I7" s="2002">
        <f>'1.SD Facility Based Annex'!I44</f>
        <v>0</v>
      </c>
      <c r="J7" s="2002">
        <f>'1.SD Facility Based Annex'!J44</f>
        <v>0</v>
      </c>
      <c r="K7" s="2002">
        <f>'1.SD Facility Based Annex'!K44</f>
        <v>0</v>
      </c>
      <c r="L7" s="2002">
        <f>'1.SD Facility Based Annex'!L44</f>
        <v>0</v>
      </c>
      <c r="M7" s="178">
        <f>'1.SD Facility Based Annex'!M44</f>
        <v>0</v>
      </c>
      <c r="N7" s="2002">
        <f>'1.SD Facility Based Annex'!N44</f>
        <v>0</v>
      </c>
      <c r="O7" s="178">
        <f>'1.SD Facility Based Annex'!O44</f>
        <v>0</v>
      </c>
      <c r="P7" s="103">
        <f>'1.SD Facility Based Annex'!P44</f>
        <v>0</v>
      </c>
      <c r="Q7" s="67"/>
      <c r="R7" s="159"/>
    </row>
    <row r="8" spans="1:18" ht="45" x14ac:dyDescent="0.2">
      <c r="A8" s="103" t="str">
        <f>'1.SD Facility Based Annex'!A45</f>
        <v>1.1.6.4</v>
      </c>
      <c r="B8" s="103" t="str">
        <f>'1.SD Facility Based Annex'!B45</f>
        <v>B.29.2.3</v>
      </c>
      <c r="C8" s="103" t="str">
        <f>'1.SD Facility Based Annex'!C45</f>
        <v>Recurring Grant-in-aid (For ongoing selected district): Medical Management including Treatment, surgery and rehab</v>
      </c>
      <c r="D8" s="103" t="str">
        <f>'1.SD Facility Based Annex'!D45</f>
        <v>NCD</v>
      </c>
      <c r="E8" s="103" t="str">
        <f>'1.SD Facility Based Annex'!E45</f>
        <v>NPPCF</v>
      </c>
      <c r="F8" s="2002">
        <f>'1.SD Facility Based Annex'!F45</f>
        <v>0</v>
      </c>
      <c r="G8" s="2002">
        <f>'1.SD Facility Based Annex'!G45</f>
        <v>0</v>
      </c>
      <c r="H8" s="2002">
        <f>'1.SD Facility Based Annex'!H45</f>
        <v>0</v>
      </c>
      <c r="I8" s="2002">
        <f>'1.SD Facility Based Annex'!I45</f>
        <v>0</v>
      </c>
      <c r="J8" s="2002">
        <f>'1.SD Facility Based Annex'!J45</f>
        <v>0</v>
      </c>
      <c r="K8" s="2002">
        <f>'1.SD Facility Based Annex'!K45</f>
        <v>0</v>
      </c>
      <c r="L8" s="2002">
        <f>'1.SD Facility Based Annex'!L45</f>
        <v>0</v>
      </c>
      <c r="M8" s="178">
        <f>'1.SD Facility Based Annex'!M45</f>
        <v>0</v>
      </c>
      <c r="N8" s="2002">
        <f>'1.SD Facility Based Annex'!N45</f>
        <v>0</v>
      </c>
      <c r="O8" s="178">
        <f>'1.SD Facility Based Annex'!O45</f>
        <v>0</v>
      </c>
      <c r="P8" s="103">
        <f>'1.SD Facility Based Annex'!P45</f>
        <v>0</v>
      </c>
      <c r="Q8" s="67"/>
      <c r="R8" s="159"/>
    </row>
    <row r="9" spans="1:18" ht="30" x14ac:dyDescent="0.2">
      <c r="A9" s="103" t="str">
        <f>'1.SD Facility Based Annex'!A111</f>
        <v>1.3.2.2</v>
      </c>
      <c r="B9" s="103" t="str">
        <f>'1.SD Facility Based Annex'!B111</f>
        <v>B.29.1.3</v>
      </c>
      <c r="C9" s="103" t="str">
        <f>'1.SD Facility Based Annex'!C111</f>
        <v>Grant-in-aid (For newly selected districts under NPPCF):  Laboratory Diagnostic facilities</v>
      </c>
      <c r="D9" s="103" t="str">
        <f>'1.SD Facility Based Annex'!D111</f>
        <v>NCD</v>
      </c>
      <c r="E9" s="103" t="str">
        <f>'1.SD Facility Based Annex'!E111</f>
        <v>NPPCF</v>
      </c>
      <c r="F9" s="2002">
        <f>'1.SD Facility Based Annex'!F111</f>
        <v>0</v>
      </c>
      <c r="G9" s="2002">
        <f>'1.SD Facility Based Annex'!G111</f>
        <v>0</v>
      </c>
      <c r="H9" s="2002">
        <f>'1.SD Facility Based Annex'!H111</f>
        <v>0</v>
      </c>
      <c r="I9" s="2002">
        <f>'1.SD Facility Based Annex'!I111</f>
        <v>0</v>
      </c>
      <c r="J9" s="2002">
        <f>'1.SD Facility Based Annex'!J111</f>
        <v>0</v>
      </c>
      <c r="K9" s="2002">
        <f>'1.SD Facility Based Annex'!K111</f>
        <v>0</v>
      </c>
      <c r="L9" s="2002">
        <f>'1.SD Facility Based Annex'!L111</f>
        <v>0</v>
      </c>
      <c r="M9" s="178">
        <f>'1.SD Facility Based Annex'!M111</f>
        <v>0</v>
      </c>
      <c r="N9" s="2002">
        <f>'1.SD Facility Based Annex'!N111</f>
        <v>0</v>
      </c>
      <c r="O9" s="178">
        <f>'1.SD Facility Based Annex'!O111</f>
        <v>0</v>
      </c>
      <c r="P9" s="103">
        <f>'1.SD Facility Based Annex'!P111</f>
        <v>0</v>
      </c>
      <c r="Q9" s="67"/>
      <c r="R9" s="159"/>
    </row>
    <row r="10" spans="1:18" ht="45" x14ac:dyDescent="0.2">
      <c r="A10" s="103" t="str">
        <f>'1.SD Facility Based Annex'!A112</f>
        <v>1.3.2.3</v>
      </c>
      <c r="B10" s="103" t="str">
        <f>'1.SD Facility Based Annex'!B112</f>
        <v>B.29.2.2</v>
      </c>
      <c r="C10" s="103" t="str">
        <f>'1.SD Facility Based Annex'!C112</f>
        <v>Recurring Grant-in-aid (For ongoing selected districts under NPPCF):  Laboratory Diagnostic facilities</v>
      </c>
      <c r="D10" s="103" t="str">
        <f>'1.SD Facility Based Annex'!D112</f>
        <v>NCD</v>
      </c>
      <c r="E10" s="103" t="str">
        <f>'1.SD Facility Based Annex'!E112</f>
        <v>NPPCF</v>
      </c>
      <c r="F10" s="2002">
        <f>'1.SD Facility Based Annex'!F112</f>
        <v>0</v>
      </c>
      <c r="G10" s="2002">
        <f>'1.SD Facility Based Annex'!G112</f>
        <v>0</v>
      </c>
      <c r="H10" s="2002">
        <f>'1.SD Facility Based Annex'!H112</f>
        <v>0</v>
      </c>
      <c r="I10" s="2002">
        <f>'1.SD Facility Based Annex'!I112</f>
        <v>0</v>
      </c>
      <c r="J10" s="2002">
        <f>'1.SD Facility Based Annex'!J112</f>
        <v>0</v>
      </c>
      <c r="K10" s="2002">
        <f>'1.SD Facility Based Annex'!K112</f>
        <v>0</v>
      </c>
      <c r="L10" s="2002">
        <f>'1.SD Facility Based Annex'!L112</f>
        <v>0</v>
      </c>
      <c r="M10" s="178">
        <f>'1.SD Facility Based Annex'!M112</f>
        <v>0</v>
      </c>
      <c r="N10" s="2002">
        <f>'1.SD Facility Based Annex'!N112</f>
        <v>0</v>
      </c>
      <c r="O10" s="178">
        <f>'1.SD Facility Based Annex'!O112</f>
        <v>0</v>
      </c>
      <c r="P10" s="103">
        <f>'1.SD Facility Based Annex'!P112</f>
        <v>0</v>
      </c>
      <c r="Q10" s="67"/>
      <c r="R10" s="159"/>
    </row>
    <row r="11" spans="1:18" x14ac:dyDescent="0.2">
      <c r="A11" s="2032">
        <f>'9.Training Annex'!A7</f>
        <v>9</v>
      </c>
      <c r="B11" s="2032"/>
      <c r="C11" s="2032" t="str">
        <f>'9.Training Annex'!C7</f>
        <v>Training and Capacity Building</v>
      </c>
      <c r="D11" s="724"/>
      <c r="E11" s="724"/>
      <c r="F11" s="724"/>
      <c r="G11" s="724"/>
      <c r="H11" s="528"/>
      <c r="I11" s="724"/>
      <c r="J11" s="528"/>
      <c r="K11" s="724"/>
      <c r="L11" s="724"/>
      <c r="M11" s="528"/>
      <c r="N11" s="845"/>
      <c r="O11" s="528">
        <f>SUM(O12:O13)</f>
        <v>0</v>
      </c>
      <c r="P11" s="844"/>
      <c r="Q11" s="701"/>
      <c r="R11" s="170">
        <f>SUM(R12:R13)</f>
        <v>0</v>
      </c>
    </row>
    <row r="12" spans="1:18" ht="30" x14ac:dyDescent="0.2">
      <c r="A12" s="4076" t="str">
        <f>'9.Training Annex'!A62</f>
        <v>9.2.4.8</v>
      </c>
      <c r="B12" s="103" t="str">
        <f>'9-A.Training Sub-Annex'!C276</f>
        <v>B.29.1.4</v>
      </c>
      <c r="C12" s="103" t="str">
        <f>'9-A.Training Sub-Annex'!D276</f>
        <v>Training of medical and paramedical personnel at district level under NPPCF</v>
      </c>
      <c r="D12" s="103" t="str">
        <f>'9-A.Training Sub-Annex'!E276</f>
        <v>NCD</v>
      </c>
      <c r="E12" s="103" t="str">
        <f>'9-A.Training Sub-Annex'!F276</f>
        <v>NPPCF</v>
      </c>
      <c r="F12" s="2002">
        <f>'9-A.Training Sub-Annex'!G276</f>
        <v>0</v>
      </c>
      <c r="G12" s="2002">
        <f>'9-A.Training Sub-Annex'!H276</f>
        <v>0</v>
      </c>
      <c r="H12" s="2002">
        <f>'9-A.Training Sub-Annex'!I276</f>
        <v>0</v>
      </c>
      <c r="I12" s="2002">
        <f>'9-A.Training Sub-Annex'!J276</f>
        <v>0</v>
      </c>
      <c r="J12" s="2002">
        <f>'9-A.Training Sub-Annex'!K276</f>
        <v>0</v>
      </c>
      <c r="K12" s="2002">
        <f>'9-A.Training Sub-Annex'!L276</f>
        <v>0</v>
      </c>
      <c r="L12" s="2002">
        <f>'9-A.Training Sub-Annex'!M276</f>
        <v>0</v>
      </c>
      <c r="M12" s="178">
        <f>'9-A.Training Sub-Annex'!N276</f>
        <v>0</v>
      </c>
      <c r="N12" s="2002">
        <f>'9-A.Training Sub-Annex'!O276</f>
        <v>0</v>
      </c>
      <c r="O12" s="178">
        <f>'9-A.Training Sub-Annex'!P276</f>
        <v>0</v>
      </c>
      <c r="P12" s="103">
        <f>'9-A.Training Sub-Annex'!Q276</f>
        <v>0</v>
      </c>
      <c r="Q12" s="67"/>
      <c r="R12" s="159"/>
    </row>
    <row r="13" spans="1:18" ht="30" x14ac:dyDescent="0.2">
      <c r="A13" s="4076"/>
      <c r="B13" s="103"/>
      <c r="C13" s="103" t="str">
        <f>'9-A.Training Sub-Annex'!D277</f>
        <v>Any other (please specify)</v>
      </c>
      <c r="D13" s="103" t="str">
        <f>'9-A.Training Sub-Annex'!E277</f>
        <v>NCD</v>
      </c>
      <c r="E13" s="103" t="str">
        <f>'9-A.Training Sub-Annex'!F277</f>
        <v>NPPCF</v>
      </c>
      <c r="F13" s="2002">
        <f>'9-A.Training Sub-Annex'!G277</f>
        <v>0</v>
      </c>
      <c r="G13" s="2002">
        <f>'9-A.Training Sub-Annex'!H277</f>
        <v>0</v>
      </c>
      <c r="H13" s="2002">
        <f>'9-A.Training Sub-Annex'!I277</f>
        <v>0</v>
      </c>
      <c r="I13" s="2002">
        <f>'9-A.Training Sub-Annex'!J277</f>
        <v>0</v>
      </c>
      <c r="J13" s="2002">
        <f>'9-A.Training Sub-Annex'!K277</f>
        <v>0</v>
      </c>
      <c r="K13" s="2002">
        <f>'9-A.Training Sub-Annex'!L277</f>
        <v>0</v>
      </c>
      <c r="L13" s="2002">
        <f>'9-A.Training Sub-Annex'!M277</f>
        <v>0</v>
      </c>
      <c r="M13" s="178">
        <f>'9-A.Training Sub-Annex'!N277</f>
        <v>0</v>
      </c>
      <c r="N13" s="2002">
        <f>'9-A.Training Sub-Annex'!O277</f>
        <v>0</v>
      </c>
      <c r="O13" s="178">
        <f>'9-A.Training Sub-Annex'!P277</f>
        <v>0</v>
      </c>
      <c r="P13" s="103">
        <f>'9-A.Training Sub-Annex'!Q277</f>
        <v>0</v>
      </c>
      <c r="Q13" s="67"/>
      <c r="R13" s="159"/>
    </row>
    <row r="14" spans="1:18" x14ac:dyDescent="0.2">
      <c r="A14" s="2032">
        <f>'11.IEC-BCC Annex'!A7</f>
        <v>11</v>
      </c>
      <c r="B14" s="2032"/>
      <c r="C14" s="2032" t="str">
        <f>'11.IEC-BCC Annex'!C7</f>
        <v>IEC/BCC</v>
      </c>
      <c r="D14" s="724"/>
      <c r="E14" s="724"/>
      <c r="F14" s="724"/>
      <c r="G14" s="724"/>
      <c r="H14" s="528"/>
      <c r="I14" s="724"/>
      <c r="J14" s="528"/>
      <c r="K14" s="724"/>
      <c r="L14" s="724"/>
      <c r="M14" s="528"/>
      <c r="N14" s="845"/>
      <c r="O14" s="528">
        <f>SUM(O15:O16)</f>
        <v>0</v>
      </c>
      <c r="P14" s="844"/>
      <c r="Q14" s="701"/>
      <c r="R14" s="170">
        <f>SUM(R15:R16)</f>
        <v>0</v>
      </c>
    </row>
    <row r="15" spans="1:18" ht="45" x14ac:dyDescent="0.2">
      <c r="A15" s="103" t="str">
        <f>'11.IEC-BCC Annex'!A42</f>
        <v>11.4.11</v>
      </c>
      <c r="B15" s="103" t="str">
        <f>'11-A. IEC Sub-Annex'!C105</f>
        <v>B.10.6.6</v>
      </c>
      <c r="C15" s="103" t="str">
        <f>'11-A. IEC Sub-Annex'!D105</f>
        <v>Health Education &amp; Publicity for National Programme for Fluorosis (State and District Level)</v>
      </c>
      <c r="D15" s="103" t="str">
        <f>'11-A. IEC Sub-Annex'!E105</f>
        <v>NCD</v>
      </c>
      <c r="E15" s="103" t="str">
        <f>'11-A. IEC Sub-Annex'!F105</f>
        <v>NPPCF</v>
      </c>
      <c r="F15" s="2002">
        <f>'11-A. IEC Sub-Annex'!G105</f>
        <v>0</v>
      </c>
      <c r="G15" s="2002">
        <f>'11-A. IEC Sub-Annex'!H105</f>
        <v>0</v>
      </c>
      <c r="H15" s="2002">
        <f>'11-A. IEC Sub-Annex'!I105</f>
        <v>0</v>
      </c>
      <c r="I15" s="2002">
        <f>'11-A. IEC Sub-Annex'!J105</f>
        <v>0</v>
      </c>
      <c r="J15" s="2002">
        <f>'11-A. IEC Sub-Annex'!K105</f>
        <v>0</v>
      </c>
      <c r="K15" s="2002">
        <f>'11-A. IEC Sub-Annex'!L105</f>
        <v>0</v>
      </c>
      <c r="L15" s="2002">
        <f>'11-A. IEC Sub-Annex'!M105</f>
        <v>0</v>
      </c>
      <c r="M15" s="178">
        <f>'11-A. IEC Sub-Annex'!N105</f>
        <v>0</v>
      </c>
      <c r="N15" s="2002">
        <f>'11-A. IEC Sub-Annex'!O105</f>
        <v>0</v>
      </c>
      <c r="O15" s="178">
        <f>'11-A. IEC Sub-Annex'!P105</f>
        <v>0</v>
      </c>
      <c r="P15" s="103">
        <f>'11-A. IEC Sub-Annex'!Q105</f>
        <v>0</v>
      </c>
      <c r="Q15" s="67"/>
      <c r="R15" s="159"/>
    </row>
    <row r="16" spans="1:18" ht="30" x14ac:dyDescent="0.2">
      <c r="A16" s="103"/>
      <c r="B16" s="103">
        <f>'11-A. IEC Sub-Annex'!C106</f>
        <v>0</v>
      </c>
      <c r="C16" s="103" t="str">
        <f>'11-A. IEC Sub-Annex'!D106</f>
        <v>Any other IEC/BCC activities (please specify)</v>
      </c>
      <c r="D16" s="103" t="str">
        <f>'11-A. IEC Sub-Annex'!E106</f>
        <v>NCD</v>
      </c>
      <c r="E16" s="103" t="str">
        <f>'11-A. IEC Sub-Annex'!F106</f>
        <v>NPPCF</v>
      </c>
      <c r="F16" s="2002">
        <f>'11-A. IEC Sub-Annex'!G106</f>
        <v>0</v>
      </c>
      <c r="G16" s="2002">
        <f>'11-A. IEC Sub-Annex'!H106</f>
        <v>0</v>
      </c>
      <c r="H16" s="2002">
        <f>'11-A. IEC Sub-Annex'!I106</f>
        <v>0</v>
      </c>
      <c r="I16" s="2002">
        <f>'11-A. IEC Sub-Annex'!J106</f>
        <v>0</v>
      </c>
      <c r="J16" s="2002">
        <f>'11-A. IEC Sub-Annex'!K106</f>
        <v>0</v>
      </c>
      <c r="K16" s="2002">
        <f>'11-A. IEC Sub-Annex'!L106</f>
        <v>0</v>
      </c>
      <c r="L16" s="2002">
        <f>'11-A. IEC Sub-Annex'!M106</f>
        <v>0</v>
      </c>
      <c r="M16" s="178">
        <f>'11-A. IEC Sub-Annex'!N106</f>
        <v>0</v>
      </c>
      <c r="N16" s="2002">
        <f>'11-A. IEC Sub-Annex'!O106</f>
        <v>0</v>
      </c>
      <c r="O16" s="178">
        <f>'11-A. IEC Sub-Annex'!P106</f>
        <v>0</v>
      </c>
      <c r="P16" s="103">
        <f>'11-A. IEC Sub-Annex'!Q106</f>
        <v>0</v>
      </c>
      <c r="Q16" s="67"/>
      <c r="R16" s="159"/>
    </row>
    <row r="17" spans="1:18" x14ac:dyDescent="0.2">
      <c r="A17" s="844">
        <f>'12.Printing Annex'!A7</f>
        <v>12</v>
      </c>
      <c r="B17" s="844"/>
      <c r="C17" s="844" t="str">
        <f>'12.Printing Annex'!C7</f>
        <v>Printing</v>
      </c>
      <c r="D17" s="845"/>
      <c r="E17" s="845"/>
      <c r="F17" s="845"/>
      <c r="G17" s="845"/>
      <c r="H17" s="528"/>
      <c r="I17" s="845"/>
      <c r="J17" s="528"/>
      <c r="K17" s="845"/>
      <c r="L17" s="845"/>
      <c r="M17" s="528"/>
      <c r="N17" s="845"/>
      <c r="O17" s="528">
        <f>O18</f>
        <v>0</v>
      </c>
      <c r="P17" s="844"/>
      <c r="Q17" s="701"/>
      <c r="R17" s="170">
        <f>R18</f>
        <v>0</v>
      </c>
    </row>
    <row r="18" spans="1:18" ht="30" x14ac:dyDescent="0.2">
      <c r="A18" s="103" t="str">
        <f>'12.Printing Annex'!A42</f>
        <v>12.4.9</v>
      </c>
      <c r="B18" s="103">
        <f>'12-A. Print Sub-Annex'!C106</f>
        <v>0</v>
      </c>
      <c r="C18" s="103" t="str">
        <f>'12-A. Print Sub-Annex'!D106</f>
        <v>Printing activities under NPPCF</v>
      </c>
      <c r="D18" s="103" t="str">
        <f>'12-A. Print Sub-Annex'!E106</f>
        <v>NCD</v>
      </c>
      <c r="E18" s="103" t="str">
        <f>'12-A. Print Sub-Annex'!F106</f>
        <v>NPPCF</v>
      </c>
      <c r="F18" s="2002">
        <f>'12-A. Print Sub-Annex'!G106</f>
        <v>0</v>
      </c>
      <c r="G18" s="2002">
        <f>'12-A. Print Sub-Annex'!H106</f>
        <v>0</v>
      </c>
      <c r="H18" s="2002">
        <f>'12-A. Print Sub-Annex'!I106</f>
        <v>0</v>
      </c>
      <c r="I18" s="2002">
        <f>'12-A. Print Sub-Annex'!J106</f>
        <v>0</v>
      </c>
      <c r="J18" s="2002">
        <f>'12-A. Print Sub-Annex'!K106</f>
        <v>0</v>
      </c>
      <c r="K18" s="2002">
        <f>'12-A. Print Sub-Annex'!L106</f>
        <v>0</v>
      </c>
      <c r="L18" s="2002">
        <f>'12-A. Print Sub-Annex'!M106</f>
        <v>0</v>
      </c>
      <c r="M18" s="178">
        <f>'12-A. Print Sub-Annex'!N106</f>
        <v>0</v>
      </c>
      <c r="N18" s="2002">
        <f>'12-A. Print Sub-Annex'!O106</f>
        <v>0</v>
      </c>
      <c r="O18" s="178">
        <f>'12-A. Print Sub-Annex'!P106</f>
        <v>0</v>
      </c>
      <c r="P18" s="103">
        <f>'12-A. Print Sub-Annex'!Q106</f>
        <v>0</v>
      </c>
      <c r="Q18" s="67"/>
      <c r="R18" s="159"/>
    </row>
    <row r="19" spans="1:18" x14ac:dyDescent="0.2">
      <c r="A19" s="844">
        <f>'16.PM Annex'!A7</f>
        <v>16</v>
      </c>
      <c r="B19" s="844"/>
      <c r="C19" s="844" t="str">
        <f>'16.PM Annex'!C7</f>
        <v>Programme Management</v>
      </c>
      <c r="D19" s="845"/>
      <c r="E19" s="845"/>
      <c r="F19" s="845"/>
      <c r="G19" s="845"/>
      <c r="H19" s="528"/>
      <c r="I19" s="845"/>
      <c r="J19" s="528"/>
      <c r="K19" s="845"/>
      <c r="L19" s="845"/>
      <c r="M19" s="528"/>
      <c r="N19" s="845"/>
      <c r="O19" s="528">
        <f>SUM(O20:O22)</f>
        <v>0</v>
      </c>
      <c r="P19" s="844"/>
      <c r="Q19" s="701"/>
      <c r="R19" s="170">
        <f>SUM(R20:R22)</f>
        <v>0</v>
      </c>
    </row>
    <row r="20" spans="1:18" ht="30" x14ac:dyDescent="0.2">
      <c r="A20" s="103" t="str">
        <f>'16-A. PM sub Annex'!B33</f>
        <v>16.1.2.1.12</v>
      </c>
      <c r="B20" s="103" t="str">
        <f>'16-A. PM sub Annex'!D33</f>
        <v>B.29.1.7, B.29.2.4</v>
      </c>
      <c r="C20" s="103" t="str">
        <f>'16-A. PM sub Annex'!E33</f>
        <v>NPPCF Coordination Meeting (Newly Selected Districts and On-going Districts)</v>
      </c>
      <c r="D20" s="2002" t="str">
        <f>'16-A. PM sub Annex'!F33</f>
        <v>NCD</v>
      </c>
      <c r="E20" s="2002" t="str">
        <f>'16-A. PM sub Annex'!G33</f>
        <v>HRH&amp;HPIP/ NPPCF</v>
      </c>
      <c r="F20" s="2002">
        <f>'16-A. PM sub Annex'!H33</f>
        <v>0</v>
      </c>
      <c r="G20" s="2002">
        <f>'16-A. PM sub Annex'!I33</f>
        <v>0</v>
      </c>
      <c r="H20" s="2002">
        <f>'16-A. PM sub Annex'!J33</f>
        <v>0</v>
      </c>
      <c r="I20" s="2002">
        <f>'16-A. PM sub Annex'!K33</f>
        <v>0</v>
      </c>
      <c r="J20" s="2002">
        <f>'16-A. PM sub Annex'!L33</f>
        <v>0</v>
      </c>
      <c r="K20" s="2002">
        <f>'16-A. PM sub Annex'!M33</f>
        <v>0</v>
      </c>
      <c r="L20" s="2002">
        <f>'16-A. PM sub Annex'!N33</f>
        <v>0</v>
      </c>
      <c r="M20" s="178">
        <f>'16-A. PM sub Annex'!O33</f>
        <v>0</v>
      </c>
      <c r="N20" s="2002">
        <f>'16-A. PM sub Annex'!P33</f>
        <v>0</v>
      </c>
      <c r="O20" s="178">
        <f>'16-A. PM sub Annex'!Q33</f>
        <v>0</v>
      </c>
      <c r="P20" s="103">
        <f>'16-A. PM sub Annex'!R33</f>
        <v>0</v>
      </c>
      <c r="Q20" s="67"/>
      <c r="R20" s="159"/>
    </row>
    <row r="21" spans="1:18" ht="30" x14ac:dyDescent="0.2">
      <c r="A21" s="103" t="str">
        <f>'16-A. PM sub Annex'!B100</f>
        <v>16.1.3.3.6</v>
      </c>
      <c r="B21" s="103" t="str">
        <f>'16-A. PM sub Annex'!D100</f>
        <v>B.29.1.2</v>
      </c>
      <c r="C21" s="103" t="str">
        <f>'16-A. PM sub Annex'!E100</f>
        <v>Travel costs under NPPCF</v>
      </c>
      <c r="D21" s="2002" t="str">
        <f>'16-A. PM sub Annex'!F100</f>
        <v>NCD</v>
      </c>
      <c r="E21" s="2002" t="str">
        <f>'16-A. PM sub Annex'!G100</f>
        <v>HRH&amp;HPIP/ NPPCF</v>
      </c>
      <c r="F21" s="2002">
        <f>'16-A. PM sub Annex'!H100</f>
        <v>0</v>
      </c>
      <c r="G21" s="2002">
        <f>'16-A. PM sub Annex'!I100</f>
        <v>0</v>
      </c>
      <c r="H21" s="2002">
        <f>'16-A. PM sub Annex'!J100</f>
        <v>0</v>
      </c>
      <c r="I21" s="2002">
        <f>'16-A. PM sub Annex'!K100</f>
        <v>0</v>
      </c>
      <c r="J21" s="2002">
        <f>'16-A. PM sub Annex'!L100</f>
        <v>0</v>
      </c>
      <c r="K21" s="2002">
        <f>'16-A. PM sub Annex'!M100</f>
        <v>0</v>
      </c>
      <c r="L21" s="2002">
        <f>'16-A. PM sub Annex'!N100</f>
        <v>0</v>
      </c>
      <c r="M21" s="178">
        <f>'16-A. PM sub Annex'!O100</f>
        <v>0</v>
      </c>
      <c r="N21" s="2002">
        <f>'16-A. PM sub Annex'!P100</f>
        <v>0</v>
      </c>
      <c r="O21" s="178">
        <f>'16-A. PM sub Annex'!Q100</f>
        <v>0</v>
      </c>
      <c r="P21" s="103">
        <f>'16-A. PM sub Annex'!R100</f>
        <v>0</v>
      </c>
      <c r="Q21" s="67"/>
      <c r="R21" s="159"/>
    </row>
    <row r="22" spans="1:18" ht="30" x14ac:dyDescent="0.2">
      <c r="A22" s="103" t="str">
        <f>'16-A. PM sub Annex'!B124</f>
        <v>16.1.4.1.4</v>
      </c>
      <c r="B22" s="103" t="str">
        <f>'16-A. PM sub Annex'!D124</f>
        <v>B.27.2.2</v>
      </c>
      <c r="C22" s="103" t="str">
        <f>'16-A. PM sub Annex'!E124</f>
        <v>Miscellaneous including Travel/POL/Stationary etc.</v>
      </c>
      <c r="D22" s="2002" t="str">
        <f>'16-A. PM sub Annex'!F124</f>
        <v>NCD</v>
      </c>
      <c r="E22" s="2002" t="str">
        <f>'16-A. PM sub Annex'!G124</f>
        <v>HRH&amp;HPIP/ NPPCF</v>
      </c>
      <c r="F22" s="2002">
        <f>'16-A. PM sub Annex'!H124</f>
        <v>0</v>
      </c>
      <c r="G22" s="2002">
        <f>'16-A. PM sub Annex'!I124</f>
        <v>0</v>
      </c>
      <c r="H22" s="2002">
        <f>'16-A. PM sub Annex'!J124</f>
        <v>0</v>
      </c>
      <c r="I22" s="2002">
        <f>'16-A. PM sub Annex'!K124</f>
        <v>0</v>
      </c>
      <c r="J22" s="2002">
        <f>'16-A. PM sub Annex'!L124</f>
        <v>0</v>
      </c>
      <c r="K22" s="2002">
        <f>'16-A. PM sub Annex'!M124</f>
        <v>0</v>
      </c>
      <c r="L22" s="2002">
        <f>'16-A. PM sub Annex'!N124</f>
        <v>0</v>
      </c>
      <c r="M22" s="178">
        <f>'16-A. PM sub Annex'!O124</f>
        <v>0</v>
      </c>
      <c r="N22" s="2002">
        <f>'16-A. PM sub Annex'!P124</f>
        <v>0</v>
      </c>
      <c r="O22" s="178">
        <f>'16-A. PM sub Annex'!Q124</f>
        <v>0</v>
      </c>
      <c r="P22" s="103">
        <f>'16-A. PM sub Annex'!R124</f>
        <v>0</v>
      </c>
      <c r="Q22" s="67"/>
      <c r="R22" s="159"/>
    </row>
  </sheetData>
  <sheetProtection sheet="1" formatCells="0" formatColumns="0" formatRows="0" autoFilter="0"/>
  <autoFilter ref="A5:M22"/>
  <mergeCells count="10">
    <mergeCell ref="A12:A13"/>
    <mergeCell ref="Q4:R4"/>
    <mergeCell ref="E4:E5"/>
    <mergeCell ref="A1:C1"/>
    <mergeCell ref="A4:A5"/>
    <mergeCell ref="B4:B5"/>
    <mergeCell ref="C4:C5"/>
    <mergeCell ref="D4:D5"/>
    <mergeCell ref="F4:J4"/>
    <mergeCell ref="K4:P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7" tint="0.79998168889431442"/>
  </sheetPr>
  <dimension ref="A1:R15"/>
  <sheetViews>
    <sheetView zoomScale="60" zoomScaleNormal="60" workbookViewId="0">
      <pane ySplit="5" topLeftCell="A6" activePane="bottomLeft" state="frozen"/>
      <selection activeCell="A4" sqref="A4:R11"/>
      <selection pane="bottomLeft" activeCell="P13" sqref="P13"/>
    </sheetView>
  </sheetViews>
  <sheetFormatPr defaultColWidth="9.7109375" defaultRowHeight="15" x14ac:dyDescent="0.25"/>
  <cols>
    <col min="1" max="5" width="9.7109375" style="1192"/>
    <col min="6" max="6" width="9.7109375" style="1825"/>
    <col min="7" max="10" width="9.7109375" style="1192"/>
    <col min="11" max="11" width="9.7109375" style="1825"/>
    <col min="12" max="12" width="9.7109375" style="2195"/>
    <col min="13" max="14" width="9.7109375" style="1192"/>
    <col min="15" max="15" width="9.7109375" style="2196"/>
    <col min="16" max="16" width="9.7109375" style="1192"/>
    <col min="17" max="17" width="9.7109375" style="2075"/>
    <col min="18" max="18" width="9.7109375" style="2196"/>
    <col min="19" max="16384" width="9.7109375" style="1192"/>
  </cols>
  <sheetData>
    <row r="1" spans="1:18" s="2181" customFormat="1" ht="45" x14ac:dyDescent="0.25">
      <c r="A1" s="4073" t="s">
        <v>2130</v>
      </c>
      <c r="B1" s="4073"/>
      <c r="C1" s="4073"/>
      <c r="D1" s="2179"/>
      <c r="E1" s="893"/>
      <c r="F1" s="98" t="s">
        <v>3965</v>
      </c>
      <c r="G1" s="2180"/>
      <c r="I1" s="2180"/>
      <c r="J1" s="2180"/>
      <c r="K1" s="2180"/>
      <c r="L1" s="2182"/>
      <c r="M1" s="2180"/>
      <c r="O1" s="2183"/>
      <c r="Q1" s="2171"/>
      <c r="R1" s="2183"/>
    </row>
    <row r="2" spans="1:18" s="2181" customFormat="1" ht="30" x14ac:dyDescent="0.25">
      <c r="A2" s="1859" t="str">
        <f>HYPERLINK("#Index!F3", "Index Pg")</f>
        <v>Index Pg</v>
      </c>
      <c r="B2" s="1864"/>
      <c r="C2" s="831" t="str">
        <f>HYPERLINK("#'Budget Summary I'!A1:AL1", "Budget Summary I")</f>
        <v>Budget Summary I</v>
      </c>
      <c r="D2" s="2184"/>
      <c r="E2" s="2153" t="s">
        <v>4608</v>
      </c>
      <c r="F2" s="961">
        <f>R6+R8+R12+R14</f>
        <v>0</v>
      </c>
      <c r="G2" s="2064"/>
      <c r="I2" s="2064"/>
      <c r="J2" s="2064"/>
      <c r="K2" s="2064"/>
      <c r="L2" s="2185"/>
      <c r="M2" s="2186"/>
      <c r="O2" s="2183"/>
      <c r="Q2" s="2171"/>
      <c r="R2" s="2183"/>
    </row>
    <row r="3" spans="1:18" s="2181" customFormat="1" ht="30" x14ac:dyDescent="0.25">
      <c r="A3" s="1863"/>
      <c r="B3" s="1864"/>
      <c r="C3" s="1937" t="str">
        <f>HYPERLINK("#'Budget Summary II'!A3:B5", "Budget Summary II")</f>
        <v>Budget Summary II</v>
      </c>
      <c r="D3" s="2187"/>
      <c r="E3" s="2158" t="s">
        <v>4609</v>
      </c>
      <c r="F3" s="2188">
        <f>O6+O8+O12+O14</f>
        <v>0</v>
      </c>
      <c r="G3" s="2064"/>
      <c r="I3" s="2064"/>
      <c r="J3" s="2064"/>
      <c r="K3" s="2064"/>
      <c r="L3" s="2185"/>
      <c r="M3" s="2186"/>
      <c r="O3" s="2183"/>
      <c r="Q3" s="2171"/>
      <c r="R3" s="2183"/>
    </row>
    <row r="4" spans="1:18" s="1196" customForma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s="1196" customFormat="1" ht="90" x14ac:dyDescent="0.2">
      <c r="A5" s="3823"/>
      <c r="B5" s="3823"/>
      <c r="C5" s="3823"/>
      <c r="D5" s="3823"/>
      <c r="E5" s="3823"/>
      <c r="F5" s="896" t="s">
        <v>4630</v>
      </c>
      <c r="G5" s="896" t="s">
        <v>4638</v>
      </c>
      <c r="H5" s="896" t="s">
        <v>4631</v>
      </c>
      <c r="I5" s="896" t="s">
        <v>4639</v>
      </c>
      <c r="J5" s="896" t="s">
        <v>2538</v>
      </c>
      <c r="K5" s="897" t="s">
        <v>58</v>
      </c>
      <c r="L5" s="898" t="s">
        <v>59</v>
      </c>
      <c r="M5" s="898" t="s">
        <v>60</v>
      </c>
      <c r="N5" s="897" t="s">
        <v>61</v>
      </c>
      <c r="O5" s="898" t="s">
        <v>62</v>
      </c>
      <c r="P5" s="897" t="s">
        <v>63</v>
      </c>
      <c r="Q5" s="899" t="s">
        <v>2540</v>
      </c>
      <c r="R5" s="900" t="s">
        <v>4671</v>
      </c>
    </row>
    <row r="6" spans="1:18" ht="30" x14ac:dyDescent="0.25">
      <c r="A6" s="2032">
        <f>'5.Infrastructure Annex'!A7</f>
        <v>5</v>
      </c>
      <c r="B6" s="2032"/>
      <c r="C6" s="2032" t="str">
        <f>'5.Infrastructure Annex'!C7</f>
        <v>Infrastructure</v>
      </c>
      <c r="D6" s="724"/>
      <c r="E6" s="724"/>
      <c r="F6" s="724"/>
      <c r="G6" s="724"/>
      <c r="H6" s="724"/>
      <c r="I6" s="724"/>
      <c r="J6" s="1983"/>
      <c r="K6" s="724"/>
      <c r="L6" s="528"/>
      <c r="M6" s="1983"/>
      <c r="N6" s="2189"/>
      <c r="O6" s="2190">
        <f>O7</f>
        <v>0</v>
      </c>
      <c r="P6" s="2191"/>
      <c r="Q6" s="3361"/>
      <c r="R6" s="2190">
        <f>R7</f>
        <v>0</v>
      </c>
    </row>
    <row r="7" spans="1:18" ht="120" x14ac:dyDescent="0.25">
      <c r="A7" s="870" t="str">
        <f>'5.Infrastructure Annex'!A23</f>
        <v>5.1.1.2.2</v>
      </c>
      <c r="B7" s="870" t="str">
        <f>'5.Infrastructure Annex'!B23</f>
        <v>B.26.1.1</v>
      </c>
      <c r="C7" s="870" t="str">
        <f>'5.Infrastructure Annex'!C23</f>
        <v xml:space="preserve">Renovation, Dental Chair, Equipment - District Hospitals </v>
      </c>
      <c r="D7" s="2002" t="str">
        <f>'5.Infrastructure Annex'!D23</f>
        <v>NCD</v>
      </c>
      <c r="E7" s="2002" t="str">
        <f>'5.Infrastructure Annex'!E23</f>
        <v>NOHP</v>
      </c>
      <c r="F7" s="2002">
        <f>'5.Infrastructure Annex'!F23</f>
        <v>0</v>
      </c>
      <c r="G7" s="2002">
        <f>'5.Infrastructure Annex'!G23</f>
        <v>0</v>
      </c>
      <c r="H7" s="2002">
        <f>'5.Infrastructure Annex'!H23</f>
        <v>0</v>
      </c>
      <c r="I7" s="2002">
        <f>'5.Infrastructure Annex'!I23</f>
        <v>0</v>
      </c>
      <c r="J7" s="2002">
        <f>'5.Infrastructure Annex'!J23</f>
        <v>0</v>
      </c>
      <c r="K7" s="2002">
        <f>'5.Infrastructure Annex'!K23</f>
        <v>0</v>
      </c>
      <c r="L7" s="178">
        <f>'5.Infrastructure Annex'!L23</f>
        <v>0</v>
      </c>
      <c r="M7" s="2002">
        <f>'5.Infrastructure Annex'!M23</f>
        <v>0</v>
      </c>
      <c r="N7" s="2002">
        <f>'5.Infrastructure Annex'!N23</f>
        <v>0</v>
      </c>
      <c r="O7" s="178">
        <f>'5.Infrastructure Annex'!O23</f>
        <v>0</v>
      </c>
      <c r="P7" s="103">
        <f>'5.Infrastructure Annex'!P23</f>
        <v>0</v>
      </c>
      <c r="Q7" s="2109"/>
      <c r="R7" s="2197"/>
    </row>
    <row r="8" spans="1:18" ht="30" x14ac:dyDescent="0.25">
      <c r="A8" s="2032">
        <f>'6.Procurement Annex'!A7</f>
        <v>6</v>
      </c>
      <c r="B8" s="2032"/>
      <c r="C8" s="2032" t="str">
        <f>'6.Procurement Annex'!C7</f>
        <v>Procurement</v>
      </c>
      <c r="D8" s="724"/>
      <c r="E8" s="724"/>
      <c r="F8" s="724"/>
      <c r="G8" s="724"/>
      <c r="H8" s="1983"/>
      <c r="I8" s="724"/>
      <c r="J8" s="1983"/>
      <c r="K8" s="724"/>
      <c r="L8" s="528"/>
      <c r="M8" s="1983"/>
      <c r="N8" s="2189"/>
      <c r="O8" s="2190">
        <f>SUM(O9:O11)</f>
        <v>0</v>
      </c>
      <c r="P8" s="2191"/>
      <c r="Q8" s="3362"/>
      <c r="R8" s="2198">
        <f>SUM(R9:R11)</f>
        <v>0</v>
      </c>
    </row>
    <row r="9" spans="1:18" ht="60" x14ac:dyDescent="0.25">
      <c r="A9" s="870" t="str">
        <f>'6.Procurement Annex'!A43</f>
        <v>6.1.5.8</v>
      </c>
      <c r="B9" s="870" t="str">
        <f>'6-A. Proc. Sub-Annex'!C127</f>
        <v>B.26.1.1</v>
      </c>
      <c r="C9" s="870" t="str">
        <f>'6-A. Proc. Sub-Annex'!D127</f>
        <v>Dental Chair, Equipment</v>
      </c>
      <c r="D9" s="2002" t="str">
        <f>'6-A. Proc. Sub-Annex'!E127</f>
        <v>NCD</v>
      </c>
      <c r="E9" s="2002" t="str">
        <f>'6-A. Proc. Sub-Annex'!F127</f>
        <v>NOHP</v>
      </c>
      <c r="F9" s="2002">
        <f>'6-A. Proc. Sub-Annex'!G127</f>
        <v>0</v>
      </c>
      <c r="G9" s="2002">
        <f>'6-A. Proc. Sub-Annex'!H127</f>
        <v>0</v>
      </c>
      <c r="H9" s="2002">
        <f>'6-A. Proc. Sub-Annex'!I127</f>
        <v>0</v>
      </c>
      <c r="I9" s="2002">
        <f>'6-A. Proc. Sub-Annex'!J127</f>
        <v>0</v>
      </c>
      <c r="J9" s="2002">
        <f>'6-A. Proc. Sub-Annex'!K127</f>
        <v>0</v>
      </c>
      <c r="K9" s="2002">
        <f>'6-A. Proc. Sub-Annex'!L127</f>
        <v>0</v>
      </c>
      <c r="L9" s="178">
        <f>'6-A. Proc. Sub-Annex'!M127</f>
        <v>0</v>
      </c>
      <c r="M9" s="2002">
        <f>'6-A. Proc. Sub-Annex'!N127</f>
        <v>0</v>
      </c>
      <c r="N9" s="2002">
        <f>'6-A. Proc. Sub-Annex'!O127</f>
        <v>0</v>
      </c>
      <c r="O9" s="178">
        <f>'6-A. Proc. Sub-Annex'!P127</f>
        <v>0</v>
      </c>
      <c r="P9" s="103">
        <f>'6-A. Proc. Sub-Annex'!Q127</f>
        <v>0</v>
      </c>
      <c r="Q9" s="2109"/>
      <c r="R9" s="2197"/>
    </row>
    <row r="10" spans="1:18" ht="75" x14ac:dyDescent="0.25">
      <c r="A10" s="870"/>
      <c r="B10" s="870">
        <f>'6-A. Proc. Sub-Annex'!C128</f>
        <v>0</v>
      </c>
      <c r="C10" s="870" t="str">
        <f>'6-A. Proc. Sub-Annex'!D128</f>
        <v>Any other equipment (please specify)</v>
      </c>
      <c r="D10" s="2002" t="str">
        <f>'6-A. Proc. Sub-Annex'!E128</f>
        <v>NCD</v>
      </c>
      <c r="E10" s="2002" t="str">
        <f>'6-A. Proc. Sub-Annex'!F128</f>
        <v>NOHP</v>
      </c>
      <c r="F10" s="2002">
        <f>'6-A. Proc. Sub-Annex'!G128</f>
        <v>0</v>
      </c>
      <c r="G10" s="2002">
        <f>'6-A. Proc. Sub-Annex'!H128</f>
        <v>0</v>
      </c>
      <c r="H10" s="2002">
        <f>'6-A. Proc. Sub-Annex'!I128</f>
        <v>0</v>
      </c>
      <c r="I10" s="2002">
        <f>'6-A. Proc. Sub-Annex'!J128</f>
        <v>0</v>
      </c>
      <c r="J10" s="2002">
        <f>'6-A. Proc. Sub-Annex'!K128</f>
        <v>0</v>
      </c>
      <c r="K10" s="2002">
        <f>'6-A. Proc. Sub-Annex'!L128</f>
        <v>0</v>
      </c>
      <c r="L10" s="178">
        <f>'6-A. Proc. Sub-Annex'!M128</f>
        <v>0</v>
      </c>
      <c r="M10" s="2002">
        <f>'6-A. Proc. Sub-Annex'!N128</f>
        <v>0</v>
      </c>
      <c r="N10" s="2002">
        <f>'6-A. Proc. Sub-Annex'!O128</f>
        <v>0</v>
      </c>
      <c r="O10" s="178">
        <f>'6-A. Proc. Sub-Annex'!P128</f>
        <v>0</v>
      </c>
      <c r="P10" s="103">
        <f>'6-A. Proc. Sub-Annex'!Q128</f>
        <v>0</v>
      </c>
      <c r="Q10" s="2109"/>
      <c r="R10" s="2197"/>
    </row>
    <row r="11" spans="1:18" ht="45" x14ac:dyDescent="0.25">
      <c r="A11" s="870" t="str">
        <f>'6.Procurement Annex'!A85</f>
        <v>6.2.4.7</v>
      </c>
      <c r="B11" s="870" t="str">
        <f>'6-A. Proc. Sub-Annex'!C275</f>
        <v>B.16.2.11.2</v>
      </c>
      <c r="C11" s="870" t="str">
        <f>'6-A. Proc. Sub-Annex'!D275</f>
        <v>Consumables for NOHP</v>
      </c>
      <c r="D11" s="2002" t="str">
        <f>'6-A. Proc. Sub-Annex'!E275</f>
        <v>NCD</v>
      </c>
      <c r="E11" s="2002" t="str">
        <f>'6-A. Proc. Sub-Annex'!F275</f>
        <v>NOHP</v>
      </c>
      <c r="F11" s="2002">
        <f>'6-A. Proc. Sub-Annex'!G275</f>
        <v>0</v>
      </c>
      <c r="G11" s="2002">
        <f>'6-A. Proc. Sub-Annex'!H275</f>
        <v>0</v>
      </c>
      <c r="H11" s="2002">
        <f>'6-A. Proc. Sub-Annex'!I275</f>
        <v>0</v>
      </c>
      <c r="I11" s="2002">
        <f>'6-A. Proc. Sub-Annex'!J275</f>
        <v>0</v>
      </c>
      <c r="J11" s="2002">
        <f>'6-A. Proc. Sub-Annex'!K275</f>
        <v>0</v>
      </c>
      <c r="K11" s="2002">
        <f>'6-A. Proc. Sub-Annex'!L275</f>
        <v>0</v>
      </c>
      <c r="L11" s="178">
        <f>'6-A. Proc. Sub-Annex'!M275</f>
        <v>0</v>
      </c>
      <c r="M11" s="2002">
        <f>'6-A. Proc. Sub-Annex'!N275</f>
        <v>0</v>
      </c>
      <c r="N11" s="2002">
        <f>'6-A. Proc. Sub-Annex'!O275</f>
        <v>0</v>
      </c>
      <c r="O11" s="178">
        <f>'6-A. Proc. Sub-Annex'!P275</f>
        <v>0</v>
      </c>
      <c r="P11" s="103">
        <f>'6-A. Proc. Sub-Annex'!Q275</f>
        <v>0</v>
      </c>
      <c r="Q11" s="2109"/>
      <c r="R11" s="2197"/>
    </row>
    <row r="12" spans="1:18" x14ac:dyDescent="0.25">
      <c r="A12" s="2032">
        <f>'11.IEC-BCC Annex'!A7</f>
        <v>11</v>
      </c>
      <c r="B12" s="2032"/>
      <c r="C12" s="2032" t="str">
        <f>'11.IEC-BCC Annex'!C7</f>
        <v>IEC/BCC</v>
      </c>
      <c r="D12" s="724"/>
      <c r="E12" s="724"/>
      <c r="F12" s="724"/>
      <c r="G12" s="724"/>
      <c r="H12" s="1983"/>
      <c r="I12" s="724"/>
      <c r="J12" s="1983"/>
      <c r="K12" s="724"/>
      <c r="L12" s="528"/>
      <c r="M12" s="1983"/>
      <c r="N12" s="2189"/>
      <c r="O12" s="2190">
        <f>O13</f>
        <v>0</v>
      </c>
      <c r="P12" s="2191"/>
      <c r="Q12" s="3362"/>
      <c r="R12" s="2198">
        <f>R13</f>
        <v>0</v>
      </c>
    </row>
    <row r="13" spans="1:18" ht="45" x14ac:dyDescent="0.25">
      <c r="A13" s="870" t="str">
        <f>'11.IEC-BCC Annex'!A37</f>
        <v>11.4.6</v>
      </c>
      <c r="B13" s="870">
        <f>'11-A. IEC Sub-Annex'!C94</f>
        <v>0</v>
      </c>
      <c r="C13" s="870" t="str">
        <f>'11-A. IEC Sub-Annex'!D94</f>
        <v>IEC/BCC under NOHP</v>
      </c>
      <c r="D13" s="2002" t="str">
        <f>'11-A. IEC Sub-Annex'!E94</f>
        <v>NCD</v>
      </c>
      <c r="E13" s="2002" t="str">
        <f>'11-A. IEC Sub-Annex'!F94</f>
        <v>NOHP</v>
      </c>
      <c r="F13" s="2002">
        <f>'11-A. IEC Sub-Annex'!G94</f>
        <v>0</v>
      </c>
      <c r="G13" s="2002">
        <f>'11-A. IEC Sub-Annex'!H94</f>
        <v>0</v>
      </c>
      <c r="H13" s="2002">
        <f>'11-A. IEC Sub-Annex'!I94</f>
        <v>0</v>
      </c>
      <c r="I13" s="2002">
        <f>'11-A. IEC Sub-Annex'!J94</f>
        <v>0</v>
      </c>
      <c r="J13" s="2002">
        <f>'11-A. IEC Sub-Annex'!K94</f>
        <v>0</v>
      </c>
      <c r="K13" s="2002">
        <f>'11-A. IEC Sub-Annex'!L94</f>
        <v>0</v>
      </c>
      <c r="L13" s="178">
        <f>'11-A. IEC Sub-Annex'!M94</f>
        <v>0</v>
      </c>
      <c r="M13" s="2002">
        <f>'11-A. IEC Sub-Annex'!N94</f>
        <v>0</v>
      </c>
      <c r="N13" s="2002">
        <f>'11-A. IEC Sub-Annex'!O94</f>
        <v>0</v>
      </c>
      <c r="O13" s="178">
        <f>'11-A. IEC Sub-Annex'!P94</f>
        <v>0</v>
      </c>
      <c r="P13" s="103">
        <f>'11-A. IEC Sub-Annex'!Q94</f>
        <v>0</v>
      </c>
      <c r="Q13" s="2109"/>
      <c r="R13" s="2197"/>
    </row>
    <row r="14" spans="1:18" x14ac:dyDescent="0.25">
      <c r="A14" s="2032">
        <f>'12.Printing Annex'!A7</f>
        <v>12</v>
      </c>
      <c r="B14" s="2032"/>
      <c r="C14" s="2032" t="str">
        <f>'12.Printing Annex'!C7</f>
        <v>Printing</v>
      </c>
      <c r="D14" s="724"/>
      <c r="E14" s="724"/>
      <c r="F14" s="724"/>
      <c r="G14" s="724"/>
      <c r="H14" s="1983"/>
      <c r="I14" s="724"/>
      <c r="J14" s="1983"/>
      <c r="K14" s="724"/>
      <c r="L14" s="528"/>
      <c r="M14" s="1983"/>
      <c r="N14" s="2189"/>
      <c r="O14" s="2190">
        <f>O15</f>
        <v>0</v>
      </c>
      <c r="P14" s="2191"/>
      <c r="Q14" s="3362"/>
      <c r="R14" s="2198">
        <f>R15</f>
        <v>0</v>
      </c>
    </row>
    <row r="15" spans="1:18" x14ac:dyDescent="0.25">
      <c r="A15" s="1238" t="str">
        <f>'12.Printing Annex'!A43</f>
        <v>12.4.10</v>
      </c>
      <c r="B15" s="1238">
        <f>'12-A. Print Sub-Annex'!C107</f>
        <v>0</v>
      </c>
      <c r="C15" s="1238" t="str">
        <f>'12-A. Print Sub-Annex'!D107</f>
        <v>Printing activities under NOHP</v>
      </c>
      <c r="D15" s="2193" t="str">
        <f>'12-A. Print Sub-Annex'!E107</f>
        <v>NCD</v>
      </c>
      <c r="E15" s="2193" t="str">
        <f>'12-A. Print Sub-Annex'!F107</f>
        <v>NOHP</v>
      </c>
      <c r="F15" s="2193">
        <f>'12-A. Print Sub-Annex'!G107</f>
        <v>0</v>
      </c>
      <c r="G15" s="2193">
        <f>'12-A. Print Sub-Annex'!H107</f>
        <v>0</v>
      </c>
      <c r="H15" s="2193">
        <f>'12-A. Print Sub-Annex'!I107</f>
        <v>0</v>
      </c>
      <c r="I15" s="2193">
        <f>'12-A. Print Sub-Annex'!J107</f>
        <v>0</v>
      </c>
      <c r="J15" s="2193">
        <f>'12-A. Print Sub-Annex'!K107</f>
        <v>0</v>
      </c>
      <c r="K15" s="2193">
        <f>'12-A. Print Sub-Annex'!L107</f>
        <v>0</v>
      </c>
      <c r="L15" s="2194">
        <f>'12-A. Print Sub-Annex'!M107</f>
        <v>0</v>
      </c>
      <c r="M15" s="2193">
        <f>'12-A. Print Sub-Annex'!N107</f>
        <v>0</v>
      </c>
      <c r="N15" s="2193">
        <f>'12-A. Print Sub-Annex'!O107</f>
        <v>0</v>
      </c>
      <c r="O15" s="2194">
        <f>'12-A. Print Sub-Annex'!P107</f>
        <v>0</v>
      </c>
      <c r="P15" s="2192">
        <f>'12-A. Print Sub-Annex'!Q107</f>
        <v>0</v>
      </c>
      <c r="Q15" s="2109"/>
      <c r="R15" s="2197"/>
    </row>
  </sheetData>
  <sheetProtection sheet="1" formatCells="0" formatColumns="0" formatRows="0" autoFilter="0"/>
  <autoFilter ref="A5:M14"/>
  <mergeCells count="9">
    <mergeCell ref="Q4:R4"/>
    <mergeCell ref="E4:E5"/>
    <mergeCell ref="A1:C1"/>
    <mergeCell ref="A4:A5"/>
    <mergeCell ref="B4:B5"/>
    <mergeCell ref="C4:C5"/>
    <mergeCell ref="D4:D5"/>
    <mergeCell ref="F4:J4"/>
    <mergeCell ref="K4:P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7" tint="0.79998168889431442"/>
  </sheetPr>
  <dimension ref="A1:R23"/>
  <sheetViews>
    <sheetView zoomScale="90" zoomScaleNormal="90" workbookViewId="0">
      <pane xSplit="3" ySplit="5" topLeftCell="L9" activePane="bottomRight" state="frozen"/>
      <selection activeCell="A4" sqref="A4:R11"/>
      <selection pane="topRight" activeCell="A4" sqref="A4:R11"/>
      <selection pane="bottomLeft" activeCell="A4" sqref="A4:R11"/>
      <selection pane="bottomRight" activeCell="Q14" sqref="Q14:R14"/>
    </sheetView>
  </sheetViews>
  <sheetFormatPr defaultColWidth="10.85546875" defaultRowHeight="15" x14ac:dyDescent="0.2"/>
  <cols>
    <col min="1" max="1" width="10.85546875" style="881"/>
    <col min="2" max="2" width="18.140625" style="881" hidden="1" customWidth="1"/>
    <col min="3" max="3" width="45.5703125" style="881" customWidth="1"/>
    <col min="4" max="4" width="5.7109375" style="835" hidden="1" customWidth="1"/>
    <col min="5" max="5" width="14" style="835" hidden="1" customWidth="1"/>
    <col min="6" max="6" width="17.42578125" style="835" hidden="1" customWidth="1"/>
    <col min="7" max="7" width="16.7109375" style="835" hidden="1" customWidth="1"/>
    <col min="8" max="8" width="15.140625" style="956" hidden="1" customWidth="1"/>
    <col min="9" max="9" width="0" style="835" hidden="1" customWidth="1"/>
    <col min="10" max="10" width="0" style="956" hidden="1" customWidth="1"/>
    <col min="11" max="11" width="12.42578125" style="881" hidden="1" customWidth="1"/>
    <col min="12" max="12" width="13.140625" style="881" customWidth="1"/>
    <col min="13" max="13" width="13.85546875" style="956" hidden="1" customWidth="1"/>
    <col min="14" max="14" width="10.85546875" style="835"/>
    <col min="15" max="15" width="10.85546875" style="956"/>
    <col min="16" max="16" width="28.140625" style="881" hidden="1" customWidth="1"/>
    <col min="17" max="17" width="28.7109375" style="835" customWidth="1"/>
    <col min="18" max="18" width="16.5703125" style="956" customWidth="1"/>
    <col min="19" max="16384" width="10.85546875" style="835"/>
  </cols>
  <sheetData>
    <row r="1" spans="1:18" s="2159" customFormat="1" ht="30" x14ac:dyDescent="0.2">
      <c r="A1" s="4079" t="s">
        <v>2127</v>
      </c>
      <c r="B1" s="4079"/>
      <c r="C1" s="4079"/>
      <c r="D1" s="959"/>
      <c r="E1" s="893"/>
      <c r="F1" s="98" t="s">
        <v>3965</v>
      </c>
      <c r="G1" s="1100"/>
      <c r="H1" s="1100"/>
      <c r="I1" s="1100"/>
      <c r="J1" s="1103"/>
      <c r="K1" s="2160"/>
      <c r="L1" s="2160"/>
      <c r="M1" s="1103"/>
      <c r="O1" s="2161"/>
      <c r="P1" s="2177"/>
      <c r="R1" s="2161"/>
    </row>
    <row r="2" spans="1:18" s="2159" customFormat="1" x14ac:dyDescent="0.25">
      <c r="A2" s="1859" t="str">
        <f>HYPERLINK("#Index!F3", "Index Pg")</f>
        <v>Index Pg</v>
      </c>
      <c r="B2" s="1864"/>
      <c r="C2" s="831" t="str">
        <f>HYPERLINK("#'Budget Summary I'!A1:AL1", "Budget Summary I")</f>
        <v>Budget Summary I</v>
      </c>
      <c r="D2" s="2162"/>
      <c r="E2" s="2153" t="s">
        <v>4608</v>
      </c>
      <c r="F2" s="177">
        <f>R6+R8+R10+R13+R16+R22</f>
        <v>0</v>
      </c>
      <c r="G2" s="1100"/>
      <c r="H2" s="1100"/>
      <c r="I2" s="1104"/>
      <c r="J2" s="1103"/>
      <c r="K2" s="2049"/>
      <c r="L2" s="2049"/>
      <c r="M2" s="1103"/>
      <c r="O2" s="2161"/>
      <c r="P2" s="2177"/>
      <c r="R2" s="2161"/>
    </row>
    <row r="3" spans="1:18" s="2159" customFormat="1" x14ac:dyDescent="0.25">
      <c r="A3" s="1863"/>
      <c r="B3" s="1864"/>
      <c r="C3" s="1937" t="str">
        <f>HYPERLINK("#'Budget Summary II'!A3:B5", "Budget Summary II")</f>
        <v>Budget Summary II</v>
      </c>
      <c r="D3" s="2176"/>
      <c r="E3" s="2158" t="s">
        <v>4609</v>
      </c>
      <c r="F3" s="725">
        <f>O6+O8+O10+O13+O16+O22</f>
        <v>0</v>
      </c>
      <c r="G3" s="1100"/>
      <c r="H3" s="1100"/>
      <c r="I3" s="1104"/>
      <c r="J3" s="1103"/>
      <c r="K3" s="2049"/>
      <c r="L3" s="2049"/>
      <c r="M3" s="1103"/>
      <c r="O3" s="2161"/>
      <c r="P3" s="2177"/>
      <c r="R3" s="2161"/>
    </row>
    <row r="4" spans="1:18" ht="14.45" customHeigh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ht="60"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1945" t="s">
        <v>63</v>
      </c>
      <c r="Q5" s="899" t="s">
        <v>2540</v>
      </c>
      <c r="R5" s="900" t="s">
        <v>4671</v>
      </c>
    </row>
    <row r="6" spans="1:18" x14ac:dyDescent="0.2">
      <c r="A6" s="840">
        <f>'1.SD Facility Based Annex'!A7</f>
        <v>1</v>
      </c>
      <c r="B6" s="840">
        <f>'1.SD Facility Based Annex'!B7</f>
        <v>0</v>
      </c>
      <c r="C6" s="840" t="str">
        <f>'1.SD Facility Based Annex'!C7</f>
        <v>Service Delivery - Facility Based</v>
      </c>
      <c r="D6" s="840"/>
      <c r="E6" s="840"/>
      <c r="F6" s="840"/>
      <c r="G6" s="840"/>
      <c r="H6" s="840"/>
      <c r="I6" s="840"/>
      <c r="J6" s="840"/>
      <c r="K6" s="840"/>
      <c r="L6" s="840"/>
      <c r="M6" s="841"/>
      <c r="N6" s="840"/>
      <c r="O6" s="841">
        <f>O7</f>
        <v>0</v>
      </c>
      <c r="P6" s="840"/>
      <c r="Q6" s="840"/>
      <c r="R6" s="841">
        <f>R7</f>
        <v>0</v>
      </c>
    </row>
    <row r="7" spans="1:18" ht="30" x14ac:dyDescent="0.2">
      <c r="A7" s="103" t="str">
        <f>+'1.SD Facility Based Annex'!A114</f>
        <v>1.3.2.5</v>
      </c>
      <c r="B7" s="103" t="str">
        <f>+'1.SD Facility Based Annex'!B114</f>
        <v>B.27.1.3</v>
      </c>
      <c r="C7" s="103" t="str">
        <f>+'1.SD Facility Based Annex'!C114</f>
        <v>Miscellaneous including Travel/ POL/ Stationary/ Communications/ Drugs etc.</v>
      </c>
      <c r="D7" s="103" t="str">
        <f>+'1.SD Facility Based Annex'!D114</f>
        <v>NCD</v>
      </c>
      <c r="E7" s="103" t="str">
        <f>+'1.SD Facility Based Annex'!E114</f>
        <v>NPPC</v>
      </c>
      <c r="F7" s="103">
        <f>+'1.SD Facility Based Annex'!F114</f>
        <v>0</v>
      </c>
      <c r="G7" s="103">
        <f>+'1.SD Facility Based Annex'!G114</f>
        <v>0</v>
      </c>
      <c r="H7" s="103">
        <f>+'1.SD Facility Based Annex'!H114</f>
        <v>0</v>
      </c>
      <c r="I7" s="103">
        <f>+'1.SD Facility Based Annex'!I114</f>
        <v>0</v>
      </c>
      <c r="J7" s="103">
        <f>+'1.SD Facility Based Annex'!J114</f>
        <v>0</v>
      </c>
      <c r="K7" s="103">
        <f>+'1.SD Facility Based Annex'!K114</f>
        <v>0</v>
      </c>
      <c r="L7" s="103">
        <f>+'1.SD Facility Based Annex'!L114</f>
        <v>0</v>
      </c>
      <c r="M7" s="675">
        <f>+'1.SD Facility Based Annex'!M114</f>
        <v>0</v>
      </c>
      <c r="N7" s="103">
        <f>+'1.SD Facility Based Annex'!N114</f>
        <v>0</v>
      </c>
      <c r="O7" s="675">
        <f>+'1.SD Facility Based Annex'!O114</f>
        <v>0</v>
      </c>
      <c r="P7" s="103">
        <f>+'1.SD Facility Based Annex'!P114</f>
        <v>0</v>
      </c>
      <c r="Q7" s="67"/>
      <c r="R7" s="1445"/>
    </row>
    <row r="8" spans="1:18" x14ac:dyDescent="0.2">
      <c r="A8" s="1465">
        <f>'5.Infrastructure Annex'!A7</f>
        <v>5</v>
      </c>
      <c r="B8" s="1465"/>
      <c r="C8" s="1465" t="str">
        <f>'5.Infrastructure Annex'!C7</f>
        <v>Infrastructure</v>
      </c>
      <c r="D8" s="1410"/>
      <c r="E8" s="1410"/>
      <c r="F8" s="1410"/>
      <c r="G8" s="1410"/>
      <c r="H8" s="528"/>
      <c r="I8" s="1410"/>
      <c r="J8" s="528"/>
      <c r="K8" s="1465"/>
      <c r="L8" s="1465"/>
      <c r="M8" s="528"/>
      <c r="N8" s="845"/>
      <c r="O8" s="841">
        <f>O9</f>
        <v>0</v>
      </c>
      <c r="P8" s="844"/>
      <c r="Q8" s="703"/>
      <c r="R8" s="170">
        <f>R9</f>
        <v>0</v>
      </c>
    </row>
    <row r="9" spans="1:18" ht="30" x14ac:dyDescent="0.2">
      <c r="A9" s="103" t="str">
        <f>+'5.Infrastructure Annex'!A24</f>
        <v>5.1.1.2.3</v>
      </c>
      <c r="B9" s="103" t="str">
        <f>+'5.Infrastructure Annex'!B24</f>
        <v>B.27.1.4</v>
      </c>
      <c r="C9" s="103" t="str">
        <f>+'5.Infrastructure Annex'!C24</f>
        <v>Renovation of PC unit/ OPD/ Beds/ Miscellaneous equipment etc.</v>
      </c>
      <c r="D9" s="103" t="str">
        <f>+'5.Infrastructure Annex'!D24</f>
        <v>NCD</v>
      </c>
      <c r="E9" s="103" t="str">
        <f>+'5.Infrastructure Annex'!E24</f>
        <v>NPPC</v>
      </c>
      <c r="F9" s="103">
        <f>+'5.Infrastructure Annex'!F24</f>
        <v>0</v>
      </c>
      <c r="G9" s="103">
        <f>+'5.Infrastructure Annex'!G24</f>
        <v>0</v>
      </c>
      <c r="H9" s="103">
        <f>+'5.Infrastructure Annex'!H24</f>
        <v>0</v>
      </c>
      <c r="I9" s="103">
        <f>+'5.Infrastructure Annex'!I24</f>
        <v>0</v>
      </c>
      <c r="J9" s="103">
        <f>+'5.Infrastructure Annex'!J24</f>
        <v>0</v>
      </c>
      <c r="K9" s="103">
        <f>+'5.Infrastructure Annex'!K24</f>
        <v>0</v>
      </c>
      <c r="L9" s="103">
        <f>+'5.Infrastructure Annex'!L24</f>
        <v>0</v>
      </c>
      <c r="M9" s="675">
        <f>+'5.Infrastructure Annex'!M24</f>
        <v>0</v>
      </c>
      <c r="N9" s="103">
        <f>+'5.Infrastructure Annex'!N24</f>
        <v>0</v>
      </c>
      <c r="O9" s="675">
        <f>+'5.Infrastructure Annex'!O24</f>
        <v>0</v>
      </c>
      <c r="P9" s="103">
        <f>+'5.Infrastructure Annex'!P24</f>
        <v>0</v>
      </c>
      <c r="Q9" s="171"/>
      <c r="R9" s="159"/>
    </row>
    <row r="10" spans="1:18" x14ac:dyDescent="0.2">
      <c r="A10" s="1754">
        <f>'6.Procurement Annex'!A7</f>
        <v>6</v>
      </c>
      <c r="B10" s="1754"/>
      <c r="C10" s="1754" t="str">
        <f>'6.Procurement Annex'!C7</f>
        <v>Procurement</v>
      </c>
      <c r="D10" s="1755"/>
      <c r="E10" s="1755"/>
      <c r="F10" s="1755"/>
      <c r="G10" s="1755"/>
      <c r="H10" s="528"/>
      <c r="I10" s="1755"/>
      <c r="J10" s="528"/>
      <c r="K10" s="1754"/>
      <c r="L10" s="1754"/>
      <c r="M10" s="528"/>
      <c r="N10" s="845"/>
      <c r="O10" s="841">
        <f>SUM(O11:O12)</f>
        <v>0</v>
      </c>
      <c r="P10" s="844"/>
      <c r="Q10" s="703"/>
      <c r="R10" s="170">
        <f>SUM(R11:R12)</f>
        <v>0</v>
      </c>
    </row>
    <row r="11" spans="1:18" x14ac:dyDescent="0.2">
      <c r="A11" s="4076" t="str">
        <f>'6.Procurement Annex'!A44</f>
        <v>6.1.5.9</v>
      </c>
      <c r="B11" s="103" t="str">
        <f>'6-A. Proc. Sub-Annex'!C130</f>
        <v>B.27.1.4</v>
      </c>
      <c r="C11" s="103" t="str">
        <f>'6-A. Proc. Sub-Annex'!D130</f>
        <v>Equipment</v>
      </c>
      <c r="D11" s="103" t="str">
        <f>'6-A. Proc. Sub-Annex'!E130</f>
        <v>NCD</v>
      </c>
      <c r="E11" s="103" t="str">
        <f>'6-A. Proc. Sub-Annex'!F130</f>
        <v>NPPC</v>
      </c>
      <c r="F11" s="103">
        <f>'6-A. Proc. Sub-Annex'!G130</f>
        <v>0</v>
      </c>
      <c r="G11" s="103">
        <f>'6-A. Proc. Sub-Annex'!H130</f>
        <v>0</v>
      </c>
      <c r="H11" s="103">
        <f>'6-A. Proc. Sub-Annex'!I130</f>
        <v>0</v>
      </c>
      <c r="I11" s="103">
        <f>'6-A. Proc. Sub-Annex'!J130</f>
        <v>0</v>
      </c>
      <c r="J11" s="103">
        <f>'6-A. Proc. Sub-Annex'!K130</f>
        <v>0</v>
      </c>
      <c r="K11" s="103">
        <f>'6-A. Proc. Sub-Annex'!L130</f>
        <v>0</v>
      </c>
      <c r="L11" s="103">
        <f>'6-A. Proc. Sub-Annex'!M130</f>
        <v>0</v>
      </c>
      <c r="M11" s="675">
        <f>'6-A. Proc. Sub-Annex'!N130</f>
        <v>0</v>
      </c>
      <c r="N11" s="103">
        <f>'6-A. Proc. Sub-Annex'!O130</f>
        <v>0</v>
      </c>
      <c r="O11" s="675">
        <f>'6-A. Proc. Sub-Annex'!P130</f>
        <v>0</v>
      </c>
      <c r="P11" s="103">
        <f>'6-A. Proc. Sub-Annex'!Q130</f>
        <v>0</v>
      </c>
      <c r="Q11" s="171"/>
      <c r="R11" s="159"/>
    </row>
    <row r="12" spans="1:18" x14ac:dyDescent="0.2">
      <c r="A12" s="4076"/>
      <c r="B12" s="103">
        <f>'6-A. Proc. Sub-Annex'!C131</f>
        <v>0</v>
      </c>
      <c r="C12" s="103" t="str">
        <f>'6-A. Proc. Sub-Annex'!D131</f>
        <v>Any other equipment (please specify)</v>
      </c>
      <c r="D12" s="103" t="str">
        <f>'6-A. Proc. Sub-Annex'!E131</f>
        <v>NCD</v>
      </c>
      <c r="E12" s="103" t="str">
        <f>'6-A. Proc. Sub-Annex'!F131</f>
        <v>NPPC</v>
      </c>
      <c r="F12" s="103">
        <f>'6-A. Proc. Sub-Annex'!G131</f>
        <v>0</v>
      </c>
      <c r="G12" s="103">
        <f>'6-A. Proc. Sub-Annex'!H131</f>
        <v>0</v>
      </c>
      <c r="H12" s="103">
        <f>'6-A. Proc. Sub-Annex'!I131</f>
        <v>0</v>
      </c>
      <c r="I12" s="103">
        <f>'6-A. Proc. Sub-Annex'!J131</f>
        <v>0</v>
      </c>
      <c r="J12" s="103">
        <f>'6-A. Proc. Sub-Annex'!K131</f>
        <v>0</v>
      </c>
      <c r="K12" s="103">
        <f>'6-A. Proc. Sub-Annex'!L131</f>
        <v>0</v>
      </c>
      <c r="L12" s="103">
        <f>'6-A. Proc. Sub-Annex'!M131</f>
        <v>0</v>
      </c>
      <c r="M12" s="675">
        <f>'6-A. Proc. Sub-Annex'!N131</f>
        <v>0</v>
      </c>
      <c r="N12" s="103">
        <f>'6-A. Proc. Sub-Annex'!O131</f>
        <v>0</v>
      </c>
      <c r="O12" s="675">
        <f>'6-A. Proc. Sub-Annex'!P131</f>
        <v>0</v>
      </c>
      <c r="P12" s="103">
        <f>'6-A. Proc. Sub-Annex'!Q131</f>
        <v>0</v>
      </c>
      <c r="Q12" s="171"/>
      <c r="R12" s="159"/>
    </row>
    <row r="13" spans="1:18" x14ac:dyDescent="0.2">
      <c r="A13" s="1465">
        <f>'9.Training Annex'!A7</f>
        <v>9</v>
      </c>
      <c r="B13" s="1465"/>
      <c r="C13" s="1465" t="str">
        <f>'9.Training Annex'!C7</f>
        <v>Training and Capacity Building</v>
      </c>
      <c r="D13" s="1410"/>
      <c r="E13" s="1410"/>
      <c r="F13" s="1410"/>
      <c r="G13" s="1410"/>
      <c r="H13" s="528"/>
      <c r="I13" s="1410"/>
      <c r="J13" s="528"/>
      <c r="K13" s="1465"/>
      <c r="L13" s="1465"/>
      <c r="M13" s="528"/>
      <c r="N13" s="845"/>
      <c r="O13" s="841">
        <f>SUM(O14:O15)</f>
        <v>0</v>
      </c>
      <c r="P13" s="844"/>
      <c r="Q13" s="703"/>
      <c r="R13" s="170">
        <f>SUM(R14:R15)</f>
        <v>0</v>
      </c>
    </row>
    <row r="14" spans="1:18" ht="45" x14ac:dyDescent="0.2">
      <c r="A14" s="4076" t="str">
        <f>'9.Training Annex'!A61</f>
        <v>9.2.4.7</v>
      </c>
      <c r="B14" s="103" t="str">
        <f>'9-A.Training Sub-Annex'!C273</f>
        <v>B.27.1.2</v>
      </c>
      <c r="C14" s="103" t="str">
        <f>'9-A.Training Sub-Annex'!D273</f>
        <v>Training of PHC Medical Officers, nurses, Paramedical Workers &amp; Other Health Staff under NPPC</v>
      </c>
      <c r="D14" s="103" t="str">
        <f>'9-A.Training Sub-Annex'!E273</f>
        <v>NCD</v>
      </c>
      <c r="E14" s="103" t="str">
        <f>'9-A.Training Sub-Annex'!F273</f>
        <v>NPPC</v>
      </c>
      <c r="F14" s="103">
        <f>'9-A.Training Sub-Annex'!G273</f>
        <v>0</v>
      </c>
      <c r="G14" s="103">
        <f>'9-A.Training Sub-Annex'!H273</f>
        <v>0</v>
      </c>
      <c r="H14" s="103">
        <f>'9-A.Training Sub-Annex'!I273</f>
        <v>0</v>
      </c>
      <c r="I14" s="103">
        <f>'9-A.Training Sub-Annex'!J273</f>
        <v>0</v>
      </c>
      <c r="J14" s="103">
        <f>'9-A.Training Sub-Annex'!K273</f>
        <v>0</v>
      </c>
      <c r="K14" s="103">
        <f>'9-A.Training Sub-Annex'!L273</f>
        <v>0</v>
      </c>
      <c r="L14" s="103">
        <f>'9-A.Training Sub-Annex'!M273</f>
        <v>0</v>
      </c>
      <c r="M14" s="675">
        <f>'9-A.Training Sub-Annex'!N273</f>
        <v>0</v>
      </c>
      <c r="N14" s="103">
        <f>'9-A.Training Sub-Annex'!O273</f>
        <v>0</v>
      </c>
      <c r="O14" s="675">
        <f>'9-A.Training Sub-Annex'!P273</f>
        <v>0</v>
      </c>
      <c r="P14" s="103">
        <f>'9-A.Training Sub-Annex'!Q273</f>
        <v>0</v>
      </c>
      <c r="Q14" s="171"/>
      <c r="R14" s="159"/>
    </row>
    <row r="15" spans="1:18" x14ac:dyDescent="0.2">
      <c r="A15" s="4076"/>
      <c r="B15" s="103">
        <f>'9-A.Training Sub-Annex'!C274</f>
        <v>0</v>
      </c>
      <c r="C15" s="103" t="str">
        <f>'9-A.Training Sub-Annex'!D274</f>
        <v>Any other (please specify)</v>
      </c>
      <c r="D15" s="103" t="str">
        <f>'9-A.Training Sub-Annex'!E274</f>
        <v>NCD</v>
      </c>
      <c r="E15" s="103" t="str">
        <f>'9-A.Training Sub-Annex'!F274</f>
        <v>NPPC</v>
      </c>
      <c r="F15" s="103">
        <f>'9-A.Training Sub-Annex'!G274</f>
        <v>0</v>
      </c>
      <c r="G15" s="103">
        <f>'9-A.Training Sub-Annex'!H274</f>
        <v>0</v>
      </c>
      <c r="H15" s="103">
        <f>'9-A.Training Sub-Annex'!I274</f>
        <v>0</v>
      </c>
      <c r="I15" s="103">
        <f>'9-A.Training Sub-Annex'!J274</f>
        <v>0</v>
      </c>
      <c r="J15" s="103">
        <f>'9-A.Training Sub-Annex'!K274</f>
        <v>0</v>
      </c>
      <c r="K15" s="103">
        <f>'9-A.Training Sub-Annex'!L274</f>
        <v>0</v>
      </c>
      <c r="L15" s="103">
        <f>'9-A.Training Sub-Annex'!M274</f>
        <v>0</v>
      </c>
      <c r="M15" s="675">
        <f>'9-A.Training Sub-Annex'!N274</f>
        <v>0</v>
      </c>
      <c r="N15" s="103">
        <f>'9-A.Training Sub-Annex'!O274</f>
        <v>0</v>
      </c>
      <c r="O15" s="675">
        <f>'9-A.Training Sub-Annex'!P274</f>
        <v>0</v>
      </c>
      <c r="P15" s="103">
        <f>'9-A.Training Sub-Annex'!Q274</f>
        <v>0</v>
      </c>
      <c r="Q15" s="171"/>
      <c r="R15" s="159"/>
    </row>
    <row r="16" spans="1:18" x14ac:dyDescent="0.2">
      <c r="A16" s="1754">
        <f>'11.IEC-BCC Annex'!A7</f>
        <v>11</v>
      </c>
      <c r="B16" s="1754"/>
      <c r="C16" s="1754" t="str">
        <f>'11.IEC-BCC Annex'!C7</f>
        <v>IEC/BCC</v>
      </c>
      <c r="D16" s="1755"/>
      <c r="E16" s="1755"/>
      <c r="F16" s="1755"/>
      <c r="G16" s="1755"/>
      <c r="H16" s="528"/>
      <c r="I16" s="1755"/>
      <c r="J16" s="528"/>
      <c r="K16" s="1754"/>
      <c r="L16" s="1754"/>
      <c r="M16" s="528"/>
      <c r="N16" s="845"/>
      <c r="O16" s="841">
        <f>SUM(O17:O19)</f>
        <v>0</v>
      </c>
      <c r="P16" s="844"/>
      <c r="Q16" s="703"/>
      <c r="R16" s="170">
        <f>SUM(R17:R19)</f>
        <v>0</v>
      </c>
    </row>
    <row r="17" spans="1:18" x14ac:dyDescent="0.2">
      <c r="A17" s="4076" t="str">
        <f>'11.IEC-BCC Annex'!A41</f>
        <v>11.4.10</v>
      </c>
      <c r="B17" s="103" t="str">
        <f>+'11-A. IEC Sub-Annex'!C101</f>
        <v>B.27.1.3</v>
      </c>
      <c r="C17" s="103" t="str">
        <f>+'11-A. IEC Sub-Annex'!D101</f>
        <v>IEC for DH</v>
      </c>
      <c r="D17" s="103" t="str">
        <f>+'11-A. IEC Sub-Annex'!E101</f>
        <v>NCD</v>
      </c>
      <c r="E17" s="103" t="str">
        <f>+'11-A. IEC Sub-Annex'!F101</f>
        <v>NPPC</v>
      </c>
      <c r="F17" s="103">
        <f>+'11-A. IEC Sub-Annex'!G101</f>
        <v>0</v>
      </c>
      <c r="G17" s="103">
        <f>+'11-A. IEC Sub-Annex'!H101</f>
        <v>0</v>
      </c>
      <c r="H17" s="103">
        <f>+'11-A. IEC Sub-Annex'!I101</f>
        <v>0</v>
      </c>
      <c r="I17" s="103">
        <f>+'11-A. IEC Sub-Annex'!J101</f>
        <v>0</v>
      </c>
      <c r="J17" s="103">
        <f>+'11-A. IEC Sub-Annex'!K101</f>
        <v>0</v>
      </c>
      <c r="K17" s="103">
        <f>+'11-A. IEC Sub-Annex'!L101</f>
        <v>0</v>
      </c>
      <c r="L17" s="103">
        <f>+'11-A. IEC Sub-Annex'!M101</f>
        <v>0</v>
      </c>
      <c r="M17" s="675">
        <f>+'11-A. IEC Sub-Annex'!N101</f>
        <v>0</v>
      </c>
      <c r="N17" s="103">
        <f>+'11-A. IEC Sub-Annex'!O101</f>
        <v>0</v>
      </c>
      <c r="O17" s="675">
        <f>+'11-A. IEC Sub-Annex'!P101</f>
        <v>0</v>
      </c>
      <c r="P17" s="103">
        <f>+'11-A. IEC Sub-Annex'!Q101</f>
        <v>0</v>
      </c>
      <c r="Q17" s="171"/>
      <c r="R17" s="159"/>
    </row>
    <row r="18" spans="1:18" x14ac:dyDescent="0.2">
      <c r="A18" s="4076"/>
      <c r="B18" s="103" t="str">
        <f>+'11-A. IEC Sub-Annex'!C102</f>
        <v>B.27.2.2</v>
      </c>
      <c r="C18" s="103" t="str">
        <f>+'11-A. IEC Sub-Annex'!D102</f>
        <v>IEC for State Palliative care cell</v>
      </c>
      <c r="D18" s="103" t="str">
        <f>+'11-A. IEC Sub-Annex'!E102</f>
        <v>NCD</v>
      </c>
      <c r="E18" s="103" t="str">
        <f>+'11-A. IEC Sub-Annex'!F102</f>
        <v>NPPC</v>
      </c>
      <c r="F18" s="103">
        <f>+'11-A. IEC Sub-Annex'!G102</f>
        <v>0</v>
      </c>
      <c r="G18" s="103">
        <f>+'11-A. IEC Sub-Annex'!H102</f>
        <v>0</v>
      </c>
      <c r="H18" s="103">
        <f>+'11-A. IEC Sub-Annex'!I102</f>
        <v>0</v>
      </c>
      <c r="I18" s="103">
        <f>+'11-A. IEC Sub-Annex'!J102</f>
        <v>0</v>
      </c>
      <c r="J18" s="103">
        <f>+'11-A. IEC Sub-Annex'!K102</f>
        <v>0</v>
      </c>
      <c r="K18" s="103">
        <f>+'11-A. IEC Sub-Annex'!L102</f>
        <v>0</v>
      </c>
      <c r="L18" s="103">
        <f>+'11-A. IEC Sub-Annex'!M102</f>
        <v>0</v>
      </c>
      <c r="M18" s="675">
        <f>+'11-A. IEC Sub-Annex'!N102</f>
        <v>0</v>
      </c>
      <c r="N18" s="103">
        <f>+'11-A. IEC Sub-Annex'!O102</f>
        <v>0</v>
      </c>
      <c r="O18" s="675">
        <f>+'11-A. IEC Sub-Annex'!P102</f>
        <v>0</v>
      </c>
      <c r="P18" s="103">
        <f>+'11-A. IEC Sub-Annex'!Q102</f>
        <v>0</v>
      </c>
      <c r="Q18" s="171"/>
      <c r="R18" s="159"/>
    </row>
    <row r="19" spans="1:18" x14ac:dyDescent="0.2">
      <c r="A19" s="4076"/>
      <c r="B19" s="103">
        <f>+'11-A. IEC Sub-Annex'!C103</f>
        <v>0</v>
      </c>
      <c r="C19" s="103" t="str">
        <f>+'11-A. IEC Sub-Annex'!D103</f>
        <v>Any other IEC/BCC activities (please specify)</v>
      </c>
      <c r="D19" s="103" t="str">
        <f>+'11-A. IEC Sub-Annex'!E103</f>
        <v>NCD</v>
      </c>
      <c r="E19" s="103" t="str">
        <f>+'11-A. IEC Sub-Annex'!F103</f>
        <v>NPPC</v>
      </c>
      <c r="F19" s="103">
        <f>+'11-A. IEC Sub-Annex'!G103</f>
        <v>0</v>
      </c>
      <c r="G19" s="103">
        <f>+'11-A. IEC Sub-Annex'!H103</f>
        <v>0</v>
      </c>
      <c r="H19" s="103">
        <f>+'11-A. IEC Sub-Annex'!I103</f>
        <v>0</v>
      </c>
      <c r="I19" s="103">
        <f>+'11-A. IEC Sub-Annex'!J103</f>
        <v>0</v>
      </c>
      <c r="J19" s="103">
        <f>+'11-A. IEC Sub-Annex'!K103</f>
        <v>0</v>
      </c>
      <c r="K19" s="103">
        <f>+'11-A. IEC Sub-Annex'!L103</f>
        <v>0</v>
      </c>
      <c r="L19" s="103">
        <f>+'11-A. IEC Sub-Annex'!M103</f>
        <v>0</v>
      </c>
      <c r="M19" s="675">
        <f>+'11-A. IEC Sub-Annex'!N103</f>
        <v>0</v>
      </c>
      <c r="N19" s="103">
        <f>+'11-A. IEC Sub-Annex'!O103</f>
        <v>0</v>
      </c>
      <c r="O19" s="675">
        <f>+'11-A. IEC Sub-Annex'!P103</f>
        <v>0</v>
      </c>
      <c r="P19" s="103">
        <f>+'11-A. IEC Sub-Annex'!Q103</f>
        <v>0</v>
      </c>
      <c r="Q19" s="171"/>
      <c r="R19" s="159"/>
    </row>
    <row r="20" spans="1:18" x14ac:dyDescent="0.2">
      <c r="A20" s="1754">
        <f>'12.Printing Annex'!A7</f>
        <v>12</v>
      </c>
      <c r="B20" s="1754"/>
      <c r="C20" s="1754" t="str">
        <f>'12.Printing Annex'!C7</f>
        <v>Printing</v>
      </c>
      <c r="D20" s="1755"/>
      <c r="E20" s="1755"/>
      <c r="F20" s="1755"/>
      <c r="G20" s="1755"/>
      <c r="H20" s="528"/>
      <c r="I20" s="1755"/>
      <c r="J20" s="528"/>
      <c r="K20" s="1754"/>
      <c r="L20" s="1754"/>
      <c r="M20" s="528"/>
      <c r="N20" s="845"/>
      <c r="O20" s="841">
        <f>SUM(O21:O23)</f>
        <v>0</v>
      </c>
      <c r="P20" s="844"/>
      <c r="Q20" s="703"/>
      <c r="R20" s="170">
        <f>SUM(R21:R23)</f>
        <v>0</v>
      </c>
    </row>
    <row r="21" spans="1:18" x14ac:dyDescent="0.2">
      <c r="A21" s="103" t="str">
        <f>'12.Printing Annex'!A44</f>
        <v>12.4.11</v>
      </c>
      <c r="B21" s="103">
        <f>'12-A. Print Sub-Annex'!C108</f>
        <v>0</v>
      </c>
      <c r="C21" s="103" t="str">
        <f>'12-A. Print Sub-Annex'!D108</f>
        <v>Printing activities under NPPC</v>
      </c>
      <c r="D21" s="103" t="str">
        <f>'12-A. Print Sub-Annex'!E108</f>
        <v>NCD</v>
      </c>
      <c r="E21" s="103" t="str">
        <f>'12-A. Print Sub-Annex'!F108</f>
        <v>NPPC</v>
      </c>
      <c r="F21" s="103">
        <f>'12-A. Print Sub-Annex'!G108</f>
        <v>0</v>
      </c>
      <c r="G21" s="103">
        <f>'12-A. Print Sub-Annex'!H108</f>
        <v>0</v>
      </c>
      <c r="H21" s="103">
        <f>'12-A. Print Sub-Annex'!I108</f>
        <v>0</v>
      </c>
      <c r="I21" s="103">
        <f>'12-A. Print Sub-Annex'!J108</f>
        <v>0</v>
      </c>
      <c r="J21" s="103">
        <f>'12-A. Print Sub-Annex'!K108</f>
        <v>0</v>
      </c>
      <c r="K21" s="103">
        <f>'12-A. Print Sub-Annex'!L108</f>
        <v>0</v>
      </c>
      <c r="L21" s="103">
        <f>'12-A. Print Sub-Annex'!M108</f>
        <v>0</v>
      </c>
      <c r="M21" s="675">
        <f>'12-A. Print Sub-Annex'!N108</f>
        <v>0</v>
      </c>
      <c r="N21" s="103">
        <f>'12-A. Print Sub-Annex'!O108</f>
        <v>0</v>
      </c>
      <c r="O21" s="675">
        <f>'12-A. Print Sub-Annex'!P108</f>
        <v>0</v>
      </c>
      <c r="P21" s="103">
        <f>'12-A. Print Sub-Annex'!Q108</f>
        <v>0</v>
      </c>
      <c r="Q21" s="171"/>
      <c r="R21" s="159"/>
    </row>
    <row r="22" spans="1:18" x14ac:dyDescent="0.2">
      <c r="A22" s="844">
        <f>'16.PM Annex'!A7</f>
        <v>16</v>
      </c>
      <c r="B22" s="844">
        <f>'16.PM Annex'!B7</f>
        <v>0</v>
      </c>
      <c r="C22" s="844" t="str">
        <f>'16.PM Annex'!C7</f>
        <v>Programme Management</v>
      </c>
      <c r="D22" s="845"/>
      <c r="E22" s="845"/>
      <c r="F22" s="845"/>
      <c r="G22" s="845"/>
      <c r="H22" s="528"/>
      <c r="I22" s="845"/>
      <c r="J22" s="528"/>
      <c r="K22" s="844"/>
      <c r="L22" s="844"/>
      <c r="M22" s="528"/>
      <c r="N22" s="845"/>
      <c r="O22" s="841">
        <f>O23</f>
        <v>0</v>
      </c>
      <c r="P22" s="844"/>
      <c r="Q22" s="703"/>
      <c r="R22" s="170">
        <f>R23</f>
        <v>0</v>
      </c>
    </row>
    <row r="23" spans="1:18" ht="30" x14ac:dyDescent="0.2">
      <c r="A23" s="103" t="str">
        <f>'16-A. PM sub Annex'!B138</f>
        <v>16.1.4.2.2</v>
      </c>
      <c r="B23" s="103" t="str">
        <f>'16-A. PM sub Annex'!D138</f>
        <v>B.29.1.2</v>
      </c>
      <c r="C23" s="103" t="str">
        <f>'16-A. PM sub Annex'!E138</f>
        <v>Contingencies under NPPCF</v>
      </c>
      <c r="D23" s="103" t="str">
        <f>'16-A. PM sub Annex'!F138</f>
        <v>NCD</v>
      </c>
      <c r="E23" s="103" t="str">
        <f>'16-A. PM sub Annex'!G138</f>
        <v>HRH&amp;HPIP/ NPPC</v>
      </c>
      <c r="F23" s="103">
        <f>'16-A. PM sub Annex'!H138</f>
        <v>0</v>
      </c>
      <c r="G23" s="103">
        <f>'16-A. PM sub Annex'!I138</f>
        <v>0</v>
      </c>
      <c r="H23" s="103">
        <f>'16-A. PM sub Annex'!J138</f>
        <v>0</v>
      </c>
      <c r="I23" s="103">
        <f>'16-A. PM sub Annex'!K138</f>
        <v>0</v>
      </c>
      <c r="J23" s="103">
        <f>'16-A. PM sub Annex'!L138</f>
        <v>0</v>
      </c>
      <c r="K23" s="103">
        <f>'16-A. PM sub Annex'!M138</f>
        <v>0</v>
      </c>
      <c r="L23" s="103">
        <f>'16-A. PM sub Annex'!N138</f>
        <v>0</v>
      </c>
      <c r="M23" s="675">
        <f>'16-A. PM sub Annex'!O138</f>
        <v>0</v>
      </c>
      <c r="N23" s="103">
        <f>'16-A. PM sub Annex'!P138</f>
        <v>0</v>
      </c>
      <c r="O23" s="675">
        <f>'16-A. PM sub Annex'!Q138</f>
        <v>0</v>
      </c>
      <c r="P23" s="103">
        <f>'16-A. PM sub Annex'!R138</f>
        <v>0</v>
      </c>
      <c r="Q23" s="171"/>
      <c r="R23" s="159"/>
    </row>
  </sheetData>
  <sheetProtection sheet="1" formatCells="0" formatColumns="0" formatRows="0" autoFilter="0"/>
  <autoFilter ref="A5:M23"/>
  <mergeCells count="12">
    <mergeCell ref="A11:A12"/>
    <mergeCell ref="A14:A15"/>
    <mergeCell ref="A17:A19"/>
    <mergeCell ref="Q4:R4"/>
    <mergeCell ref="E4:E5"/>
    <mergeCell ref="F4:J4"/>
    <mergeCell ref="K4:P4"/>
    <mergeCell ref="A1:C1"/>
    <mergeCell ref="A4:A5"/>
    <mergeCell ref="B4:B5"/>
    <mergeCell ref="C4:C5"/>
    <mergeCell ref="D4:D5"/>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7" tint="0.79998168889431442"/>
  </sheetPr>
  <dimension ref="A1:R12"/>
  <sheetViews>
    <sheetView zoomScale="70" zoomScaleNormal="70" workbookViewId="0">
      <pane xSplit="3" ySplit="5" topLeftCell="D6" activePane="bottomRight" state="frozen"/>
      <selection activeCell="A4" sqref="A4:R11"/>
      <selection pane="topRight" activeCell="A4" sqref="A4:R11"/>
      <selection pane="bottomLeft" activeCell="A4" sqref="A4:R11"/>
      <selection pane="bottomRight" activeCell="Q9" sqref="Q9"/>
    </sheetView>
  </sheetViews>
  <sheetFormatPr defaultColWidth="10.5703125" defaultRowHeight="15" x14ac:dyDescent="0.2"/>
  <cols>
    <col min="1" max="1" width="10.7109375" style="1825" bestFit="1" customWidth="1"/>
    <col min="2" max="2" width="16.85546875" style="1825" hidden="1" customWidth="1"/>
    <col min="3" max="3" width="45.5703125" style="1825" bestFit="1" customWidth="1"/>
    <col min="4" max="4" width="4.85546875" style="1196" hidden="1" customWidth="1"/>
    <col min="5" max="5" width="17.140625" style="1196" hidden="1" customWidth="1"/>
    <col min="6" max="6" width="17.85546875" style="1196" hidden="1" customWidth="1"/>
    <col min="7" max="7" width="14" style="1196" hidden="1" customWidth="1"/>
    <col min="8" max="8" width="9.140625" style="1196" hidden="1" customWidth="1"/>
    <col min="9" max="9" width="10" style="1196" hidden="1" customWidth="1"/>
    <col min="10" max="10" width="8.28515625" style="1196" hidden="1" customWidth="1"/>
    <col min="11" max="11" width="11.5703125" style="1963" hidden="1" customWidth="1"/>
    <col min="12" max="12" width="11.7109375" style="1963" customWidth="1"/>
    <col min="13" max="13" width="11.85546875" style="1089" hidden="1" customWidth="1"/>
    <col min="14" max="14" width="10.5703125" style="1963"/>
    <col min="15" max="15" width="10.5703125" style="1986"/>
    <col min="16" max="16" width="41.28515625" style="3348" hidden="1" customWidth="1"/>
    <col min="17" max="17" width="48.5703125" style="1963" customWidth="1"/>
    <col min="18" max="18" width="10.5703125" style="1986"/>
    <col min="19" max="16384" width="10.5703125" style="1963"/>
  </cols>
  <sheetData>
    <row r="1" spans="1:18" s="2026" customFormat="1" x14ac:dyDescent="0.2">
      <c r="A1" s="4075" t="s">
        <v>3967</v>
      </c>
      <c r="B1" s="4075"/>
      <c r="C1" s="4075"/>
      <c r="D1" s="2199"/>
      <c r="E1" s="893"/>
      <c r="F1" s="2025" t="s">
        <v>4783</v>
      </c>
      <c r="G1" s="2199"/>
      <c r="H1" s="2199"/>
      <c r="I1" s="2199"/>
      <c r="J1" s="2199"/>
      <c r="K1" s="2199"/>
      <c r="L1" s="2199"/>
      <c r="M1" s="2200"/>
      <c r="O1" s="2027"/>
      <c r="P1" s="940"/>
      <c r="R1" s="2027"/>
    </row>
    <row r="2" spans="1:18" s="2026" customFormat="1" x14ac:dyDescent="0.25">
      <c r="A2" s="1859" t="str">
        <f>HYPERLINK("#Index!F3", "Index Pg")</f>
        <v>Index Pg</v>
      </c>
      <c r="B2" s="1864"/>
      <c r="C2" s="831" t="str">
        <f>HYPERLINK("#'Budget Summary I'!A1:AL1", "Budget Summary I")</f>
        <v>Budget Summary I</v>
      </c>
      <c r="D2" s="2201"/>
      <c r="E2" s="2153" t="s">
        <v>4608</v>
      </c>
      <c r="F2" s="2202">
        <f>R8+R6+R11</f>
        <v>0</v>
      </c>
      <c r="G2" s="2203"/>
      <c r="H2" s="2203"/>
      <c r="I2" s="2203"/>
      <c r="J2" s="2203"/>
      <c r="K2" s="2204"/>
      <c r="L2" s="2204"/>
      <c r="M2" s="2205"/>
      <c r="O2" s="2027"/>
      <c r="P2" s="940"/>
      <c r="R2" s="2027"/>
    </row>
    <row r="3" spans="1:18" s="2026" customFormat="1" x14ac:dyDescent="0.25">
      <c r="A3" s="1863"/>
      <c r="B3" s="1864"/>
      <c r="C3" s="1937" t="str">
        <f>HYPERLINK("#'Budget Summary II'!A3:B5", "Budget Summary II")</f>
        <v>Budget Summary II</v>
      </c>
      <c r="D3" s="2201"/>
      <c r="E3" s="2158" t="s">
        <v>4609</v>
      </c>
      <c r="F3" s="725">
        <f>O8+O6+O11</f>
        <v>0</v>
      </c>
      <c r="G3" s="2203"/>
      <c r="H3" s="2203"/>
      <c r="I3" s="2203"/>
      <c r="J3" s="2203"/>
      <c r="K3" s="2204"/>
      <c r="L3" s="2204"/>
      <c r="M3" s="2205"/>
      <c r="O3" s="2027"/>
      <c r="P3" s="940"/>
      <c r="R3" s="2027"/>
    </row>
    <row r="4" spans="1:18" s="1196" customFormat="1" ht="14.45" customHeight="1" x14ac:dyDescent="0.2">
      <c r="A4" s="3823" t="s">
        <v>53</v>
      </c>
      <c r="B4" s="3823" t="s">
        <v>54</v>
      </c>
      <c r="C4" s="3823" t="s">
        <v>55</v>
      </c>
      <c r="D4" s="3823" t="s">
        <v>56</v>
      </c>
      <c r="E4" s="3823" t="s">
        <v>57</v>
      </c>
      <c r="F4" s="3876" t="s">
        <v>4629</v>
      </c>
      <c r="G4" s="3876"/>
      <c r="H4" s="3876"/>
      <c r="I4" s="3876"/>
      <c r="J4" s="3876"/>
      <c r="K4" s="3876" t="s">
        <v>4640</v>
      </c>
      <c r="L4" s="3876"/>
      <c r="M4" s="3876"/>
      <c r="N4" s="3876"/>
      <c r="O4" s="3876"/>
      <c r="P4" s="3876"/>
      <c r="Q4" s="3823" t="s">
        <v>4670</v>
      </c>
      <c r="R4" s="3823"/>
    </row>
    <row r="5" spans="1:18" s="1196" customFormat="1" ht="90" x14ac:dyDescent="0.2">
      <c r="A5" s="3823"/>
      <c r="B5" s="3823"/>
      <c r="C5" s="3823"/>
      <c r="D5" s="3823"/>
      <c r="E5" s="3823"/>
      <c r="F5" s="896" t="s">
        <v>4630</v>
      </c>
      <c r="G5" s="896" t="s">
        <v>4638</v>
      </c>
      <c r="H5" s="896" t="s">
        <v>4631</v>
      </c>
      <c r="I5" s="896" t="s">
        <v>4639</v>
      </c>
      <c r="J5" s="896" t="s">
        <v>2538</v>
      </c>
      <c r="K5" s="897" t="s">
        <v>58</v>
      </c>
      <c r="L5" s="897" t="s">
        <v>59</v>
      </c>
      <c r="M5" s="898" t="s">
        <v>60</v>
      </c>
      <c r="N5" s="897" t="s">
        <v>61</v>
      </c>
      <c r="O5" s="898" t="s">
        <v>62</v>
      </c>
      <c r="P5" s="897" t="s">
        <v>63</v>
      </c>
      <c r="Q5" s="899" t="s">
        <v>2540</v>
      </c>
      <c r="R5" s="900" t="s">
        <v>4671</v>
      </c>
    </row>
    <row r="6" spans="1:18" x14ac:dyDescent="0.2">
      <c r="A6" s="2032">
        <f>'5.Infrastructure Annex'!A7</f>
        <v>5</v>
      </c>
      <c r="B6" s="2032"/>
      <c r="C6" s="2032" t="str">
        <f>'5.Infrastructure Annex'!C7</f>
        <v>Infrastructure</v>
      </c>
      <c r="D6" s="724"/>
      <c r="E6" s="724"/>
      <c r="F6" s="2019"/>
      <c r="G6" s="2019"/>
      <c r="H6" s="2020"/>
      <c r="I6" s="2019"/>
      <c r="J6" s="528"/>
      <c r="K6" s="2206"/>
      <c r="L6" s="2206"/>
      <c r="M6" s="225"/>
      <c r="N6" s="2022"/>
      <c r="O6" s="1981">
        <f>O7</f>
        <v>0</v>
      </c>
      <c r="P6" s="2120"/>
      <c r="Q6" s="1976"/>
      <c r="R6" s="1981">
        <f>R7</f>
        <v>0</v>
      </c>
    </row>
    <row r="7" spans="1:18" ht="30" x14ac:dyDescent="0.2">
      <c r="A7" s="1982" t="str">
        <f>'5.Infrastructure Annex'!A88</f>
        <v>5.3.8</v>
      </c>
      <c r="B7" s="1982" t="str">
        <f>'5.Infrastructure Annex'!B88</f>
        <v>B.28.1</v>
      </c>
      <c r="C7" s="103" t="str">
        <f>'5.Infrastructure Annex'!C88</f>
        <v>Assistance to State for Capacity building (Burns &amp; injury): Civil Work</v>
      </c>
      <c r="D7" s="103" t="str">
        <f>'5.Infrastructure Annex'!D88</f>
        <v>NCD</v>
      </c>
      <c r="E7" s="103" t="str">
        <f>'5.Infrastructure Annex'!E88</f>
        <v>NPPMBI</v>
      </c>
      <c r="F7" s="103">
        <f>'5.Infrastructure Annex'!F88</f>
        <v>0</v>
      </c>
      <c r="G7" s="103">
        <f>'5.Infrastructure Annex'!G88</f>
        <v>0</v>
      </c>
      <c r="H7" s="103">
        <f>'5.Infrastructure Annex'!H88</f>
        <v>0</v>
      </c>
      <c r="I7" s="103">
        <f>'5.Infrastructure Annex'!I88</f>
        <v>0</v>
      </c>
      <c r="J7" s="103">
        <f>'5.Infrastructure Annex'!J88</f>
        <v>0</v>
      </c>
      <c r="K7" s="103">
        <f>'5.Infrastructure Annex'!K88</f>
        <v>0</v>
      </c>
      <c r="L7" s="103">
        <f>'5.Infrastructure Annex'!L88</f>
        <v>0</v>
      </c>
      <c r="M7" s="675">
        <f>'5.Infrastructure Annex'!M88</f>
        <v>0</v>
      </c>
      <c r="N7" s="103">
        <f>'5.Infrastructure Annex'!N88</f>
        <v>0</v>
      </c>
      <c r="O7" s="675">
        <f>'5.Infrastructure Annex'!O88</f>
        <v>0</v>
      </c>
      <c r="P7" s="3344">
        <f>'5.Infrastructure Annex'!P88</f>
        <v>0</v>
      </c>
      <c r="Q7" s="68"/>
      <c r="R7" s="1991"/>
    </row>
    <row r="8" spans="1:18" x14ac:dyDescent="0.2">
      <c r="A8" s="2032">
        <f>'6.Procurement Annex'!A7</f>
        <v>6</v>
      </c>
      <c r="B8" s="2032"/>
      <c r="C8" s="2032" t="str">
        <f>'6.Procurement Annex'!C7</f>
        <v>Procurement</v>
      </c>
      <c r="D8" s="724"/>
      <c r="E8" s="724"/>
      <c r="F8" s="2019"/>
      <c r="G8" s="2019"/>
      <c r="H8" s="2020"/>
      <c r="I8" s="2019"/>
      <c r="J8" s="528"/>
      <c r="K8" s="2206"/>
      <c r="L8" s="2206"/>
      <c r="M8" s="225"/>
      <c r="N8" s="2022"/>
      <c r="O8" s="1981">
        <f>SUM(O9:O10)</f>
        <v>0</v>
      </c>
      <c r="P8" s="2120"/>
      <c r="Q8" s="1989"/>
      <c r="R8" s="1990">
        <f>SUM(R9:R10)</f>
        <v>0</v>
      </c>
    </row>
    <row r="9" spans="1:18" x14ac:dyDescent="0.2">
      <c r="A9" s="1982" t="str">
        <f>'6.Procurement Annex'!A45</f>
        <v>6.1.5.10</v>
      </c>
      <c r="B9" s="1982" t="str">
        <f>'6-A. Proc. Sub-Annex'!C133</f>
        <v>B.28.2</v>
      </c>
      <c r="C9" s="1982" t="str">
        <f>'6-A. Proc. Sub-Annex'!D133</f>
        <v>Procurement of Equipment</v>
      </c>
      <c r="D9" s="1982" t="str">
        <f>'6-A. Proc. Sub-Annex'!E133</f>
        <v>NCD</v>
      </c>
      <c r="E9" s="1982" t="str">
        <f>'6-A. Proc. Sub-Annex'!F133</f>
        <v>NPPMBI</v>
      </c>
      <c r="F9" s="1982">
        <f>'6-A. Proc. Sub-Annex'!G133</f>
        <v>0</v>
      </c>
      <c r="G9" s="1982">
        <f>'6-A. Proc. Sub-Annex'!H133</f>
        <v>0</v>
      </c>
      <c r="H9" s="1982">
        <f>'6-A. Proc. Sub-Annex'!I133</f>
        <v>0</v>
      </c>
      <c r="I9" s="1982">
        <f>'6-A. Proc. Sub-Annex'!J133</f>
        <v>0</v>
      </c>
      <c r="J9" s="1982">
        <f>'6-A. Proc. Sub-Annex'!K133</f>
        <v>0</v>
      </c>
      <c r="K9" s="1982">
        <f>'6-A. Proc. Sub-Annex'!L133</f>
        <v>0</v>
      </c>
      <c r="L9" s="1982">
        <f>'6-A. Proc. Sub-Annex'!M133</f>
        <v>0</v>
      </c>
      <c r="M9" s="780">
        <f>'6-A. Proc. Sub-Annex'!N133</f>
        <v>0</v>
      </c>
      <c r="N9" s="1982">
        <f>'6-A. Proc. Sub-Annex'!O133</f>
        <v>0</v>
      </c>
      <c r="O9" s="780">
        <f>'6-A. Proc. Sub-Annex'!P133</f>
        <v>0</v>
      </c>
      <c r="P9" s="3344">
        <f>'6-A. Proc. Sub-Annex'!Q133</f>
        <v>0</v>
      </c>
      <c r="Q9" s="124"/>
      <c r="R9" s="3425">
        <v>0</v>
      </c>
    </row>
    <row r="10" spans="1:18" x14ac:dyDescent="0.2">
      <c r="A10" s="1982"/>
      <c r="B10" s="1982">
        <f>'6-A. Proc. Sub-Annex'!C134</f>
        <v>0</v>
      </c>
      <c r="C10" s="1982" t="str">
        <f>'6-A. Proc. Sub-Annex'!D134</f>
        <v>Any other equipment (please specify)</v>
      </c>
      <c r="D10" s="1982" t="str">
        <f>'6-A. Proc. Sub-Annex'!E134</f>
        <v>NCD</v>
      </c>
      <c r="E10" s="1982" t="str">
        <f>'6-A. Proc. Sub-Annex'!F134</f>
        <v>NPPMBI</v>
      </c>
      <c r="F10" s="1982">
        <f>'6-A. Proc. Sub-Annex'!G134</f>
        <v>0</v>
      </c>
      <c r="G10" s="1982">
        <f>'6-A. Proc. Sub-Annex'!H134</f>
        <v>0</v>
      </c>
      <c r="H10" s="1982">
        <f>'6-A. Proc. Sub-Annex'!I134</f>
        <v>0</v>
      </c>
      <c r="I10" s="1982">
        <f>'6-A. Proc. Sub-Annex'!J134</f>
        <v>0</v>
      </c>
      <c r="J10" s="1982">
        <f>'6-A. Proc. Sub-Annex'!K134</f>
        <v>0</v>
      </c>
      <c r="K10" s="1982">
        <f>'6-A. Proc. Sub-Annex'!L134</f>
        <v>0</v>
      </c>
      <c r="L10" s="1982">
        <f>'6-A. Proc. Sub-Annex'!M134</f>
        <v>0</v>
      </c>
      <c r="M10" s="780">
        <f>'6-A. Proc. Sub-Annex'!N134</f>
        <v>0</v>
      </c>
      <c r="N10" s="1982">
        <f>'6-A. Proc. Sub-Annex'!O134</f>
        <v>0</v>
      </c>
      <c r="O10" s="780">
        <f>'6-A. Proc. Sub-Annex'!P134</f>
        <v>0</v>
      </c>
      <c r="P10" s="3344">
        <f>'6-A. Proc. Sub-Annex'!Q134</f>
        <v>0</v>
      </c>
      <c r="Q10" s="68"/>
      <c r="R10" s="1991"/>
    </row>
    <row r="11" spans="1:18" x14ac:dyDescent="0.2">
      <c r="A11" s="2000">
        <f>'12.Printing Annex'!A7</f>
        <v>12</v>
      </c>
      <c r="B11" s="1976"/>
      <c r="C11" s="2000" t="str">
        <f>'12.Printing Annex'!C7</f>
        <v>Printing</v>
      </c>
      <c r="D11" s="1974"/>
      <c r="E11" s="1974"/>
      <c r="F11" s="1974"/>
      <c r="G11" s="1974"/>
      <c r="H11" s="1974"/>
      <c r="I11" s="1974"/>
      <c r="J11" s="1974"/>
      <c r="K11" s="2022"/>
      <c r="L11" s="2022"/>
      <c r="M11" s="2207"/>
      <c r="N11" s="2022"/>
      <c r="O11" s="1981">
        <f>O12</f>
        <v>0</v>
      </c>
      <c r="P11" s="2120"/>
      <c r="Q11" s="1989"/>
      <c r="R11" s="1990">
        <f>R12</f>
        <v>0</v>
      </c>
    </row>
    <row r="12" spans="1:18" x14ac:dyDescent="0.2">
      <c r="A12" s="1982" t="str">
        <f>'12.Printing Annex'!A45</f>
        <v>12.4.12</v>
      </c>
      <c r="B12" s="1982">
        <f>'12-A. Print Sub-Annex'!C109</f>
        <v>0</v>
      </c>
      <c r="C12" s="1982" t="str">
        <f>'12-A. Print Sub-Annex'!D109</f>
        <v>Printing activities under Burns and Injuries</v>
      </c>
      <c r="D12" s="1982" t="str">
        <f>'12-A. Print Sub-Annex'!E109</f>
        <v>NCD</v>
      </c>
      <c r="E12" s="1982" t="str">
        <f>'12-A. Print Sub-Annex'!F109</f>
        <v>NPPMBI</v>
      </c>
      <c r="F12" s="1982">
        <f>'12-A. Print Sub-Annex'!G109</f>
        <v>0</v>
      </c>
      <c r="G12" s="1982">
        <f>'12-A. Print Sub-Annex'!H109</f>
        <v>0</v>
      </c>
      <c r="H12" s="1982">
        <f>'12-A. Print Sub-Annex'!I109</f>
        <v>0</v>
      </c>
      <c r="I12" s="1982">
        <f>'12-A. Print Sub-Annex'!J109</f>
        <v>0</v>
      </c>
      <c r="J12" s="1982">
        <f>'12-A. Print Sub-Annex'!K109</f>
        <v>0</v>
      </c>
      <c r="K12" s="1982">
        <f>'12-A. Print Sub-Annex'!L109</f>
        <v>0</v>
      </c>
      <c r="L12" s="1982">
        <f>'12-A. Print Sub-Annex'!M109</f>
        <v>0</v>
      </c>
      <c r="M12" s="780">
        <f>'12-A. Print Sub-Annex'!N109</f>
        <v>0</v>
      </c>
      <c r="N12" s="1982">
        <f>'12-A. Print Sub-Annex'!O109</f>
        <v>0</v>
      </c>
      <c r="O12" s="780">
        <f>'12-A. Print Sub-Annex'!P109</f>
        <v>0</v>
      </c>
      <c r="P12" s="3344">
        <f>'12-A. Print Sub-Annex'!Q109</f>
        <v>0</v>
      </c>
      <c r="Q12" s="68"/>
      <c r="R12" s="1991"/>
    </row>
  </sheetData>
  <sheetProtection sheet="1" formatCells="0" formatColumns="0" formatRows="0" autoFilter="0"/>
  <autoFilter ref="A5:M10"/>
  <mergeCells count="9">
    <mergeCell ref="Q4:R4"/>
    <mergeCell ref="E4:E5"/>
    <mergeCell ref="A1:C1"/>
    <mergeCell ref="A4:A5"/>
    <mergeCell ref="B4:B5"/>
    <mergeCell ref="C4:C5"/>
    <mergeCell ref="D4:D5"/>
    <mergeCell ref="F4:J4"/>
    <mergeCell ref="K4:P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2"/>
  <sheetViews>
    <sheetView zoomScale="80" zoomScaleNormal="80" workbookViewId="0">
      <pane xSplit="3" ySplit="5" topLeftCell="I111" activePane="bottomRight" state="frozen"/>
      <selection pane="topRight" activeCell="D1" sqref="D1"/>
      <selection pane="bottomLeft" activeCell="A6" sqref="A6"/>
      <selection pane="bottomRight" activeCell="P129" sqref="P129"/>
    </sheetView>
  </sheetViews>
  <sheetFormatPr defaultColWidth="8.7109375" defaultRowHeight="12.75" x14ac:dyDescent="0.2"/>
  <cols>
    <col min="1" max="1" width="9.42578125" style="2" bestFit="1" customWidth="1"/>
    <col min="2" max="2" width="11.42578125" style="2" customWidth="1"/>
    <col min="3" max="3" width="39.42578125" style="2" customWidth="1"/>
    <col min="4" max="4" width="17.7109375" style="2" customWidth="1"/>
    <col min="5" max="5" width="15.28515625" style="2" customWidth="1"/>
    <col min="6" max="6" width="15" style="2" customWidth="1"/>
    <col min="7" max="7" width="17.42578125" style="2" customWidth="1"/>
    <col min="8" max="8" width="19.85546875" style="2" customWidth="1"/>
    <col min="9" max="9" width="17.28515625" style="2" customWidth="1"/>
    <col min="10" max="10" width="14.28515625" style="2" customWidth="1"/>
    <col min="11" max="11" width="17" style="2" customWidth="1"/>
    <col min="12" max="12" width="12.85546875" style="2" customWidth="1"/>
    <col min="13" max="13" width="19.140625" style="2" customWidth="1"/>
    <col min="14" max="14" width="27.7109375" style="2" customWidth="1"/>
    <col min="15" max="15" width="33.85546875" style="2" customWidth="1"/>
    <col min="16" max="16" width="20" style="2" customWidth="1"/>
    <col min="17" max="16384" width="8.7109375" style="2"/>
  </cols>
  <sheetData>
    <row r="1" spans="1:16" x14ac:dyDescent="0.2">
      <c r="A1" s="4096" t="s">
        <v>4356</v>
      </c>
      <c r="B1" s="4096"/>
      <c r="C1" s="4096"/>
      <c r="D1" s="4096"/>
      <c r="E1" s="4096"/>
      <c r="F1" s="4096"/>
      <c r="G1" s="4096"/>
      <c r="H1" s="4096"/>
      <c r="I1" s="4096"/>
      <c r="J1" s="4096"/>
      <c r="K1" s="4096"/>
      <c r="L1" s="4096"/>
      <c r="M1" s="4096"/>
      <c r="N1" s="4096"/>
      <c r="O1" s="4096"/>
      <c r="P1" s="4096"/>
    </row>
    <row r="2" spans="1:16" s="30" customFormat="1" x14ac:dyDescent="0.2">
      <c r="A2" s="28" t="str">
        <f>HYPERLINK("#Index!D2", "Index Pg")</f>
        <v>Index Pg</v>
      </c>
      <c r="B2" s="13"/>
      <c r="C2" s="14" t="str">
        <f>HYPERLINK("#'Budget Summary II'!A3:B5", "Budget Summary II")</f>
        <v>Budget Summary II</v>
      </c>
      <c r="D2" s="29"/>
      <c r="E2" s="29"/>
      <c r="F2" s="29"/>
      <c r="G2" s="29"/>
      <c r="H2" s="29"/>
      <c r="I2" s="29"/>
      <c r="J2" s="3"/>
      <c r="K2" s="3"/>
      <c r="L2" s="3"/>
      <c r="M2" s="3"/>
      <c r="N2" s="3"/>
      <c r="O2" s="3"/>
      <c r="P2" s="3"/>
    </row>
    <row r="3" spans="1:16" ht="12.75" customHeight="1" x14ac:dyDescent="0.2">
      <c r="A3" s="4098" t="s">
        <v>53</v>
      </c>
      <c r="B3" s="4098" t="s">
        <v>54</v>
      </c>
      <c r="C3" s="4098" t="s">
        <v>55</v>
      </c>
      <c r="D3" s="4097" t="s">
        <v>4629</v>
      </c>
      <c r="E3" s="4097"/>
      <c r="F3" s="4097"/>
      <c r="G3" s="4097"/>
      <c r="H3" s="4097"/>
      <c r="I3" s="4100" t="s">
        <v>4640</v>
      </c>
      <c r="J3" s="4101"/>
      <c r="K3" s="4101"/>
      <c r="L3" s="4101"/>
      <c r="M3" s="4101"/>
      <c r="N3" s="4102"/>
      <c r="O3" s="4103" t="s">
        <v>4670</v>
      </c>
      <c r="P3" s="4104"/>
    </row>
    <row r="4" spans="1:16" ht="51" x14ac:dyDescent="0.2">
      <c r="A4" s="4099"/>
      <c r="B4" s="4099"/>
      <c r="C4" s="4099"/>
      <c r="D4" s="52" t="s">
        <v>4630</v>
      </c>
      <c r="E4" s="52" t="s">
        <v>4638</v>
      </c>
      <c r="F4" s="52" t="s">
        <v>4631</v>
      </c>
      <c r="G4" s="52" t="s">
        <v>4639</v>
      </c>
      <c r="H4" s="53" t="s">
        <v>2538</v>
      </c>
      <c r="I4" s="50" t="s">
        <v>58</v>
      </c>
      <c r="J4" s="50" t="s">
        <v>59</v>
      </c>
      <c r="K4" s="51" t="s">
        <v>60</v>
      </c>
      <c r="L4" s="50" t="s">
        <v>61</v>
      </c>
      <c r="M4" s="51" t="s">
        <v>62</v>
      </c>
      <c r="N4" s="50" t="s">
        <v>63</v>
      </c>
      <c r="O4" s="54" t="s">
        <v>2540</v>
      </c>
      <c r="P4" s="55" t="s">
        <v>4671</v>
      </c>
    </row>
    <row r="5" spans="1:16" s="37" customFormat="1" x14ac:dyDescent="0.2">
      <c r="A5" s="17"/>
      <c r="B5" s="17"/>
      <c r="C5" s="18" t="s">
        <v>4157</v>
      </c>
      <c r="D5" s="45"/>
      <c r="E5" s="45"/>
      <c r="F5" s="45" t="e">
        <f>F6+F12+#REF!+F214+#REF!+F223+F226+F237+F264</f>
        <v>#REF!</v>
      </c>
      <c r="G5" s="45" t="e">
        <f>G6+G12+#REF!+G214+#REF!+G223+G226+G237+G264</f>
        <v>#REF!</v>
      </c>
      <c r="H5" s="45" t="e">
        <f>H6+H12+#REF!+H214+#REF!+H223+H226+H237+H264</f>
        <v>#REF!</v>
      </c>
      <c r="I5" s="17"/>
      <c r="J5" s="17"/>
      <c r="K5" s="36"/>
      <c r="L5" s="17"/>
      <c r="M5" s="45">
        <f>M6+M12+M104+M214+M217+M223+M226</f>
        <v>2064.9998999999998</v>
      </c>
      <c r="N5" s="17"/>
      <c r="O5" s="17"/>
      <c r="P5" s="45">
        <f>P6+P12+P103+P214+P217+P223+P226</f>
        <v>0</v>
      </c>
    </row>
    <row r="6" spans="1:16" ht="25.5" x14ac:dyDescent="0.2">
      <c r="A6" s="31">
        <f>'2.SD Community Based Annex'!A7</f>
        <v>2</v>
      </c>
      <c r="B6" s="31">
        <f>'2.SD Community Based Annex'!B7</f>
        <v>0</v>
      </c>
      <c r="C6" s="31" t="str">
        <f>'2.SD Community Based Annex'!C7</f>
        <v>Service Delivery - Community Based</v>
      </c>
      <c r="D6" s="38"/>
      <c r="E6" s="38"/>
      <c r="F6" s="38">
        <f>F7</f>
        <v>0</v>
      </c>
      <c r="G6" s="38">
        <f>G7</f>
        <v>1.0900000000000001</v>
      </c>
      <c r="H6" s="38">
        <f>H7</f>
        <v>0</v>
      </c>
      <c r="I6" s="38"/>
      <c r="J6" s="38"/>
      <c r="K6" s="38"/>
      <c r="L6" s="38"/>
      <c r="M6" s="38">
        <f>M7</f>
        <v>0</v>
      </c>
      <c r="N6" s="38"/>
      <c r="O6" s="38"/>
      <c r="P6" s="38">
        <f>P7</f>
        <v>0</v>
      </c>
    </row>
    <row r="7" spans="1:16" s="11" customFormat="1" x14ac:dyDescent="0.2">
      <c r="A7" s="32">
        <f>'2.SD Community Based Annex'!A8</f>
        <v>2.1</v>
      </c>
      <c r="B7" s="32">
        <f>'2.SD Community Based Annex'!B8</f>
        <v>0</v>
      </c>
      <c r="C7" s="32" t="str">
        <f>'2.SD Community Based Annex'!C8</f>
        <v>Mobile Units</v>
      </c>
      <c r="D7" s="39"/>
      <c r="E7" s="39"/>
      <c r="F7" s="39">
        <f>F8+F10</f>
        <v>0</v>
      </c>
      <c r="G7" s="39">
        <f>G8+G10</f>
        <v>1.0900000000000001</v>
      </c>
      <c r="H7" s="39">
        <f>H8+H10</f>
        <v>0</v>
      </c>
      <c r="I7" s="39"/>
      <c r="J7" s="39"/>
      <c r="K7" s="39"/>
      <c r="L7" s="39"/>
      <c r="M7" s="39">
        <f>M8+M10</f>
        <v>0</v>
      </c>
      <c r="N7" s="39"/>
      <c r="O7" s="39"/>
      <c r="P7" s="39">
        <f>P8+P10</f>
        <v>0</v>
      </c>
    </row>
    <row r="8" spans="1:16" s="11" customFormat="1" ht="25.5" x14ac:dyDescent="0.2">
      <c r="A8" s="20" t="str">
        <f>'2.SD Community Based Annex'!A9</f>
        <v>2.1.1</v>
      </c>
      <c r="B8" s="20" t="str">
        <f>'2.SD Community Based Annex'!B9</f>
        <v>B11</v>
      </c>
      <c r="C8" s="20" t="str">
        <f>'2.SD Community Based Annex'!C9</f>
        <v>National Mobile Medical Units (MMU)</v>
      </c>
      <c r="D8" s="40"/>
      <c r="E8" s="40"/>
      <c r="F8" s="40">
        <f>F9</f>
        <v>0</v>
      </c>
      <c r="G8" s="40">
        <f>G9</f>
        <v>1.0900000000000001</v>
      </c>
      <c r="H8" s="40">
        <f>H9</f>
        <v>0</v>
      </c>
      <c r="I8" s="40"/>
      <c r="J8" s="40"/>
      <c r="K8" s="40"/>
      <c r="L8" s="40"/>
      <c r="M8" s="40">
        <f>M9</f>
        <v>0</v>
      </c>
      <c r="N8" s="40"/>
      <c r="O8" s="40"/>
      <c r="P8" s="40">
        <f>P9</f>
        <v>0</v>
      </c>
    </row>
    <row r="9" spans="1:16" x14ac:dyDescent="0.2">
      <c r="A9" s="4" t="str">
        <f>'2.SD Community Based Annex'!A10</f>
        <v>2.1.1.1</v>
      </c>
      <c r="B9" s="4" t="str">
        <f>'2.SD Community Based Annex'!B10</f>
        <v>B11.1.1</v>
      </c>
      <c r="C9" s="4" t="str">
        <f>'2.SD Community Based Annex'!C10</f>
        <v>Capex</v>
      </c>
      <c r="D9" s="8">
        <f>'2.SD Community Based Annex'!F10</f>
        <v>0</v>
      </c>
      <c r="E9" s="8">
        <f>'2.SD Community Based Annex'!G10</f>
        <v>0</v>
      </c>
      <c r="F9" s="8">
        <f>'2.SD Community Based Annex'!H10</f>
        <v>0</v>
      </c>
      <c r="G9" s="8">
        <f>'2.SD Community Based Annex'!I10</f>
        <v>1.0900000000000001</v>
      </c>
      <c r="H9" s="8">
        <f>'2.SD Community Based Annex'!J10</f>
        <v>0</v>
      </c>
      <c r="I9" s="8">
        <f>'2.SD Community Based Annex'!K10</f>
        <v>0</v>
      </c>
      <c r="J9" s="8">
        <f>'2.SD Community Based Annex'!L10</f>
        <v>0</v>
      </c>
      <c r="K9" s="8">
        <f>'2.SD Community Based Annex'!M10</f>
        <v>0</v>
      </c>
      <c r="L9" s="8">
        <f>'2.SD Community Based Annex'!N10</f>
        <v>0</v>
      </c>
      <c r="M9" s="8">
        <f>'2.SD Community Based Annex'!O10</f>
        <v>0</v>
      </c>
      <c r="N9" s="8">
        <f>'2.SD Community Based Annex'!P10</f>
        <v>0</v>
      </c>
      <c r="O9" s="8">
        <f>'2.SD Community Based Annex'!Q10</f>
        <v>0</v>
      </c>
      <c r="P9" s="8">
        <f>'2.SD Community Based Annex'!R10</f>
        <v>0</v>
      </c>
    </row>
    <row r="10" spans="1:16" s="11" customFormat="1" ht="38.25" x14ac:dyDescent="0.2">
      <c r="A10" s="19" t="str">
        <f>'2.SD Community Based Annex'!A12</f>
        <v>2.1.2</v>
      </c>
      <c r="B10" s="19" t="str">
        <f>'2.SD Community Based Annex'!B12</f>
        <v>B11.2</v>
      </c>
      <c r="C10" s="19" t="str">
        <f>'2.SD Community Based Annex'!C12</f>
        <v>National Mobile Medical Vans (smaller vehicles) and specialised Mobile Medical Units</v>
      </c>
      <c r="D10" s="40"/>
      <c r="E10" s="40"/>
      <c r="F10" s="40">
        <f>F11</f>
        <v>0</v>
      </c>
      <c r="G10" s="40">
        <f>G11</f>
        <v>0</v>
      </c>
      <c r="H10" s="40">
        <f>H11</f>
        <v>0</v>
      </c>
      <c r="I10" s="40"/>
      <c r="J10" s="40"/>
      <c r="K10" s="40"/>
      <c r="L10" s="40"/>
      <c r="M10" s="40">
        <f>M11</f>
        <v>0</v>
      </c>
      <c r="N10" s="40"/>
      <c r="O10" s="40"/>
      <c r="P10" s="40">
        <f>P11</f>
        <v>0</v>
      </c>
    </row>
    <row r="11" spans="1:16" x14ac:dyDescent="0.2">
      <c r="A11" s="3" t="str">
        <f>'2.SD Community Based Annex'!A13</f>
        <v>2.1.2.1</v>
      </c>
      <c r="B11" s="3" t="str">
        <f>'2.SD Community Based Annex'!B13</f>
        <v>B11.2.1</v>
      </c>
      <c r="C11" s="3" t="str">
        <f>'2.SD Community Based Annex'!C13</f>
        <v>Capex</v>
      </c>
      <c r="D11" s="8">
        <f>'2.SD Community Based Annex'!F13</f>
        <v>0</v>
      </c>
      <c r="E11" s="8">
        <f>'2.SD Community Based Annex'!G13</f>
        <v>0</v>
      </c>
      <c r="F11" s="8">
        <f>'2.SD Community Based Annex'!H13</f>
        <v>0</v>
      </c>
      <c r="G11" s="8">
        <f>'2.SD Community Based Annex'!I13</f>
        <v>0</v>
      </c>
      <c r="H11" s="8">
        <f>'2.SD Community Based Annex'!J13</f>
        <v>0</v>
      </c>
      <c r="I11" s="8">
        <f>'2.SD Community Based Annex'!K13</f>
        <v>0</v>
      </c>
      <c r="J11" s="8">
        <f>'2.SD Community Based Annex'!L13</f>
        <v>0</v>
      </c>
      <c r="K11" s="8">
        <f>'2.SD Community Based Annex'!M13</f>
        <v>0</v>
      </c>
      <c r="L11" s="8">
        <f>'2.SD Community Based Annex'!N13</f>
        <v>0</v>
      </c>
      <c r="M11" s="8">
        <f>'2.SD Community Based Annex'!O13</f>
        <v>0</v>
      </c>
      <c r="N11" s="8">
        <f>'2.SD Community Based Annex'!P13</f>
        <v>0</v>
      </c>
      <c r="O11" s="8">
        <f>'2.SD Community Based Annex'!Q13</f>
        <v>0</v>
      </c>
      <c r="P11" s="8">
        <f>'2.SD Community Based Annex'!R13</f>
        <v>0</v>
      </c>
    </row>
    <row r="12" spans="1:16" x14ac:dyDescent="0.2">
      <c r="A12" s="31">
        <f>'5.Infrastructure Annex'!A7</f>
        <v>5</v>
      </c>
      <c r="B12" s="31">
        <f>'5.Infrastructure Annex'!B7</f>
        <v>0</v>
      </c>
      <c r="C12" s="31" t="str">
        <f>'5.Infrastructure Annex'!C7</f>
        <v>Infrastructure</v>
      </c>
      <c r="D12" s="38"/>
      <c r="E12" s="38"/>
      <c r="F12" s="38">
        <f>F13+F59+F86</f>
        <v>0</v>
      </c>
      <c r="G12" s="38">
        <f>G13+G59+G86</f>
        <v>0</v>
      </c>
      <c r="H12" s="38">
        <f>H13+H59+H86</f>
        <v>0</v>
      </c>
      <c r="I12" s="38"/>
      <c r="J12" s="38"/>
      <c r="K12" s="38"/>
      <c r="L12" s="38"/>
      <c r="M12" s="38">
        <f>M13+M59+M86</f>
        <v>40</v>
      </c>
      <c r="N12" s="38"/>
      <c r="O12" s="38"/>
      <c r="P12" s="38">
        <f>P13+P59+P86</f>
        <v>0</v>
      </c>
    </row>
    <row r="13" spans="1:16" ht="38.25" x14ac:dyDescent="0.2">
      <c r="A13" s="32">
        <f>'5.Infrastructure Annex'!A8</f>
        <v>5.0999999999999996</v>
      </c>
      <c r="B13" s="32">
        <f>'5.Infrastructure Annex'!B8</f>
        <v>0</v>
      </c>
      <c r="C13" s="32" t="str">
        <f>'5.Infrastructure Annex'!C8</f>
        <v>Upgradation of existing facilities as per IPHS norms including staff quarters</v>
      </c>
      <c r="D13" s="39"/>
      <c r="E13" s="39"/>
      <c r="F13" s="39">
        <f>F14+F58</f>
        <v>0</v>
      </c>
      <c r="G13" s="39">
        <f>G14+G58</f>
        <v>0</v>
      </c>
      <c r="H13" s="39">
        <f>H14+H58</f>
        <v>0</v>
      </c>
      <c r="I13" s="39"/>
      <c r="J13" s="39"/>
      <c r="K13" s="39"/>
      <c r="L13" s="39"/>
      <c r="M13" s="39">
        <f>M14+M58</f>
        <v>0</v>
      </c>
      <c r="N13" s="39"/>
      <c r="O13" s="39"/>
      <c r="P13" s="39">
        <f>P14+P58</f>
        <v>0</v>
      </c>
    </row>
    <row r="14" spans="1:16" x14ac:dyDescent="0.2">
      <c r="A14" s="20" t="str">
        <f>'5.Infrastructure Annex'!A9</f>
        <v>5.1.1</v>
      </c>
      <c r="B14" s="20" t="str">
        <f>'5.Infrastructure Annex'!B9</f>
        <v>B.4.1</v>
      </c>
      <c r="C14" s="20" t="str">
        <f>'5.Infrastructure Annex'!C9</f>
        <v>Upgradation</v>
      </c>
      <c r="D14" s="40"/>
      <c r="E14" s="40"/>
      <c r="F14" s="40">
        <f>F15+F26+F40+F50</f>
        <v>0</v>
      </c>
      <c r="G14" s="40">
        <f>G15+G26+G40+G50</f>
        <v>0</v>
      </c>
      <c r="H14" s="40">
        <f>H15+H26+H40+H50</f>
        <v>0</v>
      </c>
      <c r="I14" s="40"/>
      <c r="J14" s="40"/>
      <c r="K14" s="40"/>
      <c r="L14" s="40"/>
      <c r="M14" s="40">
        <f>M15+M26+M40+M50</f>
        <v>0</v>
      </c>
      <c r="N14" s="40"/>
      <c r="O14" s="40"/>
      <c r="P14" s="40">
        <f>P15+P26+P40+P50</f>
        <v>0</v>
      </c>
    </row>
    <row r="15" spans="1:16" ht="63.75" x14ac:dyDescent="0.2">
      <c r="A15" s="4" t="str">
        <f>'5.Infrastructure Annex'!A10</f>
        <v>5.1.1.1</v>
      </c>
      <c r="B15" s="4" t="str">
        <f>'5.Infrastructure Annex'!B10</f>
        <v>B4.1.1 to B4.1.6/ B5.6/ A.9.10/ B.5.10</v>
      </c>
      <c r="C15" s="4" t="str">
        <f>'5.Infrastructure Annex'!C10</f>
        <v>Additional building/ Major Upgradation of existing facilities/ Structure</v>
      </c>
      <c r="D15" s="8"/>
      <c r="E15" s="8"/>
      <c r="F15" s="8">
        <f>SUM(F16:F25)</f>
        <v>0</v>
      </c>
      <c r="G15" s="8">
        <f>SUM(G16:G25)</f>
        <v>0</v>
      </c>
      <c r="H15" s="8">
        <f>SUM(H16:H25)</f>
        <v>0</v>
      </c>
      <c r="I15" s="8"/>
      <c r="J15" s="8"/>
      <c r="K15" s="8"/>
      <c r="L15" s="8"/>
      <c r="M15" s="8">
        <f>SUM(M16:M25)</f>
        <v>0</v>
      </c>
      <c r="N15" s="8"/>
      <c r="O15" s="8"/>
      <c r="P15" s="8">
        <f>SUM(P16:P25)</f>
        <v>0</v>
      </c>
    </row>
    <row r="16" spans="1:16" ht="25.5" x14ac:dyDescent="0.2">
      <c r="A16" s="4" t="str">
        <f>'5.Infrastructure Annex'!A11</f>
        <v>5.1.1.1.1</v>
      </c>
      <c r="B16" s="4" t="str">
        <f>'5.Infrastructure Annex'!B11</f>
        <v>B4.1.1.1</v>
      </c>
      <c r="C16" s="4" t="str">
        <f>'5.Infrastructure Annex'!C11</f>
        <v>District Hospitals (As per the DH Strengthening Guidelines)</v>
      </c>
      <c r="D16" s="8">
        <f>'5.Infrastructure Annex'!F11</f>
        <v>0</v>
      </c>
      <c r="E16" s="8">
        <f>'5.Infrastructure Annex'!G11</f>
        <v>0</v>
      </c>
      <c r="F16" s="8">
        <f>'5.Infrastructure Annex'!H11</f>
        <v>0</v>
      </c>
      <c r="G16" s="8">
        <f>'5.Infrastructure Annex'!I11</f>
        <v>0</v>
      </c>
      <c r="H16" s="8">
        <f>'5.Infrastructure Annex'!J11</f>
        <v>0</v>
      </c>
      <c r="I16" s="8">
        <f>'5.Infrastructure Annex'!K11</f>
        <v>0</v>
      </c>
      <c r="J16" s="8">
        <f>'5.Infrastructure Annex'!L11</f>
        <v>0</v>
      </c>
      <c r="K16" s="8">
        <f>'5.Infrastructure Annex'!M11</f>
        <v>0</v>
      </c>
      <c r="L16" s="8">
        <f>'5.Infrastructure Annex'!N11</f>
        <v>0</v>
      </c>
      <c r="M16" s="8">
        <f>'5.Infrastructure Annex'!O11</f>
        <v>0</v>
      </c>
      <c r="N16" s="8">
        <f>'5.Infrastructure Annex'!P11</f>
        <v>0</v>
      </c>
      <c r="O16" s="8">
        <f>'5.Infrastructure Annex'!Q11</f>
        <v>0</v>
      </c>
      <c r="P16" s="8">
        <f>'5.Infrastructure Annex'!R11</f>
        <v>0</v>
      </c>
    </row>
    <row r="17" spans="1:16" ht="25.5" x14ac:dyDescent="0.2">
      <c r="A17" s="4" t="str">
        <f>'5.Infrastructure Annex'!A12</f>
        <v>5.1.1.1.2</v>
      </c>
      <c r="B17" s="4" t="str">
        <f>'5.Infrastructure Annex'!B12</f>
        <v>B4.1.6.1</v>
      </c>
      <c r="C17" s="4" t="str">
        <f>'5.Infrastructure Annex'!C12</f>
        <v>SDH</v>
      </c>
      <c r="D17" s="8">
        <f>'5.Infrastructure Annex'!F12</f>
        <v>0</v>
      </c>
      <c r="E17" s="8">
        <f>'5.Infrastructure Annex'!G12</f>
        <v>0</v>
      </c>
      <c r="F17" s="8">
        <f>'5.Infrastructure Annex'!H12</f>
        <v>0</v>
      </c>
      <c r="G17" s="8">
        <f>'5.Infrastructure Annex'!I12</f>
        <v>0</v>
      </c>
      <c r="H17" s="8">
        <f>'5.Infrastructure Annex'!J12</f>
        <v>0</v>
      </c>
      <c r="I17" s="8">
        <f>'5.Infrastructure Annex'!K12</f>
        <v>0</v>
      </c>
      <c r="J17" s="8">
        <f>'5.Infrastructure Annex'!L12</f>
        <v>0</v>
      </c>
      <c r="K17" s="8">
        <f>'5.Infrastructure Annex'!M12</f>
        <v>0</v>
      </c>
      <c r="L17" s="8">
        <f>'5.Infrastructure Annex'!N12</f>
        <v>0</v>
      </c>
      <c r="M17" s="8">
        <f>'5.Infrastructure Annex'!O12</f>
        <v>0</v>
      </c>
      <c r="N17" s="8">
        <f>'5.Infrastructure Annex'!P12</f>
        <v>0</v>
      </c>
      <c r="O17" s="8">
        <f>'5.Infrastructure Annex'!Q12</f>
        <v>0</v>
      </c>
      <c r="P17" s="8">
        <f>'5.Infrastructure Annex'!R12</f>
        <v>0</v>
      </c>
    </row>
    <row r="18" spans="1:16" ht="25.5" x14ac:dyDescent="0.2">
      <c r="A18" s="4" t="str">
        <f>'5.Infrastructure Annex'!A13</f>
        <v>5.1.1.1.3</v>
      </c>
      <c r="B18" s="4" t="str">
        <f>'5.Infrastructure Annex'!B13</f>
        <v>B4.1.2.1</v>
      </c>
      <c r="C18" s="4" t="str">
        <f>'5.Infrastructure Annex'!C13</f>
        <v>CHCs</v>
      </c>
      <c r="D18" s="8">
        <f>'5.Infrastructure Annex'!F13</f>
        <v>0</v>
      </c>
      <c r="E18" s="8">
        <f>'5.Infrastructure Annex'!G13</f>
        <v>0</v>
      </c>
      <c r="F18" s="8">
        <f>'5.Infrastructure Annex'!H13</f>
        <v>0</v>
      </c>
      <c r="G18" s="8">
        <f>'5.Infrastructure Annex'!I13</f>
        <v>0</v>
      </c>
      <c r="H18" s="8">
        <f>'5.Infrastructure Annex'!J13</f>
        <v>0</v>
      </c>
      <c r="I18" s="8">
        <f>'5.Infrastructure Annex'!K13</f>
        <v>0</v>
      </c>
      <c r="J18" s="8">
        <f>'5.Infrastructure Annex'!L13</f>
        <v>0</v>
      </c>
      <c r="K18" s="8">
        <f>'5.Infrastructure Annex'!M13</f>
        <v>0</v>
      </c>
      <c r="L18" s="8">
        <f>'5.Infrastructure Annex'!N13</f>
        <v>0</v>
      </c>
      <c r="M18" s="8">
        <f>'5.Infrastructure Annex'!O13</f>
        <v>0</v>
      </c>
      <c r="N18" s="8">
        <f>'5.Infrastructure Annex'!P13</f>
        <v>0</v>
      </c>
      <c r="O18" s="8">
        <f>'5.Infrastructure Annex'!Q13</f>
        <v>0</v>
      </c>
      <c r="P18" s="8">
        <f>'5.Infrastructure Annex'!R13</f>
        <v>0</v>
      </c>
    </row>
    <row r="19" spans="1:16" ht="25.5" x14ac:dyDescent="0.2">
      <c r="A19" s="4" t="str">
        <f>'5.Infrastructure Annex'!A14</f>
        <v>5.1.1.1.4</v>
      </c>
      <c r="B19" s="4" t="str">
        <f>'5.Infrastructure Annex'!B14</f>
        <v>B4.1.3.1</v>
      </c>
      <c r="C19" s="4" t="str">
        <f>'5.Infrastructure Annex'!C14</f>
        <v>PHCs</v>
      </c>
      <c r="D19" s="8">
        <f>'5.Infrastructure Annex'!F14</f>
        <v>0</v>
      </c>
      <c r="E19" s="8">
        <f>'5.Infrastructure Annex'!G14</f>
        <v>0</v>
      </c>
      <c r="F19" s="8">
        <f>'5.Infrastructure Annex'!H14</f>
        <v>0</v>
      </c>
      <c r="G19" s="8">
        <f>'5.Infrastructure Annex'!I14</f>
        <v>0</v>
      </c>
      <c r="H19" s="8">
        <f>'5.Infrastructure Annex'!J14</f>
        <v>0</v>
      </c>
      <c r="I19" s="8">
        <f>'5.Infrastructure Annex'!K14</f>
        <v>0</v>
      </c>
      <c r="J19" s="8">
        <f>'5.Infrastructure Annex'!L14</f>
        <v>0</v>
      </c>
      <c r="K19" s="8">
        <f>'5.Infrastructure Annex'!M14</f>
        <v>0</v>
      </c>
      <c r="L19" s="8">
        <f>'5.Infrastructure Annex'!N14</f>
        <v>0</v>
      </c>
      <c r="M19" s="8">
        <f>'5.Infrastructure Annex'!O14</f>
        <v>0</v>
      </c>
      <c r="N19" s="8">
        <f>'5.Infrastructure Annex'!P14</f>
        <v>0</v>
      </c>
      <c r="O19" s="8">
        <f>'5.Infrastructure Annex'!Q14</f>
        <v>0</v>
      </c>
      <c r="P19" s="8">
        <f>'5.Infrastructure Annex'!R14</f>
        <v>0</v>
      </c>
    </row>
    <row r="20" spans="1:16" ht="25.5" x14ac:dyDescent="0.2">
      <c r="A20" s="4" t="str">
        <f>'5.Infrastructure Annex'!A15</f>
        <v>5.1.1.1.5</v>
      </c>
      <c r="B20" s="4" t="str">
        <f>'5.Infrastructure Annex'!B15</f>
        <v>B4.1.4.1</v>
      </c>
      <c r="C20" s="4" t="str">
        <f>'5.Infrastructure Annex'!C15</f>
        <v>HWC-HSCs</v>
      </c>
      <c r="D20" s="8">
        <f>'5.Infrastructure Annex'!F15</f>
        <v>0</v>
      </c>
      <c r="E20" s="8">
        <f>'5.Infrastructure Annex'!G15</f>
        <v>0</v>
      </c>
      <c r="F20" s="8">
        <f>'5.Infrastructure Annex'!H15</f>
        <v>0</v>
      </c>
      <c r="G20" s="8">
        <f>'5.Infrastructure Annex'!I15</f>
        <v>0</v>
      </c>
      <c r="H20" s="8">
        <f>'5.Infrastructure Annex'!J15</f>
        <v>0</v>
      </c>
      <c r="I20" s="8">
        <f>'5.Infrastructure Annex'!K15</f>
        <v>0</v>
      </c>
      <c r="J20" s="8">
        <f>'5.Infrastructure Annex'!L15</f>
        <v>0</v>
      </c>
      <c r="K20" s="8">
        <f>'5.Infrastructure Annex'!M15</f>
        <v>0</v>
      </c>
      <c r="L20" s="8">
        <f>'5.Infrastructure Annex'!N15</f>
        <v>0</v>
      </c>
      <c r="M20" s="8">
        <f>'5.Infrastructure Annex'!O15</f>
        <v>0</v>
      </c>
      <c r="N20" s="8">
        <f>'5.Infrastructure Annex'!P15</f>
        <v>0</v>
      </c>
      <c r="O20" s="8">
        <f>'5.Infrastructure Annex'!Q15</f>
        <v>0</v>
      </c>
      <c r="P20" s="8">
        <f>'5.Infrastructure Annex'!R15</f>
        <v>0</v>
      </c>
    </row>
    <row r="21" spans="1:16" ht="25.5" x14ac:dyDescent="0.2">
      <c r="A21" s="4" t="str">
        <f>'5.Infrastructure Annex'!A16</f>
        <v>5.1.1.1.6</v>
      </c>
      <c r="B21" s="4" t="str">
        <f>'5.Infrastructure Annex'!B16</f>
        <v>B4.1.5.2</v>
      </c>
      <c r="C21" s="4" t="str">
        <f>'5.Infrastructure Annex'!C16</f>
        <v>Additional building/ Major Upgradation of MCH Wings</v>
      </c>
      <c r="D21" s="8">
        <f>'5.Infrastructure Annex'!F16</f>
        <v>0</v>
      </c>
      <c r="E21" s="8">
        <f>'5.Infrastructure Annex'!G16</f>
        <v>0</v>
      </c>
      <c r="F21" s="8">
        <f>'5.Infrastructure Annex'!H16</f>
        <v>0</v>
      </c>
      <c r="G21" s="8">
        <f>'5.Infrastructure Annex'!I16</f>
        <v>0</v>
      </c>
      <c r="H21" s="8">
        <f>'5.Infrastructure Annex'!J16</f>
        <v>0</v>
      </c>
      <c r="I21" s="8">
        <f>'5.Infrastructure Annex'!K16</f>
        <v>0</v>
      </c>
      <c r="J21" s="8">
        <f>'5.Infrastructure Annex'!L16</f>
        <v>0</v>
      </c>
      <c r="K21" s="8">
        <f>'5.Infrastructure Annex'!M16</f>
        <v>0</v>
      </c>
      <c r="L21" s="8">
        <f>'5.Infrastructure Annex'!N16</f>
        <v>0</v>
      </c>
      <c r="M21" s="8">
        <f>'5.Infrastructure Annex'!O16</f>
        <v>0</v>
      </c>
      <c r="N21" s="8">
        <f>'5.Infrastructure Annex'!P16</f>
        <v>0</v>
      </c>
      <c r="O21" s="8">
        <f>'5.Infrastructure Annex'!Q16</f>
        <v>0</v>
      </c>
      <c r="P21" s="8">
        <f>'5.Infrastructure Annex'!R16</f>
        <v>0</v>
      </c>
    </row>
    <row r="22" spans="1:16" ht="38.25" x14ac:dyDescent="0.2">
      <c r="A22" s="4" t="str">
        <f>'5.Infrastructure Annex'!A17</f>
        <v>5.1.1.1.7</v>
      </c>
      <c r="B22" s="4" t="str">
        <f>'5.Infrastructure Annex'!B17</f>
        <v>B.5.6.3</v>
      </c>
      <c r="C22" s="4" t="str">
        <f>'5.Infrastructure Annex'!C17</f>
        <v>Additional building/ Major Upgradation of Facility based new-born care centres (SNCU/NBSU/NBCC/KMC unit)</v>
      </c>
      <c r="D22" s="8">
        <f>'5.Infrastructure Annex'!F17</f>
        <v>0</v>
      </c>
      <c r="E22" s="8">
        <f>'5.Infrastructure Annex'!G17</f>
        <v>0</v>
      </c>
      <c r="F22" s="8">
        <f>'5.Infrastructure Annex'!H17</f>
        <v>0</v>
      </c>
      <c r="G22" s="8">
        <f>'5.Infrastructure Annex'!I17</f>
        <v>0</v>
      </c>
      <c r="H22" s="8">
        <f>'5.Infrastructure Annex'!J17</f>
        <v>0</v>
      </c>
      <c r="I22" s="8">
        <f>'5.Infrastructure Annex'!K17</f>
        <v>0</v>
      </c>
      <c r="J22" s="8">
        <f>'5.Infrastructure Annex'!L17</f>
        <v>0</v>
      </c>
      <c r="K22" s="8">
        <f>'5.Infrastructure Annex'!M17</f>
        <v>0</v>
      </c>
      <c r="L22" s="8">
        <f>'5.Infrastructure Annex'!N17</f>
        <v>0</v>
      </c>
      <c r="M22" s="8">
        <f>'5.Infrastructure Annex'!O17</f>
        <v>0</v>
      </c>
      <c r="N22" s="8">
        <f>'5.Infrastructure Annex'!P17</f>
        <v>0</v>
      </c>
      <c r="O22" s="8">
        <f>'5.Infrastructure Annex'!Q17</f>
        <v>0</v>
      </c>
      <c r="P22" s="8">
        <f>'5.Infrastructure Annex'!R17</f>
        <v>0</v>
      </c>
    </row>
    <row r="23" spans="1:16" ht="38.25" x14ac:dyDescent="0.2">
      <c r="A23" s="4" t="str">
        <f>'5.Infrastructure Annex'!A18</f>
        <v>5.1.1.1.8</v>
      </c>
      <c r="B23" s="4" t="str">
        <f>'5.Infrastructure Annex'!B18</f>
        <v>I.2.7</v>
      </c>
      <c r="C23" s="4" t="str">
        <f>'5.Infrastructure Annex'!C18</f>
        <v>Grant-in-aid for construction of Eye Wards and Eye OTS (renamed as  dedicated eye unit)</v>
      </c>
      <c r="D23" s="8">
        <f>'5.Infrastructure Annex'!F18</f>
        <v>0</v>
      </c>
      <c r="E23" s="8">
        <f>'5.Infrastructure Annex'!G18</f>
        <v>0</v>
      </c>
      <c r="F23" s="8">
        <f>'5.Infrastructure Annex'!H18</f>
        <v>0</v>
      </c>
      <c r="G23" s="8">
        <f>'5.Infrastructure Annex'!I18</f>
        <v>0</v>
      </c>
      <c r="H23" s="8">
        <f>'5.Infrastructure Annex'!J18</f>
        <v>0</v>
      </c>
      <c r="I23" s="8">
        <f>'5.Infrastructure Annex'!K18</f>
        <v>0</v>
      </c>
      <c r="J23" s="8">
        <f>'5.Infrastructure Annex'!L18</f>
        <v>0</v>
      </c>
      <c r="K23" s="8">
        <f>'5.Infrastructure Annex'!M18</f>
        <v>0</v>
      </c>
      <c r="L23" s="8">
        <f>'5.Infrastructure Annex'!N18</f>
        <v>0</v>
      </c>
      <c r="M23" s="8">
        <f>'5.Infrastructure Annex'!O18</f>
        <v>0</v>
      </c>
      <c r="N23" s="8">
        <f>'5.Infrastructure Annex'!P18</f>
        <v>0</v>
      </c>
      <c r="O23" s="8">
        <f>'5.Infrastructure Annex'!Q18</f>
        <v>0</v>
      </c>
      <c r="P23" s="8">
        <f>'5.Infrastructure Annex'!R18</f>
        <v>0</v>
      </c>
    </row>
    <row r="24" spans="1:16" ht="25.5" x14ac:dyDescent="0.2">
      <c r="A24" s="4" t="str">
        <f>'5.Infrastructure Annex'!A19</f>
        <v>5.1.1.1.9</v>
      </c>
      <c r="B24" s="4" t="str">
        <f>'5.Infrastructure Annex'!B19</f>
        <v>B.5.10.1.1</v>
      </c>
      <c r="C24" s="4" t="str">
        <f>'5.Infrastructure Annex'!C19</f>
        <v>Training Institutions</v>
      </c>
      <c r="D24" s="8">
        <f>'5.Infrastructure Annex'!F19</f>
        <v>0</v>
      </c>
      <c r="E24" s="8">
        <f>'5.Infrastructure Annex'!G19</f>
        <v>0</v>
      </c>
      <c r="F24" s="8">
        <f>'5.Infrastructure Annex'!H19</f>
        <v>0</v>
      </c>
      <c r="G24" s="8">
        <f>'5.Infrastructure Annex'!I19</f>
        <v>0</v>
      </c>
      <c r="H24" s="8">
        <f>'5.Infrastructure Annex'!J19</f>
        <v>0</v>
      </c>
      <c r="I24" s="8">
        <f>'5.Infrastructure Annex'!K19</f>
        <v>0</v>
      </c>
      <c r="J24" s="8">
        <f>'5.Infrastructure Annex'!L19</f>
        <v>0</v>
      </c>
      <c r="K24" s="8">
        <f>'5.Infrastructure Annex'!M19</f>
        <v>0</v>
      </c>
      <c r="L24" s="8">
        <f>'5.Infrastructure Annex'!N19</f>
        <v>0</v>
      </c>
      <c r="M24" s="8">
        <f>'5.Infrastructure Annex'!O19</f>
        <v>0</v>
      </c>
      <c r="N24" s="8">
        <f>'5.Infrastructure Annex'!P19</f>
        <v>0</v>
      </c>
      <c r="O24" s="8">
        <f>'5.Infrastructure Annex'!Q19</f>
        <v>0</v>
      </c>
      <c r="P24" s="8">
        <f>'5.Infrastructure Annex'!R19</f>
        <v>0</v>
      </c>
    </row>
    <row r="25" spans="1:16" ht="25.5" x14ac:dyDescent="0.2">
      <c r="A25" s="4" t="str">
        <f>'5.Infrastructure Annex'!A20</f>
        <v>5.1.1.1.10</v>
      </c>
      <c r="B25" s="4">
        <f>'5.Infrastructure Annex'!B20</f>
        <v>0</v>
      </c>
      <c r="C25" s="4" t="str">
        <f>'5.Infrastructure Annex'!C20</f>
        <v>Any Other</v>
      </c>
      <c r="D25" s="8">
        <f>'5.Infrastructure Annex'!F20</f>
        <v>0</v>
      </c>
      <c r="E25" s="8">
        <f>'5.Infrastructure Annex'!G20</f>
        <v>0</v>
      </c>
      <c r="F25" s="8">
        <f>'5.Infrastructure Annex'!H20</f>
        <v>0</v>
      </c>
      <c r="G25" s="8">
        <f>'5.Infrastructure Annex'!I20</f>
        <v>0</v>
      </c>
      <c r="H25" s="8">
        <f>'5.Infrastructure Annex'!J20</f>
        <v>0</v>
      </c>
      <c r="I25" s="8">
        <f>'5.Infrastructure Annex'!K20</f>
        <v>0</v>
      </c>
      <c r="J25" s="8">
        <f>'5.Infrastructure Annex'!L20</f>
        <v>0</v>
      </c>
      <c r="K25" s="8">
        <f>'5.Infrastructure Annex'!M20</f>
        <v>0</v>
      </c>
      <c r="L25" s="8">
        <f>'5.Infrastructure Annex'!N20</f>
        <v>0</v>
      </c>
      <c r="M25" s="8">
        <f>'5.Infrastructure Annex'!O20</f>
        <v>0</v>
      </c>
      <c r="N25" s="8">
        <f>'5.Infrastructure Annex'!P20</f>
        <v>0</v>
      </c>
      <c r="O25" s="8">
        <f>'5.Infrastructure Annex'!Q20</f>
        <v>0</v>
      </c>
      <c r="P25" s="8">
        <f>'5.Infrastructure Annex'!R20</f>
        <v>0</v>
      </c>
    </row>
    <row r="26" spans="1:16" ht="51" x14ac:dyDescent="0.2">
      <c r="A26" s="4" t="str">
        <f>'5.Infrastructure Annex'!A21</f>
        <v>5.1.1.2</v>
      </c>
      <c r="B26" s="4" t="str">
        <f>'5.Infrastructure Annex'!B21</f>
        <v>B4.1.1 to B4.1.4/ B4.1.6/ B.5.10</v>
      </c>
      <c r="C26" s="4" t="str">
        <f>'5.Infrastructure Annex'!C21</f>
        <v>Upgradation/ Renovation</v>
      </c>
      <c r="D26" s="8">
        <f>SUM(D27:D39)</f>
        <v>0</v>
      </c>
      <c r="E26" s="8">
        <f>SUM(E27:E39)</f>
        <v>0</v>
      </c>
      <c r="F26" s="8">
        <f>SUM(F27:F39)</f>
        <v>0</v>
      </c>
      <c r="G26" s="8">
        <f>SUM(G27:G39)</f>
        <v>0</v>
      </c>
      <c r="H26" s="8">
        <f>SUM(H27:H39)</f>
        <v>0</v>
      </c>
      <c r="I26" s="8">
        <f>'5.Infrastructure Annex'!K21</f>
        <v>0</v>
      </c>
      <c r="J26" s="8">
        <f>'5.Infrastructure Annex'!L21</f>
        <v>0</v>
      </c>
      <c r="K26" s="8">
        <f>'5.Infrastructure Annex'!M21</f>
        <v>0</v>
      </c>
      <c r="L26" s="8">
        <f>'5.Infrastructure Annex'!N21</f>
        <v>0</v>
      </c>
      <c r="M26" s="8">
        <f>SUM(M27:M39)</f>
        <v>0</v>
      </c>
      <c r="N26" s="8">
        <f>'5.Infrastructure Annex'!P21</f>
        <v>0</v>
      </c>
      <c r="O26" s="8">
        <f>'5.Infrastructure Annex'!Q21</f>
        <v>0</v>
      </c>
      <c r="P26" s="8">
        <f>SUM(P27:P39)</f>
        <v>0</v>
      </c>
    </row>
    <row r="27" spans="1:16" ht="25.5" x14ac:dyDescent="0.2">
      <c r="A27" s="4" t="str">
        <f>'5.Infrastructure Annex'!A22</f>
        <v>5.1.1.2.1</v>
      </c>
      <c r="B27" s="4" t="str">
        <f>'5.Infrastructure Annex'!B22</f>
        <v>B4.1.1.2</v>
      </c>
      <c r="C27" s="4" t="str">
        <f>'5.Infrastructure Annex'!C22</f>
        <v>District Hospitals (As per the DH Strengthening Guidelines)</v>
      </c>
      <c r="D27" s="8">
        <f>'5.Infrastructure Annex'!F22</f>
        <v>0</v>
      </c>
      <c r="E27" s="8">
        <f>'5.Infrastructure Annex'!G22</f>
        <v>0</v>
      </c>
      <c r="F27" s="8">
        <f>'5.Infrastructure Annex'!H22</f>
        <v>0</v>
      </c>
      <c r="G27" s="8">
        <f>'5.Infrastructure Annex'!I22</f>
        <v>0</v>
      </c>
      <c r="H27" s="8">
        <f>'5.Infrastructure Annex'!J22</f>
        <v>0</v>
      </c>
      <c r="I27" s="8">
        <f>'5.Infrastructure Annex'!K22</f>
        <v>0</v>
      </c>
      <c r="J27" s="8">
        <f>'5.Infrastructure Annex'!L22</f>
        <v>0</v>
      </c>
      <c r="K27" s="8">
        <f>'5.Infrastructure Annex'!M22</f>
        <v>0</v>
      </c>
      <c r="L27" s="8">
        <f>'5.Infrastructure Annex'!N22</f>
        <v>0</v>
      </c>
      <c r="M27" s="8">
        <f>'5.Infrastructure Annex'!O22</f>
        <v>0</v>
      </c>
      <c r="N27" s="8">
        <f>'5.Infrastructure Annex'!P22</f>
        <v>0</v>
      </c>
      <c r="O27" s="8">
        <f>'5.Infrastructure Annex'!Q22</f>
        <v>0</v>
      </c>
      <c r="P27" s="8">
        <f>'5.Infrastructure Annex'!R22</f>
        <v>0</v>
      </c>
    </row>
    <row r="28" spans="1:16" ht="25.5" x14ac:dyDescent="0.2">
      <c r="A28" s="4" t="str">
        <f>'5.Infrastructure Annex'!A23</f>
        <v>5.1.1.2.2</v>
      </c>
      <c r="B28" s="4" t="str">
        <f>'5.Infrastructure Annex'!B23</f>
        <v>B.26.1.1</v>
      </c>
      <c r="C28" s="4" t="str">
        <f>'5.Infrastructure Annex'!C23</f>
        <v xml:space="preserve">Renovation, Dental Chair, Equipment - District Hospitals </v>
      </c>
      <c r="D28" s="8">
        <f>'5.Infrastructure Annex'!F23</f>
        <v>0</v>
      </c>
      <c r="E28" s="8">
        <f>'5.Infrastructure Annex'!G23</f>
        <v>0</v>
      </c>
      <c r="F28" s="8">
        <f>'5.Infrastructure Annex'!H23</f>
        <v>0</v>
      </c>
      <c r="G28" s="8">
        <f>'5.Infrastructure Annex'!I23</f>
        <v>0</v>
      </c>
      <c r="H28" s="8">
        <f>'5.Infrastructure Annex'!J23</f>
        <v>0</v>
      </c>
      <c r="I28" s="8">
        <f>'5.Infrastructure Annex'!K23</f>
        <v>0</v>
      </c>
      <c r="J28" s="8">
        <f>'5.Infrastructure Annex'!L23</f>
        <v>0</v>
      </c>
      <c r="K28" s="8">
        <f>'5.Infrastructure Annex'!M23</f>
        <v>0</v>
      </c>
      <c r="L28" s="8">
        <f>'5.Infrastructure Annex'!N23</f>
        <v>0</v>
      </c>
      <c r="M28" s="8">
        <f>'5.Infrastructure Annex'!O23</f>
        <v>0</v>
      </c>
      <c r="N28" s="8">
        <f>'5.Infrastructure Annex'!P23</f>
        <v>0</v>
      </c>
      <c r="O28" s="8">
        <f>'5.Infrastructure Annex'!Q23</f>
        <v>0</v>
      </c>
      <c r="P28" s="8">
        <f>'5.Infrastructure Annex'!R23</f>
        <v>0</v>
      </c>
    </row>
    <row r="29" spans="1:16" ht="25.5" x14ac:dyDescent="0.2">
      <c r="A29" s="4" t="str">
        <f>'5.Infrastructure Annex'!A24</f>
        <v>5.1.1.2.3</v>
      </c>
      <c r="B29" s="4" t="str">
        <f>'5.Infrastructure Annex'!B24</f>
        <v>B.27.1.4</v>
      </c>
      <c r="C29" s="4" t="str">
        <f>'5.Infrastructure Annex'!C24</f>
        <v>Renovation of PC unit/ OPD/ Beds/ Miscellaneous equipment etc.</v>
      </c>
      <c r="D29" s="8">
        <f>'5.Infrastructure Annex'!F24</f>
        <v>0</v>
      </c>
      <c r="E29" s="8">
        <f>'5.Infrastructure Annex'!G24</f>
        <v>0</v>
      </c>
      <c r="F29" s="8">
        <f>'5.Infrastructure Annex'!H24</f>
        <v>0</v>
      </c>
      <c r="G29" s="8">
        <f>'5.Infrastructure Annex'!I24</f>
        <v>0</v>
      </c>
      <c r="H29" s="8">
        <f>'5.Infrastructure Annex'!J24</f>
        <v>0</v>
      </c>
      <c r="I29" s="8">
        <f>'5.Infrastructure Annex'!K24</f>
        <v>0</v>
      </c>
      <c r="J29" s="8">
        <f>'5.Infrastructure Annex'!L24</f>
        <v>0</v>
      </c>
      <c r="K29" s="8">
        <f>'5.Infrastructure Annex'!M24</f>
        <v>0</v>
      </c>
      <c r="L29" s="8">
        <f>'5.Infrastructure Annex'!N24</f>
        <v>0</v>
      </c>
      <c r="M29" s="8">
        <f>'5.Infrastructure Annex'!O24</f>
        <v>0</v>
      </c>
      <c r="N29" s="8">
        <f>'5.Infrastructure Annex'!P24</f>
        <v>0</v>
      </c>
      <c r="O29" s="8">
        <f>'5.Infrastructure Annex'!Q24</f>
        <v>0</v>
      </c>
      <c r="P29" s="8">
        <f>'5.Infrastructure Annex'!R24</f>
        <v>0</v>
      </c>
    </row>
    <row r="30" spans="1:16" ht="25.5" x14ac:dyDescent="0.2">
      <c r="A30" s="4" t="str">
        <f>'5.Infrastructure Annex'!A25</f>
        <v>5.1.1.2.4</v>
      </c>
      <c r="B30" s="4" t="str">
        <f>'5.Infrastructure Annex'!B25</f>
        <v>B4.1.6.2</v>
      </c>
      <c r="C30" s="4" t="str">
        <f>'5.Infrastructure Annex'!C25</f>
        <v>SDH</v>
      </c>
      <c r="D30" s="8">
        <f>'5.Infrastructure Annex'!F25</f>
        <v>0</v>
      </c>
      <c r="E30" s="8">
        <f>'5.Infrastructure Annex'!G25</f>
        <v>0</v>
      </c>
      <c r="F30" s="8">
        <f>'5.Infrastructure Annex'!H25</f>
        <v>0</v>
      </c>
      <c r="G30" s="8">
        <f>'5.Infrastructure Annex'!I25</f>
        <v>0</v>
      </c>
      <c r="H30" s="8">
        <f>'5.Infrastructure Annex'!J25</f>
        <v>0</v>
      </c>
      <c r="I30" s="8">
        <f>'5.Infrastructure Annex'!K25</f>
        <v>0</v>
      </c>
      <c r="J30" s="8">
        <f>'5.Infrastructure Annex'!L25</f>
        <v>0</v>
      </c>
      <c r="K30" s="8">
        <f>'5.Infrastructure Annex'!M25</f>
        <v>0</v>
      </c>
      <c r="L30" s="8">
        <f>'5.Infrastructure Annex'!N25</f>
        <v>0</v>
      </c>
      <c r="M30" s="8">
        <f>'5.Infrastructure Annex'!O25</f>
        <v>0</v>
      </c>
      <c r="N30" s="8">
        <f>'5.Infrastructure Annex'!P25</f>
        <v>0</v>
      </c>
      <c r="O30" s="8">
        <f>'5.Infrastructure Annex'!Q25</f>
        <v>0</v>
      </c>
      <c r="P30" s="8">
        <f>'5.Infrastructure Annex'!R25</f>
        <v>0</v>
      </c>
    </row>
    <row r="31" spans="1:16" ht="25.5" x14ac:dyDescent="0.2">
      <c r="A31" s="4" t="str">
        <f>'5.Infrastructure Annex'!A26</f>
        <v>5.1.1.2.5</v>
      </c>
      <c r="B31" s="4" t="str">
        <f>'5.Infrastructure Annex'!B26</f>
        <v>B4.1.2.2</v>
      </c>
      <c r="C31" s="4" t="str">
        <f>'5.Infrastructure Annex'!C26</f>
        <v>CHCs</v>
      </c>
      <c r="D31" s="8">
        <f>'5.Infrastructure Annex'!F26</f>
        <v>0</v>
      </c>
      <c r="E31" s="8">
        <f>'5.Infrastructure Annex'!G26</f>
        <v>0</v>
      </c>
      <c r="F31" s="8">
        <f>'5.Infrastructure Annex'!H26</f>
        <v>0</v>
      </c>
      <c r="G31" s="8">
        <f>'5.Infrastructure Annex'!I26</f>
        <v>0</v>
      </c>
      <c r="H31" s="8">
        <f>'5.Infrastructure Annex'!J26</f>
        <v>0</v>
      </c>
      <c r="I31" s="8">
        <f>'5.Infrastructure Annex'!K26</f>
        <v>0</v>
      </c>
      <c r="J31" s="8">
        <f>'5.Infrastructure Annex'!L26</f>
        <v>0</v>
      </c>
      <c r="K31" s="8">
        <f>'5.Infrastructure Annex'!M26</f>
        <v>0</v>
      </c>
      <c r="L31" s="8">
        <f>'5.Infrastructure Annex'!N26</f>
        <v>0</v>
      </c>
      <c r="M31" s="8">
        <f>'5.Infrastructure Annex'!O26</f>
        <v>0</v>
      </c>
      <c r="N31" s="8">
        <f>'5.Infrastructure Annex'!P26</f>
        <v>0</v>
      </c>
      <c r="O31" s="8">
        <f>'5.Infrastructure Annex'!Q26</f>
        <v>0</v>
      </c>
      <c r="P31" s="8">
        <f>'5.Infrastructure Annex'!R26</f>
        <v>0</v>
      </c>
    </row>
    <row r="32" spans="1:16" ht="25.5" x14ac:dyDescent="0.2">
      <c r="A32" s="4" t="str">
        <f>'5.Infrastructure Annex'!A27</f>
        <v>5.1.1.2.6</v>
      </c>
      <c r="B32" s="4" t="str">
        <f>'5.Infrastructure Annex'!B27</f>
        <v>B4.1.3.2</v>
      </c>
      <c r="C32" s="4" t="str">
        <f>'5.Infrastructure Annex'!C27</f>
        <v>PHCs</v>
      </c>
      <c r="D32" s="8">
        <f>'5.Infrastructure Annex'!F27</f>
        <v>0</v>
      </c>
      <c r="E32" s="8">
        <f>'5.Infrastructure Annex'!G27</f>
        <v>0</v>
      </c>
      <c r="F32" s="8">
        <f>'5.Infrastructure Annex'!H27</f>
        <v>0</v>
      </c>
      <c r="G32" s="8">
        <f>'5.Infrastructure Annex'!I27</f>
        <v>0</v>
      </c>
      <c r="H32" s="8">
        <f>'5.Infrastructure Annex'!J27</f>
        <v>0</v>
      </c>
      <c r="I32" s="8">
        <f>'5.Infrastructure Annex'!K27</f>
        <v>0</v>
      </c>
      <c r="J32" s="8">
        <f>'5.Infrastructure Annex'!L27</f>
        <v>0</v>
      </c>
      <c r="K32" s="8">
        <f>'5.Infrastructure Annex'!M27</f>
        <v>0</v>
      </c>
      <c r="L32" s="8">
        <f>'5.Infrastructure Annex'!N27</f>
        <v>0</v>
      </c>
      <c r="M32" s="8">
        <f>'5.Infrastructure Annex'!O27</f>
        <v>0</v>
      </c>
      <c r="N32" s="8">
        <f>'5.Infrastructure Annex'!P27</f>
        <v>0</v>
      </c>
      <c r="O32" s="8">
        <f>'5.Infrastructure Annex'!Q27</f>
        <v>0</v>
      </c>
      <c r="P32" s="8">
        <f>'5.Infrastructure Annex'!R27</f>
        <v>0</v>
      </c>
    </row>
    <row r="33" spans="1:16" ht="25.5" x14ac:dyDescent="0.2">
      <c r="A33" s="4" t="str">
        <f>'5.Infrastructure Annex'!A28</f>
        <v>5.1.1.2.7</v>
      </c>
      <c r="B33" s="4" t="str">
        <f>'5.Infrastructure Annex'!B28</f>
        <v>B4.1.4.2</v>
      </c>
      <c r="C33" s="4" t="str">
        <f>'5.Infrastructure Annex'!C28</f>
        <v>Upgradation/ Renovation of HWC-HSCs</v>
      </c>
      <c r="D33" s="8">
        <f>'5.Infrastructure Annex'!F28</f>
        <v>0</v>
      </c>
      <c r="E33" s="8">
        <f>'5.Infrastructure Annex'!G28</f>
        <v>0</v>
      </c>
      <c r="F33" s="8">
        <f>'5.Infrastructure Annex'!H28</f>
        <v>0</v>
      </c>
      <c r="G33" s="8">
        <f>'5.Infrastructure Annex'!I28</f>
        <v>0</v>
      </c>
      <c r="H33" s="8">
        <f>'5.Infrastructure Annex'!J28</f>
        <v>0</v>
      </c>
      <c r="I33" s="8">
        <f>'5.Infrastructure Annex'!K28</f>
        <v>0</v>
      </c>
      <c r="J33" s="8">
        <f>'5.Infrastructure Annex'!L28</f>
        <v>0</v>
      </c>
      <c r="K33" s="8">
        <f>'5.Infrastructure Annex'!M28</f>
        <v>0</v>
      </c>
      <c r="L33" s="8">
        <f>'5.Infrastructure Annex'!N28</f>
        <v>0</v>
      </c>
      <c r="M33" s="8">
        <f>'5.Infrastructure Annex'!O28</f>
        <v>0</v>
      </c>
      <c r="N33" s="8">
        <f>'5.Infrastructure Annex'!P28</f>
        <v>0</v>
      </c>
      <c r="O33" s="8">
        <f>'5.Infrastructure Annex'!Q28</f>
        <v>0</v>
      </c>
      <c r="P33" s="8">
        <f>'5.Infrastructure Annex'!R28</f>
        <v>0</v>
      </c>
    </row>
    <row r="34" spans="1:16" ht="25.5" x14ac:dyDescent="0.2">
      <c r="A34" s="4" t="str">
        <f>'5.Infrastructure Annex'!A29</f>
        <v>5.1.1.2.8</v>
      </c>
      <c r="B34" s="4" t="str">
        <f>'5.Infrastructure Annex'!B29</f>
        <v>B18.3</v>
      </c>
      <c r="C34" s="4" t="str">
        <f>'5.Infrastructure Annex'!C29</f>
        <v>Infrastructure strengthening of SC  to H&amp;WC</v>
      </c>
      <c r="D34" s="8">
        <f>'5.Infrastructure Annex'!F29</f>
        <v>0</v>
      </c>
      <c r="E34" s="8">
        <f>'5.Infrastructure Annex'!G29</f>
        <v>0</v>
      </c>
      <c r="F34" s="8">
        <f>'5.Infrastructure Annex'!H29</f>
        <v>0</v>
      </c>
      <c r="G34" s="8">
        <f>'5.Infrastructure Annex'!I29</f>
        <v>0</v>
      </c>
      <c r="H34" s="8">
        <f>'5.Infrastructure Annex'!J29</f>
        <v>0</v>
      </c>
      <c r="I34" s="8">
        <f>'5.Infrastructure Annex'!K29</f>
        <v>0</v>
      </c>
      <c r="J34" s="8">
        <f>'5.Infrastructure Annex'!L29</f>
        <v>0</v>
      </c>
      <c r="K34" s="8">
        <f>'5.Infrastructure Annex'!M29</f>
        <v>0</v>
      </c>
      <c r="L34" s="8">
        <f>'5.Infrastructure Annex'!N29</f>
        <v>0</v>
      </c>
      <c r="M34" s="8">
        <f>'5.Infrastructure Annex'!O29</f>
        <v>0</v>
      </c>
      <c r="N34" s="8">
        <f>'5.Infrastructure Annex'!P29</f>
        <v>0</v>
      </c>
      <c r="O34" s="8">
        <f>'5.Infrastructure Annex'!Q29</f>
        <v>0</v>
      </c>
      <c r="P34" s="8">
        <f>'5.Infrastructure Annex'!R29</f>
        <v>0</v>
      </c>
    </row>
    <row r="35" spans="1:16" ht="25.5" x14ac:dyDescent="0.2">
      <c r="A35" s="4" t="str">
        <f>'5.Infrastructure Annex'!A31</f>
        <v>5.1.1.2.10</v>
      </c>
      <c r="B35" s="4" t="str">
        <f>'5.Infrastructure Annex'!B31</f>
        <v>B.5.10.1.2</v>
      </c>
      <c r="C35" s="4" t="str">
        <f>'5.Infrastructure Annex'!C31</f>
        <v>Training Institutions</v>
      </c>
      <c r="D35" s="8">
        <f>'5.Infrastructure Annex'!F31</f>
        <v>0</v>
      </c>
      <c r="E35" s="8">
        <f>'5.Infrastructure Annex'!G31</f>
        <v>0</v>
      </c>
      <c r="F35" s="8">
        <f>'5.Infrastructure Annex'!H31</f>
        <v>0</v>
      </c>
      <c r="G35" s="8">
        <f>'5.Infrastructure Annex'!I31</f>
        <v>0</v>
      </c>
      <c r="H35" s="8">
        <f>'5.Infrastructure Annex'!J31</f>
        <v>0</v>
      </c>
      <c r="I35" s="8">
        <f>'5.Infrastructure Annex'!K31</f>
        <v>0</v>
      </c>
      <c r="J35" s="8">
        <f>'5.Infrastructure Annex'!L31</f>
        <v>0</v>
      </c>
      <c r="K35" s="8">
        <f>'5.Infrastructure Annex'!M31</f>
        <v>0</v>
      </c>
      <c r="L35" s="8">
        <f>'5.Infrastructure Annex'!N31</f>
        <v>0</v>
      </c>
      <c r="M35" s="8">
        <f>'5.Infrastructure Annex'!O31</f>
        <v>0</v>
      </c>
      <c r="N35" s="8">
        <f>'5.Infrastructure Annex'!P31</f>
        <v>0</v>
      </c>
      <c r="O35" s="8">
        <f>'5.Infrastructure Annex'!Q31</f>
        <v>0</v>
      </c>
      <c r="P35" s="8">
        <f>'5.Infrastructure Annex'!R31</f>
        <v>0</v>
      </c>
    </row>
    <row r="36" spans="1:16" ht="25.5" x14ac:dyDescent="0.2">
      <c r="A36" s="4" t="str">
        <f>'5.Infrastructure Annex'!A32</f>
        <v>5.1.1.2.11</v>
      </c>
      <c r="B36" s="4">
        <f>'5.Infrastructure Annex'!B32</f>
        <v>0</v>
      </c>
      <c r="C36" s="4" t="str">
        <f>'5.Infrastructure Annex'!C32</f>
        <v>Drug Warehouses</v>
      </c>
      <c r="D36" s="8">
        <f>'5.Infrastructure Annex'!F32</f>
        <v>0</v>
      </c>
      <c r="E36" s="8">
        <f>'5.Infrastructure Annex'!G32</f>
        <v>0</v>
      </c>
      <c r="F36" s="8">
        <f>'5.Infrastructure Annex'!H32</f>
        <v>0</v>
      </c>
      <c r="G36" s="8">
        <f>'5.Infrastructure Annex'!I32</f>
        <v>0</v>
      </c>
      <c r="H36" s="8">
        <f>'5.Infrastructure Annex'!J32</f>
        <v>0</v>
      </c>
      <c r="I36" s="8">
        <f>'5.Infrastructure Annex'!K32</f>
        <v>0</v>
      </c>
      <c r="J36" s="8">
        <f>'5.Infrastructure Annex'!L32</f>
        <v>0</v>
      </c>
      <c r="K36" s="8">
        <f>'5.Infrastructure Annex'!M32</f>
        <v>0</v>
      </c>
      <c r="L36" s="8">
        <f>'5.Infrastructure Annex'!N32</f>
        <v>0</v>
      </c>
      <c r="M36" s="8">
        <f>'5.Infrastructure Annex'!O32</f>
        <v>0</v>
      </c>
      <c r="N36" s="8">
        <f>'5.Infrastructure Annex'!P32</f>
        <v>0</v>
      </c>
      <c r="O36" s="8">
        <f>'5.Infrastructure Annex'!Q32</f>
        <v>0</v>
      </c>
      <c r="P36" s="8">
        <f>'5.Infrastructure Annex'!R32</f>
        <v>0</v>
      </c>
    </row>
    <row r="37" spans="1:16" ht="38.25" x14ac:dyDescent="0.2">
      <c r="A37" s="4" t="str">
        <f>'5.Infrastructure Annex'!A33</f>
        <v>5.1.1.2.12</v>
      </c>
      <c r="B37" s="4">
        <f>'5.Infrastructure Annex'!B33</f>
        <v>0</v>
      </c>
      <c r="C37" s="4" t="str">
        <f>'5.Infrastructure Annex'!C33</f>
        <v>Upgradation/ Renovation of Obstetric ICUs/ HDUs (as per operational guidelines of ICUs and HDUs, 2017)</v>
      </c>
      <c r="D37" s="8">
        <f>'5.Infrastructure Annex'!F33</f>
        <v>0</v>
      </c>
      <c r="E37" s="8">
        <f>'5.Infrastructure Annex'!G33</f>
        <v>0</v>
      </c>
      <c r="F37" s="8">
        <f>'5.Infrastructure Annex'!H33</f>
        <v>0</v>
      </c>
      <c r="G37" s="8">
        <f>'5.Infrastructure Annex'!I33</f>
        <v>0</v>
      </c>
      <c r="H37" s="8">
        <f>'5.Infrastructure Annex'!J33</f>
        <v>0</v>
      </c>
      <c r="I37" s="8">
        <f>'5.Infrastructure Annex'!K33</f>
        <v>0</v>
      </c>
      <c r="J37" s="8">
        <f>'5.Infrastructure Annex'!L33</f>
        <v>0</v>
      </c>
      <c r="K37" s="8">
        <f>'5.Infrastructure Annex'!M33</f>
        <v>0</v>
      </c>
      <c r="L37" s="8">
        <f>'5.Infrastructure Annex'!N33</f>
        <v>0</v>
      </c>
      <c r="M37" s="8">
        <f>'5.Infrastructure Annex'!O33</f>
        <v>0</v>
      </c>
      <c r="N37" s="8">
        <f>'5.Infrastructure Annex'!P33</f>
        <v>0</v>
      </c>
      <c r="O37" s="8">
        <f>'5.Infrastructure Annex'!Q33</f>
        <v>0</v>
      </c>
      <c r="P37" s="8">
        <f>'5.Infrastructure Annex'!R33</f>
        <v>0</v>
      </c>
    </row>
    <row r="38" spans="1:16" ht="25.5" x14ac:dyDescent="0.2">
      <c r="A38" s="4" t="str">
        <f>'5.Infrastructure Annex'!A34</f>
        <v>5.1.1.2.13</v>
      </c>
      <c r="B38" s="4">
        <f>'5.Infrastructure Annex'!B34</f>
        <v>0</v>
      </c>
      <c r="C38" s="4" t="str">
        <f>'5.Infrastructure Annex'!C34</f>
        <v>Greening of Health sector: DH/ CHC as per IPHS guidelines</v>
      </c>
      <c r="D38" s="8">
        <f>'5.Infrastructure Annex'!F34</f>
        <v>0</v>
      </c>
      <c r="E38" s="8">
        <f>'5.Infrastructure Annex'!G34</f>
        <v>0</v>
      </c>
      <c r="F38" s="8">
        <f>'5.Infrastructure Annex'!H34</f>
        <v>0</v>
      </c>
      <c r="G38" s="8">
        <f>'5.Infrastructure Annex'!I34</f>
        <v>0</v>
      </c>
      <c r="H38" s="8">
        <f>'5.Infrastructure Annex'!J34</f>
        <v>0</v>
      </c>
      <c r="I38" s="8">
        <f>'5.Infrastructure Annex'!K34</f>
        <v>0</v>
      </c>
      <c r="J38" s="8">
        <f>'5.Infrastructure Annex'!L34</f>
        <v>0</v>
      </c>
      <c r="K38" s="8">
        <f>'5.Infrastructure Annex'!M34</f>
        <v>0</v>
      </c>
      <c r="L38" s="8">
        <f>'5.Infrastructure Annex'!N34</f>
        <v>0</v>
      </c>
      <c r="M38" s="8">
        <f>'5.Infrastructure Annex'!O34</f>
        <v>0</v>
      </c>
      <c r="N38" s="8">
        <f>'5.Infrastructure Annex'!P34</f>
        <v>0</v>
      </c>
      <c r="O38" s="8">
        <f>'5.Infrastructure Annex'!Q34</f>
        <v>0</v>
      </c>
      <c r="P38" s="8">
        <f>'5.Infrastructure Annex'!R34</f>
        <v>0</v>
      </c>
    </row>
    <row r="39" spans="1:16" ht="25.5" x14ac:dyDescent="0.2">
      <c r="A39" s="4" t="str">
        <f>'5.Infrastructure Annex'!A35</f>
        <v>5.1.1.2.13</v>
      </c>
      <c r="B39" s="4">
        <f>'5.Infrastructure Annex'!B35</f>
        <v>0</v>
      </c>
      <c r="C39" s="4" t="str">
        <f>'5.Infrastructure Annex'!C35</f>
        <v>Any Others</v>
      </c>
      <c r="D39" s="8">
        <f>'5.Infrastructure Annex'!F35</f>
        <v>0</v>
      </c>
      <c r="E39" s="8">
        <f>'5.Infrastructure Annex'!G35</f>
        <v>0</v>
      </c>
      <c r="F39" s="8">
        <f>'5.Infrastructure Annex'!H35</f>
        <v>0</v>
      </c>
      <c r="G39" s="8">
        <f>'5.Infrastructure Annex'!I35</f>
        <v>0</v>
      </c>
      <c r="H39" s="8">
        <f>'5.Infrastructure Annex'!J35</f>
        <v>0</v>
      </c>
      <c r="I39" s="8">
        <f>'5.Infrastructure Annex'!K35</f>
        <v>0</v>
      </c>
      <c r="J39" s="8">
        <f>'5.Infrastructure Annex'!L35</f>
        <v>0</v>
      </c>
      <c r="K39" s="8">
        <f>'5.Infrastructure Annex'!M35</f>
        <v>0</v>
      </c>
      <c r="L39" s="8">
        <f>'5.Infrastructure Annex'!N35</f>
        <v>0</v>
      </c>
      <c r="M39" s="8">
        <f>'5.Infrastructure Annex'!O35</f>
        <v>0</v>
      </c>
      <c r="N39" s="8">
        <f>'5.Infrastructure Annex'!P35</f>
        <v>0</v>
      </c>
      <c r="O39" s="8">
        <f>'5.Infrastructure Annex'!Q35</f>
        <v>0</v>
      </c>
      <c r="P39" s="8">
        <f>'5.Infrastructure Annex'!R35</f>
        <v>0</v>
      </c>
    </row>
    <row r="40" spans="1:16" ht="89.25" x14ac:dyDescent="0.2">
      <c r="A40" s="4" t="str">
        <f>'5.Infrastructure Annex'!A36</f>
        <v>5.1.1.3</v>
      </c>
      <c r="B40" s="4" t="str">
        <f>'5.Infrastructure Annex'!B36</f>
        <v>B4.1.1/ B4.1.2/ B4.1.3/ B4.1.4/ B4.1.5/ B4.1.6/ B.5.10</v>
      </c>
      <c r="C40" s="4" t="str">
        <f>'5.Infrastructure Annex'!C36</f>
        <v>Spill over of Ongoing Upgradation Works approved in previous years</v>
      </c>
      <c r="D40" s="8">
        <f>SUM(D41:D49)</f>
        <v>0</v>
      </c>
      <c r="E40" s="8">
        <f>SUM(E41:E49)</f>
        <v>0</v>
      </c>
      <c r="F40" s="8">
        <f>SUM(F41:F49)</f>
        <v>0</v>
      </c>
      <c r="G40" s="8">
        <f>SUM(G41:G49)</f>
        <v>0</v>
      </c>
      <c r="H40" s="8">
        <f>SUM(H41:H49)</f>
        <v>0</v>
      </c>
      <c r="I40" s="8">
        <f>'5.Infrastructure Annex'!K36</f>
        <v>0</v>
      </c>
      <c r="J40" s="8">
        <f>'5.Infrastructure Annex'!L36</f>
        <v>0</v>
      </c>
      <c r="K40" s="8">
        <f>'5.Infrastructure Annex'!M36</f>
        <v>0</v>
      </c>
      <c r="L40" s="8">
        <f>'5.Infrastructure Annex'!N36</f>
        <v>0</v>
      </c>
      <c r="M40" s="8">
        <f>SUM(M41:M49)</f>
        <v>0</v>
      </c>
      <c r="N40" s="8">
        <f>'5.Infrastructure Annex'!P36</f>
        <v>0</v>
      </c>
      <c r="O40" s="8">
        <f>'5.Infrastructure Annex'!Q36</f>
        <v>0</v>
      </c>
      <c r="P40" s="8">
        <f>SUM(P41:P49)</f>
        <v>0</v>
      </c>
    </row>
    <row r="41" spans="1:16" ht="25.5" x14ac:dyDescent="0.2">
      <c r="A41" s="4" t="str">
        <f>'5.Infrastructure Annex'!A37</f>
        <v>5.1.1.3.1</v>
      </c>
      <c r="B41" s="4" t="str">
        <f>'5.Infrastructure Annex'!B37</f>
        <v>B4.1.1.3</v>
      </c>
      <c r="C41" s="4" t="str">
        <f>'5.Infrastructure Annex'!C37</f>
        <v>District Hospitals (As per the DH Strengthening Guidelines)</v>
      </c>
      <c r="D41" s="8">
        <f>'5.Infrastructure Annex'!F37</f>
        <v>0</v>
      </c>
      <c r="E41" s="8">
        <f>'5.Infrastructure Annex'!G37</f>
        <v>0</v>
      </c>
      <c r="F41" s="8">
        <f>'5.Infrastructure Annex'!H37</f>
        <v>0</v>
      </c>
      <c r="G41" s="8">
        <f>'5.Infrastructure Annex'!I37</f>
        <v>0</v>
      </c>
      <c r="H41" s="8">
        <f>'5.Infrastructure Annex'!J37</f>
        <v>0</v>
      </c>
      <c r="I41" s="8">
        <f>'5.Infrastructure Annex'!K37</f>
        <v>0</v>
      </c>
      <c r="J41" s="8">
        <f>'5.Infrastructure Annex'!L37</f>
        <v>0</v>
      </c>
      <c r="K41" s="8">
        <f>'5.Infrastructure Annex'!M37</f>
        <v>0</v>
      </c>
      <c r="L41" s="8">
        <f>'5.Infrastructure Annex'!N37</f>
        <v>0</v>
      </c>
      <c r="M41" s="8">
        <f>'5.Infrastructure Annex'!O37</f>
        <v>0</v>
      </c>
      <c r="N41" s="8">
        <f>'5.Infrastructure Annex'!P37</f>
        <v>0</v>
      </c>
      <c r="O41" s="8">
        <f>'5.Infrastructure Annex'!Q37</f>
        <v>0</v>
      </c>
      <c r="P41" s="8">
        <f>'5.Infrastructure Annex'!R37</f>
        <v>0</v>
      </c>
    </row>
    <row r="42" spans="1:16" ht="25.5" x14ac:dyDescent="0.2">
      <c r="A42" s="4" t="str">
        <f>'5.Infrastructure Annex'!A38</f>
        <v>5.1.1.3.2</v>
      </c>
      <c r="B42" s="4" t="str">
        <f>'5.Infrastructure Annex'!B38</f>
        <v>B4.1.6.3</v>
      </c>
      <c r="C42" s="4" t="str">
        <f>'5.Infrastructure Annex'!C38</f>
        <v>SDH</v>
      </c>
      <c r="D42" s="8">
        <f>'5.Infrastructure Annex'!F38</f>
        <v>0</v>
      </c>
      <c r="E42" s="8">
        <f>'5.Infrastructure Annex'!G38</f>
        <v>0</v>
      </c>
      <c r="F42" s="8">
        <f>'5.Infrastructure Annex'!H38</f>
        <v>0</v>
      </c>
      <c r="G42" s="8">
        <f>'5.Infrastructure Annex'!I38</f>
        <v>0</v>
      </c>
      <c r="H42" s="8">
        <f>'5.Infrastructure Annex'!J38</f>
        <v>0</v>
      </c>
      <c r="I42" s="8">
        <f>'5.Infrastructure Annex'!K38</f>
        <v>0</v>
      </c>
      <c r="J42" s="8">
        <f>'5.Infrastructure Annex'!L38</f>
        <v>0</v>
      </c>
      <c r="K42" s="8">
        <f>'5.Infrastructure Annex'!M38</f>
        <v>0</v>
      </c>
      <c r="L42" s="8">
        <f>'5.Infrastructure Annex'!N38</f>
        <v>0</v>
      </c>
      <c r="M42" s="8">
        <f>'5.Infrastructure Annex'!O38</f>
        <v>0</v>
      </c>
      <c r="N42" s="8">
        <f>'5.Infrastructure Annex'!P38</f>
        <v>0</v>
      </c>
      <c r="O42" s="8">
        <f>'5.Infrastructure Annex'!Q38</f>
        <v>0</v>
      </c>
      <c r="P42" s="8">
        <f>'5.Infrastructure Annex'!R38</f>
        <v>0</v>
      </c>
    </row>
    <row r="43" spans="1:16" ht="25.5" x14ac:dyDescent="0.2">
      <c r="A43" s="4" t="str">
        <f>'5.Infrastructure Annex'!A39</f>
        <v>5.1.1.3.3</v>
      </c>
      <c r="B43" s="4" t="str">
        <f>'5.Infrastructure Annex'!B39</f>
        <v>B4.1.2.3</v>
      </c>
      <c r="C43" s="4" t="str">
        <f>'5.Infrastructure Annex'!C39</f>
        <v>CHCs</v>
      </c>
      <c r="D43" s="8">
        <f>'5.Infrastructure Annex'!F39</f>
        <v>0</v>
      </c>
      <c r="E43" s="8">
        <f>'5.Infrastructure Annex'!G39</f>
        <v>0</v>
      </c>
      <c r="F43" s="8">
        <f>'5.Infrastructure Annex'!H39</f>
        <v>0</v>
      </c>
      <c r="G43" s="8">
        <f>'5.Infrastructure Annex'!I39</f>
        <v>0</v>
      </c>
      <c r="H43" s="8">
        <f>'5.Infrastructure Annex'!J39</f>
        <v>0</v>
      </c>
      <c r="I43" s="8">
        <f>'5.Infrastructure Annex'!K39</f>
        <v>0</v>
      </c>
      <c r="J43" s="8">
        <f>'5.Infrastructure Annex'!L39</f>
        <v>0</v>
      </c>
      <c r="K43" s="8">
        <f>'5.Infrastructure Annex'!M39</f>
        <v>0</v>
      </c>
      <c r="L43" s="8">
        <f>'5.Infrastructure Annex'!N39</f>
        <v>0</v>
      </c>
      <c r="M43" s="8">
        <f>'5.Infrastructure Annex'!O39</f>
        <v>0</v>
      </c>
      <c r="N43" s="8">
        <f>'5.Infrastructure Annex'!P39</f>
        <v>0</v>
      </c>
      <c r="O43" s="8">
        <f>'5.Infrastructure Annex'!Q39</f>
        <v>0</v>
      </c>
      <c r="P43" s="8">
        <f>'5.Infrastructure Annex'!R39</f>
        <v>0</v>
      </c>
    </row>
    <row r="44" spans="1:16" ht="25.5" x14ac:dyDescent="0.2">
      <c r="A44" s="4" t="str">
        <f>'5.Infrastructure Annex'!A40</f>
        <v>5.1.1.3.4</v>
      </c>
      <c r="B44" s="4" t="str">
        <f>'5.Infrastructure Annex'!B40</f>
        <v>B4.1.3.3</v>
      </c>
      <c r="C44" s="4" t="str">
        <f>'5.Infrastructure Annex'!C40</f>
        <v>PHCs</v>
      </c>
      <c r="D44" s="8">
        <f>'5.Infrastructure Annex'!F40</f>
        <v>0</v>
      </c>
      <c r="E44" s="8">
        <f>'5.Infrastructure Annex'!G40</f>
        <v>0</v>
      </c>
      <c r="F44" s="8">
        <f>'5.Infrastructure Annex'!H40</f>
        <v>0</v>
      </c>
      <c r="G44" s="8">
        <f>'5.Infrastructure Annex'!I40</f>
        <v>0</v>
      </c>
      <c r="H44" s="8">
        <f>'5.Infrastructure Annex'!J40</f>
        <v>0</v>
      </c>
      <c r="I44" s="8">
        <f>'5.Infrastructure Annex'!K40</f>
        <v>0</v>
      </c>
      <c r="J44" s="8">
        <f>'5.Infrastructure Annex'!L40</f>
        <v>0</v>
      </c>
      <c r="K44" s="8">
        <f>'5.Infrastructure Annex'!M40</f>
        <v>0</v>
      </c>
      <c r="L44" s="8">
        <f>'5.Infrastructure Annex'!N40</f>
        <v>0</v>
      </c>
      <c r="M44" s="8">
        <f>'5.Infrastructure Annex'!O40</f>
        <v>0</v>
      </c>
      <c r="N44" s="8">
        <f>'5.Infrastructure Annex'!P40</f>
        <v>0</v>
      </c>
      <c r="O44" s="8">
        <f>'5.Infrastructure Annex'!Q40</f>
        <v>0</v>
      </c>
      <c r="P44" s="8">
        <f>'5.Infrastructure Annex'!R40</f>
        <v>0</v>
      </c>
    </row>
    <row r="45" spans="1:16" ht="25.5" x14ac:dyDescent="0.2">
      <c r="A45" s="4" t="str">
        <f>'5.Infrastructure Annex'!A41</f>
        <v>5.1.1.3.5</v>
      </c>
      <c r="B45" s="4" t="str">
        <f>'5.Infrastructure Annex'!B41</f>
        <v>B4.1.4.3</v>
      </c>
      <c r="C45" s="4" t="str">
        <f>'5.Infrastructure Annex'!C41</f>
        <v>Spill over of Ongoing Upgradation Works - HWC-HSCs</v>
      </c>
      <c r="D45" s="8">
        <f>'5.Infrastructure Annex'!F41</f>
        <v>0</v>
      </c>
      <c r="E45" s="8">
        <f>'5.Infrastructure Annex'!G41</f>
        <v>0</v>
      </c>
      <c r="F45" s="8">
        <f>'5.Infrastructure Annex'!H41</f>
        <v>0</v>
      </c>
      <c r="G45" s="8">
        <f>'5.Infrastructure Annex'!I41</f>
        <v>0</v>
      </c>
      <c r="H45" s="8">
        <f>'5.Infrastructure Annex'!J41</f>
        <v>0</v>
      </c>
      <c r="I45" s="8">
        <f>'5.Infrastructure Annex'!K41</f>
        <v>0</v>
      </c>
      <c r="J45" s="8">
        <f>'5.Infrastructure Annex'!L41</f>
        <v>0</v>
      </c>
      <c r="K45" s="8">
        <f>'5.Infrastructure Annex'!M41</f>
        <v>0</v>
      </c>
      <c r="L45" s="8">
        <f>'5.Infrastructure Annex'!N41</f>
        <v>0</v>
      </c>
      <c r="M45" s="8">
        <f>'5.Infrastructure Annex'!O41</f>
        <v>0</v>
      </c>
      <c r="N45" s="8">
        <f>'5.Infrastructure Annex'!P41</f>
        <v>0</v>
      </c>
      <c r="O45" s="8">
        <f>'5.Infrastructure Annex'!Q41</f>
        <v>0</v>
      </c>
      <c r="P45" s="8">
        <f>'5.Infrastructure Annex'!R41</f>
        <v>0</v>
      </c>
    </row>
    <row r="46" spans="1:16" ht="25.5" x14ac:dyDescent="0.2">
      <c r="A46" s="4" t="str">
        <f>'5.Infrastructure Annex'!A42</f>
        <v>5.1.1.3.6</v>
      </c>
      <c r="B46" s="4" t="str">
        <f>'5.Infrastructure Annex'!B42</f>
        <v>B4.1.5.3</v>
      </c>
      <c r="C46" s="4" t="str">
        <f>'5.Infrastructure Annex'!C42</f>
        <v>Spill over of Ongoing Upgradation-MCH Wings</v>
      </c>
      <c r="D46" s="8">
        <f>'5.Infrastructure Annex'!F42</f>
        <v>0</v>
      </c>
      <c r="E46" s="8">
        <f>'5.Infrastructure Annex'!G42</f>
        <v>0</v>
      </c>
      <c r="F46" s="8">
        <f>'5.Infrastructure Annex'!H42</f>
        <v>0</v>
      </c>
      <c r="G46" s="8">
        <f>'5.Infrastructure Annex'!I42</f>
        <v>0</v>
      </c>
      <c r="H46" s="8">
        <f>'5.Infrastructure Annex'!J42</f>
        <v>0</v>
      </c>
      <c r="I46" s="8">
        <f>'5.Infrastructure Annex'!K42</f>
        <v>0</v>
      </c>
      <c r="J46" s="8">
        <f>'5.Infrastructure Annex'!L42</f>
        <v>0</v>
      </c>
      <c r="K46" s="8">
        <f>'5.Infrastructure Annex'!M42</f>
        <v>0</v>
      </c>
      <c r="L46" s="8">
        <f>'5.Infrastructure Annex'!N42</f>
        <v>0</v>
      </c>
      <c r="M46" s="8">
        <f>'5.Infrastructure Annex'!O42</f>
        <v>0</v>
      </c>
      <c r="N46" s="8">
        <f>'5.Infrastructure Annex'!P42</f>
        <v>0</v>
      </c>
      <c r="O46" s="8">
        <f>'5.Infrastructure Annex'!Q42</f>
        <v>0</v>
      </c>
      <c r="P46" s="8">
        <f>'5.Infrastructure Annex'!R42</f>
        <v>0</v>
      </c>
    </row>
    <row r="47" spans="1:16" ht="63.75" x14ac:dyDescent="0.2">
      <c r="A47" s="4" t="str">
        <f>'5.Infrastructure Annex'!A43</f>
        <v>5.1.1.3.7</v>
      </c>
      <c r="B47" s="4">
        <f>'5.Infrastructure Annex'!B43</f>
        <v>0</v>
      </c>
      <c r="C47" s="4" t="str">
        <f>'5.Infrastructure Annex'!C43</f>
        <v>Spill over of Ongoing Upgradation-Facility based new-born care centres (SNCU/NBSU/NBCC/KMC unit)/MNCU &amp; State resource centre/CLMC units/Paediatric HDUs</v>
      </c>
      <c r="D47" s="8">
        <f>'5.Infrastructure Annex'!F43</f>
        <v>0</v>
      </c>
      <c r="E47" s="8">
        <f>'5.Infrastructure Annex'!G43</f>
        <v>0</v>
      </c>
      <c r="F47" s="8">
        <f>'5.Infrastructure Annex'!H43</f>
        <v>0</v>
      </c>
      <c r="G47" s="8">
        <f>'5.Infrastructure Annex'!I43</f>
        <v>0</v>
      </c>
      <c r="H47" s="8">
        <f>'5.Infrastructure Annex'!J43</f>
        <v>0</v>
      </c>
      <c r="I47" s="8">
        <f>'5.Infrastructure Annex'!K43</f>
        <v>0</v>
      </c>
      <c r="J47" s="8">
        <f>'5.Infrastructure Annex'!L43</f>
        <v>0</v>
      </c>
      <c r="K47" s="8">
        <f>'5.Infrastructure Annex'!M43</f>
        <v>0</v>
      </c>
      <c r="L47" s="8">
        <f>'5.Infrastructure Annex'!N43</f>
        <v>0</v>
      </c>
      <c r="M47" s="8">
        <f>'5.Infrastructure Annex'!O43</f>
        <v>0</v>
      </c>
      <c r="N47" s="8">
        <f>'5.Infrastructure Annex'!P43</f>
        <v>0</v>
      </c>
      <c r="O47" s="8">
        <f>'5.Infrastructure Annex'!Q43</f>
        <v>0</v>
      </c>
      <c r="P47" s="8">
        <f>'5.Infrastructure Annex'!R43</f>
        <v>0</v>
      </c>
    </row>
    <row r="48" spans="1:16" ht="25.5" x14ac:dyDescent="0.2">
      <c r="A48" s="4" t="str">
        <f>'5.Infrastructure Annex'!A44</f>
        <v>5.1.1.3.8</v>
      </c>
      <c r="B48" s="4" t="str">
        <f>'5.Infrastructure Annex'!B44</f>
        <v>B.5.10.1.3</v>
      </c>
      <c r="C48" s="4" t="str">
        <f>'5.Infrastructure Annex'!C44</f>
        <v>Training Institutions</v>
      </c>
      <c r="D48" s="8">
        <f>'5.Infrastructure Annex'!F44</f>
        <v>0</v>
      </c>
      <c r="E48" s="8">
        <f>'5.Infrastructure Annex'!G44</f>
        <v>0</v>
      </c>
      <c r="F48" s="8">
        <f>'5.Infrastructure Annex'!H44</f>
        <v>0</v>
      </c>
      <c r="G48" s="8">
        <f>'5.Infrastructure Annex'!I44</f>
        <v>0</v>
      </c>
      <c r="H48" s="8">
        <f>'5.Infrastructure Annex'!J44</f>
        <v>0</v>
      </c>
      <c r="I48" s="8">
        <f>'5.Infrastructure Annex'!K44</f>
        <v>0</v>
      </c>
      <c r="J48" s="8">
        <f>'5.Infrastructure Annex'!L44</f>
        <v>0</v>
      </c>
      <c r="K48" s="8">
        <f>'5.Infrastructure Annex'!M44</f>
        <v>0</v>
      </c>
      <c r="L48" s="8">
        <f>'5.Infrastructure Annex'!N44</f>
        <v>0</v>
      </c>
      <c r="M48" s="8">
        <f>'5.Infrastructure Annex'!O44</f>
        <v>0</v>
      </c>
      <c r="N48" s="8">
        <f>'5.Infrastructure Annex'!P44</f>
        <v>0</v>
      </c>
      <c r="O48" s="8">
        <f>'5.Infrastructure Annex'!Q44</f>
        <v>0</v>
      </c>
      <c r="P48" s="8">
        <f>'5.Infrastructure Annex'!R44</f>
        <v>0</v>
      </c>
    </row>
    <row r="49" spans="1:16" ht="25.5" x14ac:dyDescent="0.2">
      <c r="A49" s="4" t="str">
        <f>'5.Infrastructure Annex'!A45</f>
        <v>5.1.1.3.9</v>
      </c>
      <c r="B49" s="4">
        <f>'5.Infrastructure Annex'!B45</f>
        <v>0</v>
      </c>
      <c r="C49" s="4" t="str">
        <f>'5.Infrastructure Annex'!C45</f>
        <v>Any Others</v>
      </c>
      <c r="D49" s="8">
        <f>'5.Infrastructure Annex'!F45</f>
        <v>0</v>
      </c>
      <c r="E49" s="8">
        <f>'5.Infrastructure Annex'!G45</f>
        <v>0</v>
      </c>
      <c r="F49" s="8">
        <f>'5.Infrastructure Annex'!H45</f>
        <v>0</v>
      </c>
      <c r="G49" s="8">
        <f>'5.Infrastructure Annex'!I45</f>
        <v>0</v>
      </c>
      <c r="H49" s="8">
        <f>'5.Infrastructure Annex'!J45</f>
        <v>0</v>
      </c>
      <c r="I49" s="8">
        <f>'5.Infrastructure Annex'!K45</f>
        <v>0</v>
      </c>
      <c r="J49" s="8">
        <f>'5.Infrastructure Annex'!L45</f>
        <v>0</v>
      </c>
      <c r="K49" s="8">
        <f>'5.Infrastructure Annex'!M45</f>
        <v>0</v>
      </c>
      <c r="L49" s="8">
        <f>'5.Infrastructure Annex'!N45</f>
        <v>0</v>
      </c>
      <c r="M49" s="8">
        <f>'5.Infrastructure Annex'!O45</f>
        <v>0</v>
      </c>
      <c r="N49" s="8">
        <f>'5.Infrastructure Annex'!P45</f>
        <v>0</v>
      </c>
      <c r="O49" s="8">
        <f>'5.Infrastructure Annex'!Q45</f>
        <v>0</v>
      </c>
      <c r="P49" s="8">
        <f>'5.Infrastructure Annex'!R45</f>
        <v>0</v>
      </c>
    </row>
    <row r="50" spans="1:16" ht="76.5" x14ac:dyDescent="0.2">
      <c r="A50" s="4" t="str">
        <f>'5.Infrastructure Annex'!A46</f>
        <v>5.1.1.4</v>
      </c>
      <c r="B50" s="4" t="str">
        <f>'5.Infrastructure Annex'!B46</f>
        <v>B4.1.1/ B4.1.2/ B4.1.3/ B4.1.4/ B4.1.6/ B.5.10</v>
      </c>
      <c r="C50" s="4" t="str">
        <f>'5.Infrastructure Annex'!C46</f>
        <v>Staff Quarters</v>
      </c>
      <c r="D50" s="8">
        <f>SUM(D51:D57)</f>
        <v>0</v>
      </c>
      <c r="E50" s="8">
        <f>SUM(E51:E57)</f>
        <v>0</v>
      </c>
      <c r="F50" s="8">
        <f>SUM(F51:F57)</f>
        <v>0</v>
      </c>
      <c r="G50" s="8">
        <f>SUM(G51:G57)</f>
        <v>0</v>
      </c>
      <c r="H50" s="8">
        <f>SUM(H51:H57)</f>
        <v>0</v>
      </c>
      <c r="I50" s="8">
        <f>'5.Infrastructure Annex'!K46</f>
        <v>0</v>
      </c>
      <c r="J50" s="8">
        <f>'5.Infrastructure Annex'!L46</f>
        <v>0</v>
      </c>
      <c r="K50" s="8">
        <f>'5.Infrastructure Annex'!M46</f>
        <v>0</v>
      </c>
      <c r="L50" s="8">
        <f>'5.Infrastructure Annex'!N46</f>
        <v>0</v>
      </c>
      <c r="M50" s="8">
        <f>SUM(M51:M57)</f>
        <v>0</v>
      </c>
      <c r="N50" s="8">
        <f>'5.Infrastructure Annex'!P46</f>
        <v>0</v>
      </c>
      <c r="O50" s="8">
        <f>'5.Infrastructure Annex'!Q46</f>
        <v>0</v>
      </c>
      <c r="P50" s="8">
        <f>SUM(P51:P57)</f>
        <v>0</v>
      </c>
    </row>
    <row r="51" spans="1:16" ht="25.5" x14ac:dyDescent="0.2">
      <c r="A51" s="4" t="str">
        <f>'5.Infrastructure Annex'!A47</f>
        <v>5.1.1.4.1</v>
      </c>
      <c r="B51" s="4" t="str">
        <f>'5.Infrastructure Annex'!B47</f>
        <v>B4.1.1.4</v>
      </c>
      <c r="C51" s="4" t="str">
        <f>'5.Infrastructure Annex'!C47</f>
        <v>District Hospitals (As per the DH Strengthening Guidelines)</v>
      </c>
      <c r="D51" s="8">
        <f>'5.Infrastructure Annex'!F47</f>
        <v>0</v>
      </c>
      <c r="E51" s="8">
        <f>'5.Infrastructure Annex'!G47</f>
        <v>0</v>
      </c>
      <c r="F51" s="8">
        <f>'5.Infrastructure Annex'!H47</f>
        <v>0</v>
      </c>
      <c r="G51" s="8">
        <f>'5.Infrastructure Annex'!I47</f>
        <v>0</v>
      </c>
      <c r="H51" s="8">
        <f>'5.Infrastructure Annex'!J47</f>
        <v>0</v>
      </c>
      <c r="I51" s="8">
        <f>'5.Infrastructure Annex'!K47</f>
        <v>0</v>
      </c>
      <c r="J51" s="8">
        <f>'5.Infrastructure Annex'!L47</f>
        <v>0</v>
      </c>
      <c r="K51" s="8">
        <f>'5.Infrastructure Annex'!M47</f>
        <v>0</v>
      </c>
      <c r="L51" s="8">
        <f>'5.Infrastructure Annex'!N47</f>
        <v>0</v>
      </c>
      <c r="M51" s="8">
        <f>'5.Infrastructure Annex'!O47</f>
        <v>0</v>
      </c>
      <c r="N51" s="8">
        <f>'5.Infrastructure Annex'!P47</f>
        <v>0</v>
      </c>
      <c r="O51" s="8">
        <f>'5.Infrastructure Annex'!Q47</f>
        <v>0</v>
      </c>
      <c r="P51" s="8">
        <f>'5.Infrastructure Annex'!R47</f>
        <v>0</v>
      </c>
    </row>
    <row r="52" spans="1:16" ht="25.5" x14ac:dyDescent="0.2">
      <c r="A52" s="4" t="str">
        <f>'5.Infrastructure Annex'!A48</f>
        <v>5.1.1.4.2</v>
      </c>
      <c r="B52" s="4" t="str">
        <f>'5.Infrastructure Annex'!B48</f>
        <v>B4.1.6.4</v>
      </c>
      <c r="C52" s="4" t="str">
        <f>'5.Infrastructure Annex'!C48</f>
        <v>SDH</v>
      </c>
      <c r="D52" s="8">
        <f>'5.Infrastructure Annex'!F48</f>
        <v>0</v>
      </c>
      <c r="E52" s="8">
        <f>'5.Infrastructure Annex'!G48</f>
        <v>0</v>
      </c>
      <c r="F52" s="8">
        <f>'5.Infrastructure Annex'!H48</f>
        <v>0</v>
      </c>
      <c r="G52" s="8">
        <f>'5.Infrastructure Annex'!I48</f>
        <v>0</v>
      </c>
      <c r="H52" s="8">
        <f>'5.Infrastructure Annex'!J48</f>
        <v>0</v>
      </c>
      <c r="I52" s="8">
        <f>'5.Infrastructure Annex'!K48</f>
        <v>0</v>
      </c>
      <c r="J52" s="8">
        <f>'5.Infrastructure Annex'!L48</f>
        <v>0</v>
      </c>
      <c r="K52" s="8">
        <f>'5.Infrastructure Annex'!M48</f>
        <v>0</v>
      </c>
      <c r="L52" s="8">
        <f>'5.Infrastructure Annex'!N48</f>
        <v>0</v>
      </c>
      <c r="M52" s="8">
        <f>'5.Infrastructure Annex'!O48</f>
        <v>0</v>
      </c>
      <c r="N52" s="8">
        <f>'5.Infrastructure Annex'!P48</f>
        <v>0</v>
      </c>
      <c r="O52" s="8">
        <f>'5.Infrastructure Annex'!Q48</f>
        <v>0</v>
      </c>
      <c r="P52" s="8">
        <f>'5.Infrastructure Annex'!R48</f>
        <v>0</v>
      </c>
    </row>
    <row r="53" spans="1:16" ht="25.5" x14ac:dyDescent="0.2">
      <c r="A53" s="4" t="str">
        <f>'5.Infrastructure Annex'!A49</f>
        <v>5.1.1.4.3</v>
      </c>
      <c r="B53" s="4" t="str">
        <f>'5.Infrastructure Annex'!B49</f>
        <v>B4.1.2.4</v>
      </c>
      <c r="C53" s="4" t="str">
        <f>'5.Infrastructure Annex'!C49</f>
        <v>CHCs</v>
      </c>
      <c r="D53" s="8">
        <f>'5.Infrastructure Annex'!F49</f>
        <v>0</v>
      </c>
      <c r="E53" s="8">
        <f>'5.Infrastructure Annex'!G49</f>
        <v>0</v>
      </c>
      <c r="F53" s="8">
        <f>'5.Infrastructure Annex'!H49</f>
        <v>0</v>
      </c>
      <c r="G53" s="8">
        <f>'5.Infrastructure Annex'!I49</f>
        <v>0</v>
      </c>
      <c r="H53" s="8">
        <f>'5.Infrastructure Annex'!J49</f>
        <v>0</v>
      </c>
      <c r="I53" s="8">
        <f>'5.Infrastructure Annex'!K49</f>
        <v>0</v>
      </c>
      <c r="J53" s="8">
        <f>'5.Infrastructure Annex'!L49</f>
        <v>0</v>
      </c>
      <c r="K53" s="8">
        <f>'5.Infrastructure Annex'!M49</f>
        <v>0</v>
      </c>
      <c r="L53" s="8">
        <f>'5.Infrastructure Annex'!N49</f>
        <v>0</v>
      </c>
      <c r="M53" s="8">
        <f>'5.Infrastructure Annex'!O49</f>
        <v>0</v>
      </c>
      <c r="N53" s="8">
        <f>'5.Infrastructure Annex'!P49</f>
        <v>0</v>
      </c>
      <c r="O53" s="8">
        <f>'5.Infrastructure Annex'!Q49</f>
        <v>0</v>
      </c>
      <c r="P53" s="8">
        <f>'5.Infrastructure Annex'!R49</f>
        <v>0</v>
      </c>
    </row>
    <row r="54" spans="1:16" ht="25.5" x14ac:dyDescent="0.2">
      <c r="A54" s="4" t="str">
        <f>'5.Infrastructure Annex'!A50</f>
        <v>5.1.1.4.4</v>
      </c>
      <c r="B54" s="4" t="str">
        <f>'5.Infrastructure Annex'!B50</f>
        <v>B4.1.3.4</v>
      </c>
      <c r="C54" s="4" t="str">
        <f>'5.Infrastructure Annex'!C50</f>
        <v>PHCs</v>
      </c>
      <c r="D54" s="8">
        <f>'5.Infrastructure Annex'!F50</f>
        <v>0</v>
      </c>
      <c r="E54" s="8">
        <f>'5.Infrastructure Annex'!G50</f>
        <v>0</v>
      </c>
      <c r="F54" s="8">
        <f>'5.Infrastructure Annex'!H50</f>
        <v>0</v>
      </c>
      <c r="G54" s="8">
        <f>'5.Infrastructure Annex'!I50</f>
        <v>0</v>
      </c>
      <c r="H54" s="8">
        <f>'5.Infrastructure Annex'!J50</f>
        <v>0</v>
      </c>
      <c r="I54" s="8">
        <f>'5.Infrastructure Annex'!K50</f>
        <v>0</v>
      </c>
      <c r="J54" s="8">
        <f>'5.Infrastructure Annex'!L50</f>
        <v>0</v>
      </c>
      <c r="K54" s="8">
        <f>'5.Infrastructure Annex'!M50</f>
        <v>0</v>
      </c>
      <c r="L54" s="8">
        <f>'5.Infrastructure Annex'!N50</f>
        <v>0</v>
      </c>
      <c r="M54" s="8">
        <f>'5.Infrastructure Annex'!O50</f>
        <v>0</v>
      </c>
      <c r="N54" s="8">
        <f>'5.Infrastructure Annex'!P50</f>
        <v>0</v>
      </c>
      <c r="O54" s="8">
        <f>'5.Infrastructure Annex'!Q50</f>
        <v>0</v>
      </c>
      <c r="P54" s="8">
        <f>'5.Infrastructure Annex'!R50</f>
        <v>0</v>
      </c>
    </row>
    <row r="55" spans="1:16" ht="25.5" x14ac:dyDescent="0.2">
      <c r="A55" s="4" t="str">
        <f>'5.Infrastructure Annex'!A51</f>
        <v>5.1.1.4.5</v>
      </c>
      <c r="B55" s="4" t="str">
        <f>'5.Infrastructure Annex'!B51</f>
        <v>B4.1.4.4</v>
      </c>
      <c r="C55" s="4" t="str">
        <f>'5.Infrastructure Annex'!C51</f>
        <v>Sub Centres</v>
      </c>
      <c r="D55" s="8">
        <f>'5.Infrastructure Annex'!F51</f>
        <v>0</v>
      </c>
      <c r="E55" s="8">
        <f>'5.Infrastructure Annex'!G51</f>
        <v>0</v>
      </c>
      <c r="F55" s="8">
        <f>'5.Infrastructure Annex'!H51</f>
        <v>0</v>
      </c>
      <c r="G55" s="8">
        <f>'5.Infrastructure Annex'!I51</f>
        <v>0</v>
      </c>
      <c r="H55" s="8">
        <f>'5.Infrastructure Annex'!J51</f>
        <v>0</v>
      </c>
      <c r="I55" s="8">
        <f>'5.Infrastructure Annex'!K51</f>
        <v>0</v>
      </c>
      <c r="J55" s="8">
        <f>'5.Infrastructure Annex'!L51</f>
        <v>0</v>
      </c>
      <c r="K55" s="8">
        <f>'5.Infrastructure Annex'!M51</f>
        <v>0</v>
      </c>
      <c r="L55" s="8">
        <f>'5.Infrastructure Annex'!N51</f>
        <v>0</v>
      </c>
      <c r="M55" s="8">
        <f>'5.Infrastructure Annex'!O51</f>
        <v>0</v>
      </c>
      <c r="N55" s="8">
        <f>'5.Infrastructure Annex'!P51</f>
        <v>0</v>
      </c>
      <c r="O55" s="8">
        <f>'5.Infrastructure Annex'!Q51</f>
        <v>0</v>
      </c>
      <c r="P55" s="8">
        <f>'5.Infrastructure Annex'!R51</f>
        <v>0</v>
      </c>
    </row>
    <row r="56" spans="1:16" ht="25.5" x14ac:dyDescent="0.2">
      <c r="A56" s="4" t="str">
        <f>'5.Infrastructure Annex'!A52</f>
        <v>5.1.1.4.6</v>
      </c>
      <c r="B56" s="4" t="str">
        <f>'5.Infrastructure Annex'!B52</f>
        <v>B.5.10.1.4</v>
      </c>
      <c r="C56" s="4" t="str">
        <f>'5.Infrastructure Annex'!C52</f>
        <v>Training Institutions (incl. hostels/residential facilities)</v>
      </c>
      <c r="D56" s="8">
        <f>'5.Infrastructure Annex'!F52</f>
        <v>0</v>
      </c>
      <c r="E56" s="8">
        <f>'5.Infrastructure Annex'!G52</f>
        <v>0</v>
      </c>
      <c r="F56" s="8">
        <f>'5.Infrastructure Annex'!H52</f>
        <v>0</v>
      </c>
      <c r="G56" s="8">
        <f>'5.Infrastructure Annex'!I52</f>
        <v>0</v>
      </c>
      <c r="H56" s="8">
        <f>'5.Infrastructure Annex'!J52</f>
        <v>0</v>
      </c>
      <c r="I56" s="8">
        <f>'5.Infrastructure Annex'!K52</f>
        <v>0</v>
      </c>
      <c r="J56" s="8">
        <f>'5.Infrastructure Annex'!L52</f>
        <v>0</v>
      </c>
      <c r="K56" s="8">
        <f>'5.Infrastructure Annex'!M52</f>
        <v>0</v>
      </c>
      <c r="L56" s="8">
        <f>'5.Infrastructure Annex'!N52</f>
        <v>0</v>
      </c>
      <c r="M56" s="8">
        <f>'5.Infrastructure Annex'!O52</f>
        <v>0</v>
      </c>
      <c r="N56" s="8">
        <f>'5.Infrastructure Annex'!P52</f>
        <v>0</v>
      </c>
      <c r="O56" s="8">
        <f>'5.Infrastructure Annex'!Q52</f>
        <v>0</v>
      </c>
      <c r="P56" s="8">
        <f>'5.Infrastructure Annex'!R52</f>
        <v>0</v>
      </c>
    </row>
    <row r="57" spans="1:16" ht="25.5" x14ac:dyDescent="0.2">
      <c r="A57" s="4" t="str">
        <f>'5.Infrastructure Annex'!A53</f>
        <v>5.1.1.4.7</v>
      </c>
      <c r="B57" s="4">
        <f>'5.Infrastructure Annex'!B53</f>
        <v>0</v>
      </c>
      <c r="C57" s="4" t="str">
        <f>'5.Infrastructure Annex'!C53</f>
        <v>Any Others</v>
      </c>
      <c r="D57" s="8">
        <f>'5.Infrastructure Annex'!F53</f>
        <v>0</v>
      </c>
      <c r="E57" s="8">
        <f>'5.Infrastructure Annex'!G53</f>
        <v>0</v>
      </c>
      <c r="F57" s="8">
        <f>'5.Infrastructure Annex'!H53</f>
        <v>0</v>
      </c>
      <c r="G57" s="8">
        <f>'5.Infrastructure Annex'!I53</f>
        <v>0</v>
      </c>
      <c r="H57" s="8">
        <f>'5.Infrastructure Annex'!J53</f>
        <v>0</v>
      </c>
      <c r="I57" s="8">
        <f>'5.Infrastructure Annex'!K53</f>
        <v>0</v>
      </c>
      <c r="J57" s="8">
        <f>'5.Infrastructure Annex'!L53</f>
        <v>0</v>
      </c>
      <c r="K57" s="8">
        <f>'5.Infrastructure Annex'!M53</f>
        <v>0</v>
      </c>
      <c r="L57" s="8">
        <f>'5.Infrastructure Annex'!N53</f>
        <v>0</v>
      </c>
      <c r="M57" s="8">
        <f>'5.Infrastructure Annex'!O53</f>
        <v>0</v>
      </c>
      <c r="N57" s="8">
        <f>'5.Infrastructure Annex'!P53</f>
        <v>0</v>
      </c>
      <c r="O57" s="8">
        <f>'5.Infrastructure Annex'!Q53</f>
        <v>0</v>
      </c>
      <c r="P57" s="8">
        <f>'5.Infrastructure Annex'!R53</f>
        <v>0</v>
      </c>
    </row>
    <row r="58" spans="1:16" x14ac:dyDescent="0.2">
      <c r="A58" s="20" t="str">
        <f>'5.Infrastructure Annex'!A54</f>
        <v>5.1.2</v>
      </c>
      <c r="B58" s="20" t="str">
        <f>'5.Infrastructure Annex'!B54</f>
        <v>B.4.3</v>
      </c>
      <c r="C58" s="20" t="str">
        <f>'5.Infrastructure Annex'!C54</f>
        <v>Sub Centre Rent and Contingencies</v>
      </c>
      <c r="D58" s="40">
        <f>'5.Infrastructure Annex'!F54</f>
        <v>0</v>
      </c>
      <c r="E58" s="40">
        <f>'5.Infrastructure Annex'!G54</f>
        <v>0</v>
      </c>
      <c r="F58" s="40">
        <f>'5.Infrastructure Annex'!H54</f>
        <v>0</v>
      </c>
      <c r="G58" s="40">
        <f>'5.Infrastructure Annex'!I54</f>
        <v>0</v>
      </c>
      <c r="H58" s="40">
        <f>'5.Infrastructure Annex'!J54</f>
        <v>0</v>
      </c>
      <c r="I58" s="40">
        <f>'5.Infrastructure Annex'!K54</f>
        <v>0</v>
      </c>
      <c r="J58" s="40">
        <f>'5.Infrastructure Annex'!L54</f>
        <v>0</v>
      </c>
      <c r="K58" s="40">
        <f>'5.Infrastructure Annex'!M54</f>
        <v>0</v>
      </c>
      <c r="L58" s="40">
        <f>'5.Infrastructure Annex'!N54</f>
        <v>0</v>
      </c>
      <c r="M58" s="40">
        <f>'5.Infrastructure Annex'!O54</f>
        <v>0</v>
      </c>
      <c r="N58" s="40">
        <f>'5.Infrastructure Annex'!P54</f>
        <v>0</v>
      </c>
      <c r="O58" s="40">
        <f>'5.Infrastructure Annex'!Q54</f>
        <v>0</v>
      </c>
      <c r="P58" s="40">
        <f>'5.Infrastructure Annex'!R54</f>
        <v>0</v>
      </c>
    </row>
    <row r="59" spans="1:16" x14ac:dyDescent="0.2">
      <c r="A59" s="32">
        <f>'5.Infrastructure Annex'!A55</f>
        <v>5.2</v>
      </c>
      <c r="B59" s="32">
        <f>'5.Infrastructure Annex'!B55</f>
        <v>0</v>
      </c>
      <c r="C59" s="32" t="str">
        <f>'5.Infrastructure Annex'!C55</f>
        <v xml:space="preserve">New Constructions </v>
      </c>
      <c r="D59" s="39"/>
      <c r="E59" s="39"/>
      <c r="F59" s="39">
        <f>F60+F75+F86</f>
        <v>0</v>
      </c>
      <c r="G59" s="39">
        <f>G60+G75+G86</f>
        <v>0</v>
      </c>
      <c r="H59" s="39">
        <f>H60+H75+H86</f>
        <v>0</v>
      </c>
      <c r="I59" s="39"/>
      <c r="J59" s="39"/>
      <c r="K59" s="39"/>
      <c r="L59" s="39"/>
      <c r="M59" s="39">
        <f>M60+M75+M86</f>
        <v>20</v>
      </c>
      <c r="N59" s="39"/>
      <c r="O59" s="39"/>
      <c r="P59" s="39">
        <f>P60+P75+P86</f>
        <v>0</v>
      </c>
    </row>
    <row r="60" spans="1:16" ht="153" x14ac:dyDescent="0.2">
      <c r="A60" s="20" t="str">
        <f>'5.Infrastructure Annex'!A56</f>
        <v>5.2.1</v>
      </c>
      <c r="B60" s="20" t="str">
        <f>'5.Infrastructure Annex'!B56</f>
        <v>B5.1/ B5.2/ B5.3/ B5.5/ B5.10/ A.9.10.2/ B.5.11/ B.5.12/B.5.13/ B4.1.5/ A.4.1.2/ A.2.5</v>
      </c>
      <c r="C60" s="20" t="str">
        <f>'5.Infrastructure Annex'!C56</f>
        <v>New construction (to be initiated this year) as per the IPHS norms including staff quarters</v>
      </c>
      <c r="D60" s="40"/>
      <c r="E60" s="40"/>
      <c r="F60" s="40">
        <f>SUM(F61:F74)</f>
        <v>0</v>
      </c>
      <c r="G60" s="40">
        <f>SUM(G61:G74)</f>
        <v>0</v>
      </c>
      <c r="H60" s="40">
        <f>SUM(H61:H74)</f>
        <v>0</v>
      </c>
      <c r="I60" s="40"/>
      <c r="J60" s="40"/>
      <c r="K60" s="40"/>
      <c r="L60" s="40"/>
      <c r="M60" s="40">
        <f>SUM(M61:M74)</f>
        <v>0</v>
      </c>
      <c r="N60" s="40"/>
      <c r="O60" s="40"/>
      <c r="P60" s="40">
        <f>SUM(P61:P74)</f>
        <v>0</v>
      </c>
    </row>
    <row r="61" spans="1:16" x14ac:dyDescent="0.2">
      <c r="A61" s="4" t="str">
        <f>'5.Infrastructure Annex'!A57</f>
        <v>5.2.1.1</v>
      </c>
      <c r="B61" s="4" t="str">
        <f>'5.Infrastructure Annex'!B57</f>
        <v>B5.12.1</v>
      </c>
      <c r="C61" s="4" t="str">
        <f>'5.Infrastructure Annex'!C57</f>
        <v>DH</v>
      </c>
      <c r="D61" s="8">
        <f>'5.Infrastructure Annex'!F57</f>
        <v>0</v>
      </c>
      <c r="E61" s="8">
        <f>'5.Infrastructure Annex'!G57</f>
        <v>0</v>
      </c>
      <c r="F61" s="8">
        <f>'5.Infrastructure Annex'!H57</f>
        <v>0</v>
      </c>
      <c r="G61" s="8">
        <f>'5.Infrastructure Annex'!I57</f>
        <v>0</v>
      </c>
      <c r="H61" s="8">
        <f>'5.Infrastructure Annex'!J57</f>
        <v>0</v>
      </c>
      <c r="I61" s="8">
        <f>'5.Infrastructure Annex'!K57</f>
        <v>0</v>
      </c>
      <c r="J61" s="8">
        <f>'5.Infrastructure Annex'!L57</f>
        <v>0</v>
      </c>
      <c r="K61" s="8">
        <f>'5.Infrastructure Annex'!M57</f>
        <v>0</v>
      </c>
      <c r="L61" s="8">
        <f>'5.Infrastructure Annex'!N57</f>
        <v>0</v>
      </c>
      <c r="M61" s="8">
        <f>'5.Infrastructure Annex'!O57</f>
        <v>0</v>
      </c>
      <c r="N61" s="8">
        <f>'5.Infrastructure Annex'!P57</f>
        <v>0</v>
      </c>
      <c r="O61" s="8">
        <f>'5.Infrastructure Annex'!Q57</f>
        <v>0</v>
      </c>
      <c r="P61" s="8">
        <f>'5.Infrastructure Annex'!R57</f>
        <v>0</v>
      </c>
    </row>
    <row r="62" spans="1:16" x14ac:dyDescent="0.2">
      <c r="A62" s="4" t="str">
        <f>'5.Infrastructure Annex'!A58</f>
        <v>5.2.1.2</v>
      </c>
      <c r="B62" s="4" t="str">
        <f>'5.Infrastructure Annex'!B58</f>
        <v>B5.11.1</v>
      </c>
      <c r="C62" s="4" t="str">
        <f>'5.Infrastructure Annex'!C58</f>
        <v>SDH</v>
      </c>
      <c r="D62" s="8">
        <f>'5.Infrastructure Annex'!F58</f>
        <v>0</v>
      </c>
      <c r="E62" s="8">
        <f>'5.Infrastructure Annex'!G58</f>
        <v>0</v>
      </c>
      <c r="F62" s="8">
        <f>'5.Infrastructure Annex'!H58</f>
        <v>0</v>
      </c>
      <c r="G62" s="8">
        <f>'5.Infrastructure Annex'!I58</f>
        <v>0</v>
      </c>
      <c r="H62" s="8">
        <f>'5.Infrastructure Annex'!J58</f>
        <v>0</v>
      </c>
      <c r="I62" s="8">
        <f>'5.Infrastructure Annex'!K58</f>
        <v>0</v>
      </c>
      <c r="J62" s="8">
        <f>'5.Infrastructure Annex'!L58</f>
        <v>0</v>
      </c>
      <c r="K62" s="8">
        <f>'5.Infrastructure Annex'!M58</f>
        <v>0</v>
      </c>
      <c r="L62" s="8">
        <f>'5.Infrastructure Annex'!N58</f>
        <v>0</v>
      </c>
      <c r="M62" s="8">
        <f>'5.Infrastructure Annex'!O58</f>
        <v>0</v>
      </c>
      <c r="N62" s="8">
        <f>'5.Infrastructure Annex'!P58</f>
        <v>0</v>
      </c>
      <c r="O62" s="8">
        <f>'5.Infrastructure Annex'!Q58</f>
        <v>0</v>
      </c>
      <c r="P62" s="8">
        <f>'5.Infrastructure Annex'!R58</f>
        <v>0</v>
      </c>
    </row>
    <row r="63" spans="1:16" x14ac:dyDescent="0.2">
      <c r="A63" s="4" t="str">
        <f>'5.Infrastructure Annex'!A59</f>
        <v>5.2.1.3</v>
      </c>
      <c r="B63" s="4" t="str">
        <f>'5.Infrastructure Annex'!B59</f>
        <v>B5.1.1</v>
      </c>
      <c r="C63" s="4" t="str">
        <f>'5.Infrastructure Annex'!C59</f>
        <v>CHCs</v>
      </c>
      <c r="D63" s="8">
        <f>'5.Infrastructure Annex'!F59</f>
        <v>0</v>
      </c>
      <c r="E63" s="8">
        <f>'5.Infrastructure Annex'!G59</f>
        <v>0</v>
      </c>
      <c r="F63" s="8">
        <f>'5.Infrastructure Annex'!H59</f>
        <v>0</v>
      </c>
      <c r="G63" s="8">
        <f>'5.Infrastructure Annex'!I59</f>
        <v>0</v>
      </c>
      <c r="H63" s="8">
        <f>'5.Infrastructure Annex'!J59</f>
        <v>0</v>
      </c>
      <c r="I63" s="8">
        <f>'5.Infrastructure Annex'!K59</f>
        <v>0</v>
      </c>
      <c r="J63" s="8">
        <f>'5.Infrastructure Annex'!L59</f>
        <v>0</v>
      </c>
      <c r="K63" s="8">
        <f>'5.Infrastructure Annex'!M59</f>
        <v>0</v>
      </c>
      <c r="L63" s="8">
        <f>'5.Infrastructure Annex'!N59</f>
        <v>0</v>
      </c>
      <c r="M63" s="8">
        <f>'5.Infrastructure Annex'!O59</f>
        <v>0</v>
      </c>
      <c r="N63" s="8">
        <f>'5.Infrastructure Annex'!P59</f>
        <v>0</v>
      </c>
      <c r="O63" s="8">
        <f>'5.Infrastructure Annex'!Q59</f>
        <v>0</v>
      </c>
      <c r="P63" s="8">
        <f>'5.Infrastructure Annex'!R59</f>
        <v>0</v>
      </c>
    </row>
    <row r="64" spans="1:16" x14ac:dyDescent="0.2">
      <c r="A64" s="4" t="str">
        <f>'5.Infrastructure Annex'!A60</f>
        <v>5.2.1.4</v>
      </c>
      <c r="B64" s="4" t="str">
        <f>'5.Infrastructure Annex'!B60</f>
        <v>B5.2.1</v>
      </c>
      <c r="C64" s="4" t="str">
        <f>'5.Infrastructure Annex'!C60</f>
        <v>PHCs</v>
      </c>
      <c r="D64" s="8">
        <f>'5.Infrastructure Annex'!F60</f>
        <v>0</v>
      </c>
      <c r="E64" s="8">
        <f>'5.Infrastructure Annex'!G60</f>
        <v>0</v>
      </c>
      <c r="F64" s="8">
        <f>'5.Infrastructure Annex'!H60</f>
        <v>0</v>
      </c>
      <c r="G64" s="8">
        <f>'5.Infrastructure Annex'!I60</f>
        <v>0</v>
      </c>
      <c r="H64" s="8">
        <f>'5.Infrastructure Annex'!J60</f>
        <v>0</v>
      </c>
      <c r="I64" s="8">
        <f>'5.Infrastructure Annex'!K60</f>
        <v>0</v>
      </c>
      <c r="J64" s="8">
        <f>'5.Infrastructure Annex'!L60</f>
        <v>0</v>
      </c>
      <c r="K64" s="8">
        <f>'5.Infrastructure Annex'!M60</f>
        <v>0</v>
      </c>
      <c r="L64" s="8">
        <f>'5.Infrastructure Annex'!N60</f>
        <v>0</v>
      </c>
      <c r="M64" s="8">
        <f>'5.Infrastructure Annex'!O60</f>
        <v>0</v>
      </c>
      <c r="N64" s="8">
        <f>'5.Infrastructure Annex'!P60</f>
        <v>0</v>
      </c>
      <c r="O64" s="8">
        <f>'5.Infrastructure Annex'!Q60</f>
        <v>0</v>
      </c>
      <c r="P64" s="8">
        <f>'5.Infrastructure Annex'!R60</f>
        <v>0</v>
      </c>
    </row>
    <row r="65" spans="1:16" x14ac:dyDescent="0.2">
      <c r="A65" s="4" t="str">
        <f>'5.Infrastructure Annex'!A61</f>
        <v>5.2.1.5</v>
      </c>
      <c r="B65" s="4" t="str">
        <f>'5.Infrastructure Annex'!B61</f>
        <v>B5.3.1</v>
      </c>
      <c r="C65" s="4" t="str">
        <f>'5.Infrastructure Annex'!C61</f>
        <v>SHCs/Sub Centres</v>
      </c>
      <c r="D65" s="8">
        <f>'5.Infrastructure Annex'!F61</f>
        <v>0</v>
      </c>
      <c r="E65" s="8">
        <f>'5.Infrastructure Annex'!G61</f>
        <v>0</v>
      </c>
      <c r="F65" s="8">
        <f>'5.Infrastructure Annex'!H61</f>
        <v>0</v>
      </c>
      <c r="G65" s="8">
        <f>'5.Infrastructure Annex'!I61</f>
        <v>0</v>
      </c>
      <c r="H65" s="8">
        <f>'5.Infrastructure Annex'!J61</f>
        <v>0</v>
      </c>
      <c r="I65" s="8">
        <f>'5.Infrastructure Annex'!K61</f>
        <v>0</v>
      </c>
      <c r="J65" s="8">
        <f>'5.Infrastructure Annex'!L61</f>
        <v>0</v>
      </c>
      <c r="K65" s="8">
        <f>'5.Infrastructure Annex'!M61</f>
        <v>0</v>
      </c>
      <c r="L65" s="8">
        <f>'5.Infrastructure Annex'!N61</f>
        <v>0</v>
      </c>
      <c r="M65" s="8">
        <f>'5.Infrastructure Annex'!O61</f>
        <v>0</v>
      </c>
      <c r="N65" s="8">
        <f>'5.Infrastructure Annex'!P61</f>
        <v>0</v>
      </c>
      <c r="O65" s="8">
        <f>'5.Infrastructure Annex'!Q61</f>
        <v>0</v>
      </c>
      <c r="P65" s="8">
        <f>'5.Infrastructure Annex'!R61</f>
        <v>0</v>
      </c>
    </row>
    <row r="66" spans="1:16" x14ac:dyDescent="0.2">
      <c r="A66" s="4" t="str">
        <f>'5.Infrastructure Annex'!A62</f>
        <v>5.2.1.6</v>
      </c>
      <c r="B66" s="4" t="str">
        <f>'5.Infrastructure Annex'!B62</f>
        <v>B4.1.5.1</v>
      </c>
      <c r="C66" s="4" t="str">
        <f>'5.Infrastructure Annex'!C62</f>
        <v>New construction: MCH Wings</v>
      </c>
      <c r="D66" s="8">
        <f>'5.Infrastructure Annex'!F62</f>
        <v>0</v>
      </c>
      <c r="E66" s="8">
        <f>'5.Infrastructure Annex'!G62</f>
        <v>0</v>
      </c>
      <c r="F66" s="8">
        <f>'5.Infrastructure Annex'!H62</f>
        <v>0</v>
      </c>
      <c r="G66" s="8">
        <f>'5.Infrastructure Annex'!I62</f>
        <v>0</v>
      </c>
      <c r="H66" s="8">
        <f>'5.Infrastructure Annex'!J62</f>
        <v>0</v>
      </c>
      <c r="I66" s="8">
        <f>'5.Infrastructure Annex'!K62</f>
        <v>0</v>
      </c>
      <c r="J66" s="8">
        <f>'5.Infrastructure Annex'!L62</f>
        <v>0</v>
      </c>
      <c r="K66" s="8">
        <f>'5.Infrastructure Annex'!M62</f>
        <v>0</v>
      </c>
      <c r="L66" s="8">
        <f>'5.Infrastructure Annex'!N62</f>
        <v>0</v>
      </c>
      <c r="M66" s="8">
        <f>'5.Infrastructure Annex'!O62</f>
        <v>0</v>
      </c>
      <c r="N66" s="8">
        <f>'5.Infrastructure Annex'!P62</f>
        <v>0</v>
      </c>
      <c r="O66" s="8">
        <f>'5.Infrastructure Annex'!Q62</f>
        <v>0</v>
      </c>
      <c r="P66" s="8">
        <f>'5.Infrastructure Annex'!R62</f>
        <v>0</v>
      </c>
    </row>
    <row r="67" spans="1:16" ht="38.25" x14ac:dyDescent="0.2">
      <c r="A67" s="4" t="str">
        <f>'5.Infrastructure Annex'!A63</f>
        <v>5.2.1.7</v>
      </c>
      <c r="B67" s="4" t="str">
        <f>'5.Infrastructure Annex'!B63</f>
        <v>B.5.6.1</v>
      </c>
      <c r="C67" s="4" t="str">
        <f>'5.Infrastructure Annex'!C63</f>
        <v>New construction: Facility based new-born care centres (SNCU/NBSU/NBCC/KMC unit)</v>
      </c>
      <c r="D67" s="8">
        <f>'5.Infrastructure Annex'!F63</f>
        <v>0</v>
      </c>
      <c r="E67" s="8">
        <f>'5.Infrastructure Annex'!G63</f>
        <v>0</v>
      </c>
      <c r="F67" s="8">
        <f>'5.Infrastructure Annex'!H63</f>
        <v>0</v>
      </c>
      <c r="G67" s="8">
        <f>'5.Infrastructure Annex'!I63</f>
        <v>0</v>
      </c>
      <c r="H67" s="8">
        <f>'5.Infrastructure Annex'!J63</f>
        <v>0</v>
      </c>
      <c r="I67" s="8">
        <f>'5.Infrastructure Annex'!K63</f>
        <v>0</v>
      </c>
      <c r="J67" s="8">
        <f>'5.Infrastructure Annex'!L63</f>
        <v>0</v>
      </c>
      <c r="K67" s="8">
        <f>'5.Infrastructure Annex'!M63</f>
        <v>0</v>
      </c>
      <c r="L67" s="8">
        <f>'5.Infrastructure Annex'!N63</f>
        <v>0</v>
      </c>
      <c r="M67" s="8">
        <f>'5.Infrastructure Annex'!O63</f>
        <v>0</v>
      </c>
      <c r="N67" s="8">
        <f>'5.Infrastructure Annex'!P63</f>
        <v>0</v>
      </c>
      <c r="O67" s="8">
        <f>'5.Infrastructure Annex'!Q63</f>
        <v>0</v>
      </c>
      <c r="P67" s="8">
        <f>'5.Infrastructure Annex'!R63</f>
        <v>0</v>
      </c>
    </row>
    <row r="68" spans="1:16" x14ac:dyDescent="0.2">
      <c r="A68" s="4" t="str">
        <f>'5.Infrastructure Annex'!A64</f>
        <v>5.2.1.8</v>
      </c>
      <c r="B68" s="4" t="str">
        <f>'5.Infrastructure Annex'!B64</f>
        <v>B5.13.1</v>
      </c>
      <c r="C68" s="4" t="str">
        <f>'5.Infrastructure Annex'!C64</f>
        <v>New construction: DEIC (RBSK)</v>
      </c>
      <c r="D68" s="8">
        <f>'5.Infrastructure Annex'!F64</f>
        <v>0</v>
      </c>
      <c r="E68" s="8">
        <f>'5.Infrastructure Annex'!G64</f>
        <v>0</v>
      </c>
      <c r="F68" s="8">
        <f>'5.Infrastructure Annex'!H64</f>
        <v>0</v>
      </c>
      <c r="G68" s="8">
        <f>'5.Infrastructure Annex'!I64</f>
        <v>0</v>
      </c>
      <c r="H68" s="8">
        <f>'5.Infrastructure Annex'!J64</f>
        <v>0</v>
      </c>
      <c r="I68" s="8">
        <f>'5.Infrastructure Annex'!K64</f>
        <v>0</v>
      </c>
      <c r="J68" s="8">
        <f>'5.Infrastructure Annex'!L64</f>
        <v>0</v>
      </c>
      <c r="K68" s="8">
        <f>'5.Infrastructure Annex'!M64</f>
        <v>0</v>
      </c>
      <c r="L68" s="8">
        <f>'5.Infrastructure Annex'!N64</f>
        <v>0</v>
      </c>
      <c r="M68" s="8">
        <f>'5.Infrastructure Annex'!O64</f>
        <v>0</v>
      </c>
      <c r="N68" s="8">
        <f>'5.Infrastructure Annex'!P64</f>
        <v>0</v>
      </c>
      <c r="O68" s="8">
        <f>'5.Infrastructure Annex'!Q64</f>
        <v>0</v>
      </c>
      <c r="P68" s="8">
        <f>'5.Infrastructure Annex'!R64</f>
        <v>0</v>
      </c>
    </row>
    <row r="69" spans="1:16" ht="25.5" x14ac:dyDescent="0.2">
      <c r="A69" s="4" t="str">
        <f>'5.Infrastructure Annex'!A65</f>
        <v>5.2.1.9</v>
      </c>
      <c r="B69" s="4" t="str">
        <f>'5.Infrastructure Annex'!B65</f>
        <v>A.4.1.2</v>
      </c>
      <c r="C69" s="4" t="str">
        <f>'5.Infrastructure Annex'!C65</f>
        <v xml:space="preserve">AFHCs at Medical college/ DH/CHC/PHC level  </v>
      </c>
      <c r="D69" s="8">
        <f>'5.Infrastructure Annex'!F65</f>
        <v>0</v>
      </c>
      <c r="E69" s="8">
        <f>'5.Infrastructure Annex'!G65</f>
        <v>0</v>
      </c>
      <c r="F69" s="8">
        <f>'5.Infrastructure Annex'!H65</f>
        <v>0</v>
      </c>
      <c r="G69" s="8">
        <f>'5.Infrastructure Annex'!I65</f>
        <v>0</v>
      </c>
      <c r="H69" s="8">
        <f>'5.Infrastructure Annex'!J65</f>
        <v>0</v>
      </c>
      <c r="I69" s="8">
        <f>'5.Infrastructure Annex'!K65</f>
        <v>0</v>
      </c>
      <c r="J69" s="8">
        <f>'5.Infrastructure Annex'!L65</f>
        <v>0</v>
      </c>
      <c r="K69" s="8">
        <f>'5.Infrastructure Annex'!M65</f>
        <v>0</v>
      </c>
      <c r="L69" s="8">
        <f>'5.Infrastructure Annex'!N65</f>
        <v>0</v>
      </c>
      <c r="M69" s="8">
        <f>'5.Infrastructure Annex'!O65</f>
        <v>0</v>
      </c>
      <c r="N69" s="8">
        <f>'5.Infrastructure Annex'!P65</f>
        <v>0</v>
      </c>
      <c r="O69" s="8">
        <f>'5.Infrastructure Annex'!Q65</f>
        <v>0</v>
      </c>
      <c r="P69" s="8">
        <f>'5.Infrastructure Annex'!R65</f>
        <v>0</v>
      </c>
    </row>
    <row r="70" spans="1:16" x14ac:dyDescent="0.2">
      <c r="A70" s="4" t="str">
        <f>'5.Infrastructure Annex'!A66</f>
        <v>5.2.1.10</v>
      </c>
      <c r="B70" s="4" t="str">
        <f>'5.Infrastructure Annex'!B66</f>
        <v>A.2.5</v>
      </c>
      <c r="C70" s="4" t="str">
        <f>'5.Infrastructure Annex'!C66</f>
        <v>Establishment of NRCs</v>
      </c>
      <c r="D70" s="8">
        <f>'5.Infrastructure Annex'!F66</f>
        <v>0</v>
      </c>
      <c r="E70" s="8">
        <f>'5.Infrastructure Annex'!G66</f>
        <v>0</v>
      </c>
      <c r="F70" s="8">
        <f>'5.Infrastructure Annex'!H66</f>
        <v>0</v>
      </c>
      <c r="G70" s="8">
        <f>'5.Infrastructure Annex'!I66</f>
        <v>0</v>
      </c>
      <c r="H70" s="8">
        <f>'5.Infrastructure Annex'!J66</f>
        <v>0</v>
      </c>
      <c r="I70" s="8">
        <f>'5.Infrastructure Annex'!K66</f>
        <v>0</v>
      </c>
      <c r="J70" s="8">
        <f>'5.Infrastructure Annex'!L66</f>
        <v>0</v>
      </c>
      <c r="K70" s="8">
        <f>'5.Infrastructure Annex'!M66</f>
        <v>0</v>
      </c>
      <c r="L70" s="8">
        <f>'5.Infrastructure Annex'!N66</f>
        <v>0</v>
      </c>
      <c r="M70" s="8">
        <f>'5.Infrastructure Annex'!O66</f>
        <v>0</v>
      </c>
      <c r="N70" s="8">
        <f>'5.Infrastructure Annex'!P66</f>
        <v>0</v>
      </c>
      <c r="O70" s="8">
        <f>'5.Infrastructure Annex'!Q66</f>
        <v>0</v>
      </c>
      <c r="P70" s="8">
        <f>'5.Infrastructure Annex'!R66</f>
        <v>0</v>
      </c>
    </row>
    <row r="71" spans="1:16" x14ac:dyDescent="0.2">
      <c r="A71" s="4" t="str">
        <f>'5.Infrastructure Annex'!A67</f>
        <v>5.2.1.11</v>
      </c>
      <c r="B71" s="4">
        <f>'5.Infrastructure Annex'!B67</f>
        <v>0</v>
      </c>
      <c r="C71" s="4" t="str">
        <f>'5.Infrastructure Annex'!C67</f>
        <v>Drug Warehouses</v>
      </c>
      <c r="D71" s="8">
        <f>'5.Infrastructure Annex'!F67</f>
        <v>0</v>
      </c>
      <c r="E71" s="8">
        <f>'5.Infrastructure Annex'!G67</f>
        <v>0</v>
      </c>
      <c r="F71" s="8">
        <f>'5.Infrastructure Annex'!H67</f>
        <v>0</v>
      </c>
      <c r="G71" s="8">
        <f>'5.Infrastructure Annex'!I67</f>
        <v>0</v>
      </c>
      <c r="H71" s="8">
        <f>'5.Infrastructure Annex'!J67</f>
        <v>0</v>
      </c>
      <c r="I71" s="8">
        <f>'5.Infrastructure Annex'!K67</f>
        <v>0</v>
      </c>
      <c r="J71" s="8">
        <f>'5.Infrastructure Annex'!L67</f>
        <v>0</v>
      </c>
      <c r="K71" s="8">
        <f>'5.Infrastructure Annex'!M67</f>
        <v>0</v>
      </c>
      <c r="L71" s="8">
        <f>'5.Infrastructure Annex'!N67</f>
        <v>0</v>
      </c>
      <c r="M71" s="8">
        <f>'5.Infrastructure Annex'!O67</f>
        <v>0</v>
      </c>
      <c r="N71" s="8">
        <f>'5.Infrastructure Annex'!P67</f>
        <v>0</v>
      </c>
      <c r="O71" s="8">
        <f>'5.Infrastructure Annex'!Q67</f>
        <v>0</v>
      </c>
      <c r="P71" s="8">
        <f>'5.Infrastructure Annex'!R67</f>
        <v>0</v>
      </c>
    </row>
    <row r="72" spans="1:16" x14ac:dyDescent="0.2">
      <c r="A72" s="4" t="str">
        <f>'5.Infrastructure Annex'!A68</f>
        <v>5.2.1.12</v>
      </c>
      <c r="B72" s="4" t="str">
        <f>'5.Infrastructure Annex'!B68</f>
        <v>B5.5</v>
      </c>
      <c r="C72" s="4" t="str">
        <f>'5.Infrastructure Annex'!C68</f>
        <v>Govt. Dispensaries/ others</v>
      </c>
      <c r="D72" s="8">
        <f>'5.Infrastructure Annex'!F68</f>
        <v>0</v>
      </c>
      <c r="E72" s="8">
        <f>'5.Infrastructure Annex'!G68</f>
        <v>0</v>
      </c>
      <c r="F72" s="8">
        <f>'5.Infrastructure Annex'!H68</f>
        <v>0</v>
      </c>
      <c r="G72" s="8">
        <f>'5.Infrastructure Annex'!I68</f>
        <v>0</v>
      </c>
      <c r="H72" s="8">
        <f>'5.Infrastructure Annex'!J68</f>
        <v>0</v>
      </c>
      <c r="I72" s="8">
        <f>'5.Infrastructure Annex'!K68</f>
        <v>0</v>
      </c>
      <c r="J72" s="8">
        <f>'5.Infrastructure Annex'!L68</f>
        <v>0</v>
      </c>
      <c r="K72" s="8">
        <f>'5.Infrastructure Annex'!M68</f>
        <v>0</v>
      </c>
      <c r="L72" s="8">
        <f>'5.Infrastructure Annex'!N68</f>
        <v>0</v>
      </c>
      <c r="M72" s="8">
        <f>'5.Infrastructure Annex'!O68</f>
        <v>0</v>
      </c>
      <c r="N72" s="8">
        <f>'5.Infrastructure Annex'!P68</f>
        <v>0</v>
      </c>
      <c r="O72" s="8">
        <f>'5.Infrastructure Annex'!Q68</f>
        <v>0</v>
      </c>
      <c r="P72" s="8">
        <f>'5.Infrastructure Annex'!R68</f>
        <v>0</v>
      </c>
    </row>
    <row r="73" spans="1:16" ht="25.5" x14ac:dyDescent="0.2">
      <c r="A73" s="4" t="str">
        <f>'5.Infrastructure Annex'!A69</f>
        <v>5.2.1.13</v>
      </c>
      <c r="B73" s="4" t="str">
        <f>'5.Infrastructure Annex'!B69</f>
        <v>B5.10.2/ B5.10.3</v>
      </c>
      <c r="C73" s="4" t="str">
        <f>'5.Infrastructure Annex'!C69</f>
        <v>Training Institutions</v>
      </c>
      <c r="D73" s="8">
        <f>'5.Infrastructure Annex'!F69</f>
        <v>0</v>
      </c>
      <c r="E73" s="8">
        <f>'5.Infrastructure Annex'!G69</f>
        <v>0</v>
      </c>
      <c r="F73" s="8">
        <f>'5.Infrastructure Annex'!H69</f>
        <v>0</v>
      </c>
      <c r="G73" s="8">
        <f>'5.Infrastructure Annex'!I69</f>
        <v>0</v>
      </c>
      <c r="H73" s="8">
        <f>'5.Infrastructure Annex'!J69</f>
        <v>0</v>
      </c>
      <c r="I73" s="8">
        <f>'5.Infrastructure Annex'!K69</f>
        <v>0</v>
      </c>
      <c r="J73" s="8">
        <f>'5.Infrastructure Annex'!L69</f>
        <v>0</v>
      </c>
      <c r="K73" s="8">
        <f>'5.Infrastructure Annex'!M69</f>
        <v>0</v>
      </c>
      <c r="L73" s="8">
        <f>'5.Infrastructure Annex'!N69</f>
        <v>0</v>
      </c>
      <c r="M73" s="8">
        <f>'5.Infrastructure Annex'!O69</f>
        <v>0</v>
      </c>
      <c r="N73" s="8">
        <f>'5.Infrastructure Annex'!P69</f>
        <v>0</v>
      </c>
      <c r="O73" s="8">
        <f>'5.Infrastructure Annex'!Q69</f>
        <v>0</v>
      </c>
      <c r="P73" s="8">
        <f>'5.Infrastructure Annex'!R69</f>
        <v>0</v>
      </c>
    </row>
    <row r="74" spans="1:16" x14ac:dyDescent="0.2">
      <c r="A74" s="4" t="str">
        <f>'5.Infrastructure Annex'!A70</f>
        <v>5.2.1.14</v>
      </c>
      <c r="B74" s="4">
        <f>'5.Infrastructure Annex'!B70</f>
        <v>0</v>
      </c>
      <c r="C74" s="4" t="str">
        <f>'5.Infrastructure Annex'!C70</f>
        <v>Others</v>
      </c>
      <c r="D74" s="8">
        <f>'5.Infrastructure Annex'!F70</f>
        <v>0</v>
      </c>
      <c r="E74" s="8">
        <f>'5.Infrastructure Annex'!G70</f>
        <v>0</v>
      </c>
      <c r="F74" s="8">
        <f>'5.Infrastructure Annex'!H70</f>
        <v>0</v>
      </c>
      <c r="G74" s="8">
        <f>'5.Infrastructure Annex'!I70</f>
        <v>0</v>
      </c>
      <c r="H74" s="8">
        <f>'5.Infrastructure Annex'!J70</f>
        <v>0</v>
      </c>
      <c r="I74" s="8">
        <f>'5.Infrastructure Annex'!K70</f>
        <v>0</v>
      </c>
      <c r="J74" s="8">
        <f>'5.Infrastructure Annex'!L70</f>
        <v>0</v>
      </c>
      <c r="K74" s="8">
        <f>'5.Infrastructure Annex'!M70</f>
        <v>0</v>
      </c>
      <c r="L74" s="8">
        <f>'5.Infrastructure Annex'!N70</f>
        <v>0</v>
      </c>
      <c r="M74" s="8">
        <f>'5.Infrastructure Annex'!O70</f>
        <v>0</v>
      </c>
      <c r="N74" s="8">
        <f>'5.Infrastructure Annex'!P70</f>
        <v>0</v>
      </c>
      <c r="O74" s="8">
        <f>'5.Infrastructure Annex'!Q70</f>
        <v>0</v>
      </c>
      <c r="P74" s="8">
        <f>'5.Infrastructure Annex'!R70</f>
        <v>0</v>
      </c>
    </row>
    <row r="75" spans="1:16" ht="114.75" x14ac:dyDescent="0.2">
      <c r="A75" s="20" t="str">
        <f>'5.Infrastructure Annex'!A71</f>
        <v>5.2.2</v>
      </c>
      <c r="B75" s="20" t="str">
        <f>'5.Infrastructure Annex'!B71</f>
        <v>B5.1/ B5.2/ B5.3/ B5.6/ B5.5/ B5.10/ B.5.11/ B.5.12/ B.5.13</v>
      </c>
      <c r="C75" s="20" t="str">
        <f>'5.Infrastructure Annex'!C71</f>
        <v>Carry forward of new construction initiated last year, or the year before</v>
      </c>
      <c r="D75" s="40"/>
      <c r="E75" s="40"/>
      <c r="F75" s="40">
        <f>SUM(F76:F85)</f>
        <v>0</v>
      </c>
      <c r="G75" s="40">
        <f>SUM(G76:G85)</f>
        <v>0</v>
      </c>
      <c r="H75" s="40">
        <f>SUM(H76:H85)</f>
        <v>0</v>
      </c>
      <c r="I75" s="40"/>
      <c r="J75" s="40"/>
      <c r="K75" s="40"/>
      <c r="L75" s="40"/>
      <c r="M75" s="40">
        <f>SUM(M76:M85)</f>
        <v>0</v>
      </c>
      <c r="N75" s="40"/>
      <c r="O75" s="40"/>
      <c r="P75" s="40">
        <f>SUM(P76:P85)</f>
        <v>0</v>
      </c>
    </row>
    <row r="76" spans="1:16" x14ac:dyDescent="0.2">
      <c r="A76" s="4" t="str">
        <f>'5.Infrastructure Annex'!A72</f>
        <v>5.2.2.1</v>
      </c>
      <c r="B76" s="4" t="str">
        <f>'5.Infrastructure Annex'!B72</f>
        <v>B.5.12.2</v>
      </c>
      <c r="C76" s="4" t="str">
        <f>'5.Infrastructure Annex'!C72</f>
        <v>DH</v>
      </c>
      <c r="D76" s="8">
        <f>'5.Infrastructure Annex'!F72</f>
        <v>0</v>
      </c>
      <c r="E76" s="8">
        <f>'5.Infrastructure Annex'!G72</f>
        <v>0</v>
      </c>
      <c r="F76" s="8">
        <f>'5.Infrastructure Annex'!H72</f>
        <v>0</v>
      </c>
      <c r="G76" s="8">
        <f>'5.Infrastructure Annex'!I72</f>
        <v>0</v>
      </c>
      <c r="H76" s="8">
        <f>'5.Infrastructure Annex'!J72</f>
        <v>0</v>
      </c>
      <c r="I76" s="8">
        <f>'5.Infrastructure Annex'!K72</f>
        <v>0</v>
      </c>
      <c r="J76" s="8">
        <f>'5.Infrastructure Annex'!L72</f>
        <v>0</v>
      </c>
      <c r="K76" s="8">
        <f>'5.Infrastructure Annex'!M72</f>
        <v>0</v>
      </c>
      <c r="L76" s="8">
        <f>'5.Infrastructure Annex'!N72</f>
        <v>0</v>
      </c>
      <c r="M76" s="8">
        <f>'5.Infrastructure Annex'!O72</f>
        <v>0</v>
      </c>
      <c r="N76" s="8">
        <f>'5.Infrastructure Annex'!P72</f>
        <v>0</v>
      </c>
      <c r="O76" s="8">
        <f>'5.Infrastructure Annex'!Q72</f>
        <v>0</v>
      </c>
      <c r="P76" s="8">
        <f>'5.Infrastructure Annex'!R72</f>
        <v>0</v>
      </c>
    </row>
    <row r="77" spans="1:16" x14ac:dyDescent="0.2">
      <c r="A77" s="4" t="str">
        <f>'5.Infrastructure Annex'!A73</f>
        <v>5.2.2.2</v>
      </c>
      <c r="B77" s="4" t="str">
        <f>'5.Infrastructure Annex'!B73</f>
        <v>B.5.11.2</v>
      </c>
      <c r="C77" s="4" t="str">
        <f>'5.Infrastructure Annex'!C73</f>
        <v>SDH</v>
      </c>
      <c r="D77" s="8">
        <f>'5.Infrastructure Annex'!F73</f>
        <v>0</v>
      </c>
      <c r="E77" s="8">
        <f>'5.Infrastructure Annex'!G73</f>
        <v>0</v>
      </c>
      <c r="F77" s="8">
        <f>'5.Infrastructure Annex'!H73</f>
        <v>0</v>
      </c>
      <c r="G77" s="8">
        <f>'5.Infrastructure Annex'!I73</f>
        <v>0</v>
      </c>
      <c r="H77" s="8">
        <f>'5.Infrastructure Annex'!J73</f>
        <v>0</v>
      </c>
      <c r="I77" s="8">
        <f>'5.Infrastructure Annex'!K73</f>
        <v>0</v>
      </c>
      <c r="J77" s="8">
        <f>'5.Infrastructure Annex'!L73</f>
        <v>0</v>
      </c>
      <c r="K77" s="8">
        <f>'5.Infrastructure Annex'!M73</f>
        <v>0</v>
      </c>
      <c r="L77" s="8">
        <f>'5.Infrastructure Annex'!N73</f>
        <v>0</v>
      </c>
      <c r="M77" s="8">
        <f>'5.Infrastructure Annex'!O73</f>
        <v>0</v>
      </c>
      <c r="N77" s="8">
        <f>'5.Infrastructure Annex'!P73</f>
        <v>0</v>
      </c>
      <c r="O77" s="8">
        <f>'5.Infrastructure Annex'!Q73</f>
        <v>0</v>
      </c>
      <c r="P77" s="8">
        <f>'5.Infrastructure Annex'!R73</f>
        <v>0</v>
      </c>
    </row>
    <row r="78" spans="1:16" x14ac:dyDescent="0.2">
      <c r="A78" s="4" t="str">
        <f>'5.Infrastructure Annex'!A74</f>
        <v>5.2.2.3</v>
      </c>
      <c r="B78" s="4" t="str">
        <f>'5.Infrastructure Annex'!B74</f>
        <v>B5.1.2</v>
      </c>
      <c r="C78" s="4" t="str">
        <f>'5.Infrastructure Annex'!C74</f>
        <v>CHCs</v>
      </c>
      <c r="D78" s="8">
        <f>'5.Infrastructure Annex'!F74</f>
        <v>0</v>
      </c>
      <c r="E78" s="8">
        <f>'5.Infrastructure Annex'!G74</f>
        <v>0</v>
      </c>
      <c r="F78" s="8">
        <f>'5.Infrastructure Annex'!H74</f>
        <v>0</v>
      </c>
      <c r="G78" s="8">
        <f>'5.Infrastructure Annex'!I74</f>
        <v>0</v>
      </c>
      <c r="H78" s="8">
        <f>'5.Infrastructure Annex'!J74</f>
        <v>0</v>
      </c>
      <c r="I78" s="8">
        <f>'5.Infrastructure Annex'!K74</f>
        <v>0</v>
      </c>
      <c r="J78" s="8">
        <f>'5.Infrastructure Annex'!L74</f>
        <v>0</v>
      </c>
      <c r="K78" s="8">
        <f>'5.Infrastructure Annex'!M74</f>
        <v>0</v>
      </c>
      <c r="L78" s="8">
        <f>'5.Infrastructure Annex'!N74</f>
        <v>0</v>
      </c>
      <c r="M78" s="8">
        <f>'5.Infrastructure Annex'!O74</f>
        <v>0</v>
      </c>
      <c r="N78" s="8">
        <f>'5.Infrastructure Annex'!P74</f>
        <v>0</v>
      </c>
      <c r="O78" s="8">
        <f>'5.Infrastructure Annex'!Q74</f>
        <v>0</v>
      </c>
      <c r="P78" s="8">
        <f>'5.Infrastructure Annex'!R74</f>
        <v>0</v>
      </c>
    </row>
    <row r="79" spans="1:16" x14ac:dyDescent="0.2">
      <c r="A79" s="4" t="str">
        <f>'5.Infrastructure Annex'!A75</f>
        <v>5.2.2.4</v>
      </c>
      <c r="B79" s="4" t="str">
        <f>'5.Infrastructure Annex'!B75</f>
        <v>B5.2.2</v>
      </c>
      <c r="C79" s="4" t="str">
        <f>'5.Infrastructure Annex'!C75</f>
        <v>PHCs</v>
      </c>
      <c r="D79" s="8">
        <f>'5.Infrastructure Annex'!F75</f>
        <v>0</v>
      </c>
      <c r="E79" s="8">
        <f>'5.Infrastructure Annex'!G75</f>
        <v>0</v>
      </c>
      <c r="F79" s="8">
        <f>'5.Infrastructure Annex'!H75</f>
        <v>0</v>
      </c>
      <c r="G79" s="8">
        <f>'5.Infrastructure Annex'!I75</f>
        <v>0</v>
      </c>
      <c r="H79" s="8">
        <f>'5.Infrastructure Annex'!J75</f>
        <v>0</v>
      </c>
      <c r="I79" s="8">
        <f>'5.Infrastructure Annex'!K75</f>
        <v>0</v>
      </c>
      <c r="J79" s="8">
        <f>'5.Infrastructure Annex'!L75</f>
        <v>0</v>
      </c>
      <c r="K79" s="8">
        <f>'5.Infrastructure Annex'!M75</f>
        <v>0</v>
      </c>
      <c r="L79" s="8">
        <f>'5.Infrastructure Annex'!N75</f>
        <v>0</v>
      </c>
      <c r="M79" s="8">
        <f>'5.Infrastructure Annex'!O75</f>
        <v>0</v>
      </c>
      <c r="N79" s="8">
        <f>'5.Infrastructure Annex'!P75</f>
        <v>0</v>
      </c>
      <c r="O79" s="8">
        <f>'5.Infrastructure Annex'!Q75</f>
        <v>0</v>
      </c>
      <c r="P79" s="8">
        <f>'5.Infrastructure Annex'!R75</f>
        <v>0</v>
      </c>
    </row>
    <row r="80" spans="1:16" x14ac:dyDescent="0.2">
      <c r="A80" s="4" t="str">
        <f>'5.Infrastructure Annex'!A76</f>
        <v>5.2.2.5</v>
      </c>
      <c r="B80" s="4" t="str">
        <f>'5.Infrastructure Annex'!B76</f>
        <v>B5.3.2</v>
      </c>
      <c r="C80" s="4" t="str">
        <f>'5.Infrastructure Annex'!C76</f>
        <v>SHCs/Sub Centres</v>
      </c>
      <c r="D80" s="8">
        <f>'5.Infrastructure Annex'!F76</f>
        <v>0</v>
      </c>
      <c r="E80" s="8">
        <f>'5.Infrastructure Annex'!G76</f>
        <v>0</v>
      </c>
      <c r="F80" s="8">
        <f>'5.Infrastructure Annex'!H76</f>
        <v>0</v>
      </c>
      <c r="G80" s="8">
        <f>'5.Infrastructure Annex'!I76</f>
        <v>0</v>
      </c>
      <c r="H80" s="8">
        <f>'5.Infrastructure Annex'!J76</f>
        <v>0</v>
      </c>
      <c r="I80" s="8">
        <f>'5.Infrastructure Annex'!K76</f>
        <v>0</v>
      </c>
      <c r="J80" s="8">
        <f>'5.Infrastructure Annex'!L76</f>
        <v>0</v>
      </c>
      <c r="K80" s="8">
        <f>'5.Infrastructure Annex'!M76</f>
        <v>0</v>
      </c>
      <c r="L80" s="8">
        <f>'5.Infrastructure Annex'!N76</f>
        <v>0</v>
      </c>
      <c r="M80" s="8">
        <f>'5.Infrastructure Annex'!O76</f>
        <v>0</v>
      </c>
      <c r="N80" s="8">
        <f>'5.Infrastructure Annex'!P76</f>
        <v>0</v>
      </c>
      <c r="O80" s="8">
        <f>'5.Infrastructure Annex'!Q76</f>
        <v>0</v>
      </c>
      <c r="P80" s="8">
        <f>'5.Infrastructure Annex'!R76</f>
        <v>0</v>
      </c>
    </row>
    <row r="81" spans="1:16" ht="51" x14ac:dyDescent="0.2">
      <c r="A81" s="4" t="str">
        <f>'5.Infrastructure Annex'!A77</f>
        <v>5.2.2.6</v>
      </c>
      <c r="B81" s="4" t="str">
        <f>'5.Infrastructure Annex'!B77</f>
        <v>B.5.6.2</v>
      </c>
      <c r="C81" s="4" t="str">
        <f>'5.Infrastructure Annex'!C77</f>
        <v>Carry forward: Facility based new-born care centres (SNCU/NBSU/NBCC/KMC unit/ Mother New-born Care Unit/ State Resource Centre/Paediatric HDU</v>
      </c>
      <c r="D81" s="8">
        <f>'5.Infrastructure Annex'!F77</f>
        <v>0</v>
      </c>
      <c r="E81" s="8">
        <f>'5.Infrastructure Annex'!G77</f>
        <v>0</v>
      </c>
      <c r="F81" s="8">
        <f>'5.Infrastructure Annex'!H77</f>
        <v>0</v>
      </c>
      <c r="G81" s="8">
        <f>'5.Infrastructure Annex'!I77</f>
        <v>0</v>
      </c>
      <c r="H81" s="8">
        <f>'5.Infrastructure Annex'!J77</f>
        <v>0</v>
      </c>
      <c r="I81" s="8">
        <f>'5.Infrastructure Annex'!K77</f>
        <v>0</v>
      </c>
      <c r="J81" s="8">
        <f>'5.Infrastructure Annex'!L77</f>
        <v>0</v>
      </c>
      <c r="K81" s="8">
        <f>'5.Infrastructure Annex'!M77</f>
        <v>0</v>
      </c>
      <c r="L81" s="8">
        <f>'5.Infrastructure Annex'!N77</f>
        <v>0</v>
      </c>
      <c r="M81" s="8">
        <f>'5.Infrastructure Annex'!O77</f>
        <v>0</v>
      </c>
      <c r="N81" s="8">
        <f>'5.Infrastructure Annex'!P77</f>
        <v>0</v>
      </c>
      <c r="O81" s="8">
        <f>'5.Infrastructure Annex'!Q77</f>
        <v>0</v>
      </c>
      <c r="P81" s="8">
        <f>'5.Infrastructure Annex'!R77</f>
        <v>0</v>
      </c>
    </row>
    <row r="82" spans="1:16" x14ac:dyDescent="0.2">
      <c r="A82" s="4" t="str">
        <f>'5.Infrastructure Annex'!A78</f>
        <v>5.2.2.7</v>
      </c>
      <c r="B82" s="4" t="str">
        <f>'5.Infrastructure Annex'!B78</f>
        <v>B.5.13.2</v>
      </c>
      <c r="C82" s="4" t="str">
        <f>'5.Infrastructure Annex'!C78</f>
        <v>Carry forward: DEIC (RBSK)</v>
      </c>
      <c r="D82" s="8">
        <f>'5.Infrastructure Annex'!F78</f>
        <v>0</v>
      </c>
      <c r="E82" s="8">
        <f>'5.Infrastructure Annex'!G78</f>
        <v>0</v>
      </c>
      <c r="F82" s="8">
        <f>'5.Infrastructure Annex'!H78</f>
        <v>0</v>
      </c>
      <c r="G82" s="8">
        <f>'5.Infrastructure Annex'!I78</f>
        <v>0</v>
      </c>
      <c r="H82" s="8">
        <f>'5.Infrastructure Annex'!J78</f>
        <v>0</v>
      </c>
      <c r="I82" s="8">
        <f>'5.Infrastructure Annex'!K78</f>
        <v>0</v>
      </c>
      <c r="J82" s="8">
        <f>'5.Infrastructure Annex'!L78</f>
        <v>0</v>
      </c>
      <c r="K82" s="8">
        <f>'5.Infrastructure Annex'!M78</f>
        <v>0</v>
      </c>
      <c r="L82" s="8">
        <f>'5.Infrastructure Annex'!N78</f>
        <v>0</v>
      </c>
      <c r="M82" s="8">
        <f>'5.Infrastructure Annex'!O78</f>
        <v>0</v>
      </c>
      <c r="N82" s="8">
        <f>'5.Infrastructure Annex'!P78</f>
        <v>0</v>
      </c>
      <c r="O82" s="8">
        <f>'5.Infrastructure Annex'!Q78</f>
        <v>0</v>
      </c>
      <c r="P82" s="8">
        <f>'5.Infrastructure Annex'!R78</f>
        <v>0</v>
      </c>
    </row>
    <row r="83" spans="1:16" x14ac:dyDescent="0.2">
      <c r="A83" s="4" t="str">
        <f>'5.Infrastructure Annex'!A79</f>
        <v>5.2.2.8</v>
      </c>
      <c r="B83" s="4" t="str">
        <f>'5.Infrastructure Annex'!B79</f>
        <v>B5.5</v>
      </c>
      <c r="C83" s="4" t="str">
        <f>'5.Infrastructure Annex'!C79</f>
        <v>Govt. Dispensaries/ others</v>
      </c>
      <c r="D83" s="8">
        <f>'5.Infrastructure Annex'!F79</f>
        <v>0</v>
      </c>
      <c r="E83" s="8">
        <f>'5.Infrastructure Annex'!G79</f>
        <v>0</v>
      </c>
      <c r="F83" s="8">
        <f>'5.Infrastructure Annex'!H79</f>
        <v>0</v>
      </c>
      <c r="G83" s="8">
        <f>'5.Infrastructure Annex'!I79</f>
        <v>0</v>
      </c>
      <c r="H83" s="8">
        <f>'5.Infrastructure Annex'!J79</f>
        <v>0</v>
      </c>
      <c r="I83" s="8">
        <f>'5.Infrastructure Annex'!K79</f>
        <v>0</v>
      </c>
      <c r="J83" s="8">
        <f>'5.Infrastructure Annex'!L79</f>
        <v>0</v>
      </c>
      <c r="K83" s="8">
        <f>'5.Infrastructure Annex'!M79</f>
        <v>0</v>
      </c>
      <c r="L83" s="8">
        <f>'5.Infrastructure Annex'!N79</f>
        <v>0</v>
      </c>
      <c r="M83" s="8">
        <f>'5.Infrastructure Annex'!O79</f>
        <v>0</v>
      </c>
      <c r="N83" s="8">
        <f>'5.Infrastructure Annex'!P79</f>
        <v>0</v>
      </c>
      <c r="O83" s="8">
        <f>'5.Infrastructure Annex'!Q79</f>
        <v>0</v>
      </c>
      <c r="P83" s="8">
        <f>'5.Infrastructure Annex'!R79</f>
        <v>0</v>
      </c>
    </row>
    <row r="84" spans="1:16" x14ac:dyDescent="0.2">
      <c r="A84" s="4" t="str">
        <f>'5.Infrastructure Annex'!A80</f>
        <v>5.2.2.9</v>
      </c>
      <c r="B84" s="4" t="str">
        <f>'5.Infrastructure Annex'!B80</f>
        <v>B5.10.4</v>
      </c>
      <c r="C84" s="4" t="str">
        <f>'5.Infrastructure Annex'!C80</f>
        <v>Training Institutions</v>
      </c>
      <c r="D84" s="8">
        <f>'5.Infrastructure Annex'!F80</f>
        <v>0</v>
      </c>
      <c r="E84" s="8">
        <f>'5.Infrastructure Annex'!G80</f>
        <v>0</v>
      </c>
      <c r="F84" s="8">
        <f>'5.Infrastructure Annex'!H80</f>
        <v>0</v>
      </c>
      <c r="G84" s="8">
        <f>'5.Infrastructure Annex'!I80</f>
        <v>0</v>
      </c>
      <c r="H84" s="8">
        <f>'5.Infrastructure Annex'!J80</f>
        <v>0</v>
      </c>
      <c r="I84" s="8">
        <f>'5.Infrastructure Annex'!K80</f>
        <v>0</v>
      </c>
      <c r="J84" s="8">
        <f>'5.Infrastructure Annex'!L80</f>
        <v>0</v>
      </c>
      <c r="K84" s="8">
        <f>'5.Infrastructure Annex'!M80</f>
        <v>0</v>
      </c>
      <c r="L84" s="8">
        <f>'5.Infrastructure Annex'!N80</f>
        <v>0</v>
      </c>
      <c r="M84" s="8">
        <f>'5.Infrastructure Annex'!O80</f>
        <v>0</v>
      </c>
      <c r="N84" s="8">
        <f>'5.Infrastructure Annex'!P80</f>
        <v>0</v>
      </c>
      <c r="O84" s="8">
        <f>'5.Infrastructure Annex'!Q80</f>
        <v>0</v>
      </c>
      <c r="P84" s="8">
        <f>'5.Infrastructure Annex'!R80</f>
        <v>0</v>
      </c>
    </row>
    <row r="85" spans="1:16" x14ac:dyDescent="0.2">
      <c r="A85" s="4" t="str">
        <f>'5.Infrastructure Annex'!A81</f>
        <v>5.2.2.10</v>
      </c>
      <c r="B85" s="4">
        <f>'5.Infrastructure Annex'!B81</f>
        <v>0</v>
      </c>
      <c r="C85" s="4" t="str">
        <f>'5.Infrastructure Annex'!C81</f>
        <v>Others</v>
      </c>
      <c r="D85" s="8">
        <f>'5.Infrastructure Annex'!F81</f>
        <v>0</v>
      </c>
      <c r="E85" s="8">
        <f>'5.Infrastructure Annex'!G81</f>
        <v>0</v>
      </c>
      <c r="F85" s="8">
        <f>'5.Infrastructure Annex'!H81</f>
        <v>0</v>
      </c>
      <c r="G85" s="8">
        <f>'5.Infrastructure Annex'!I81</f>
        <v>0</v>
      </c>
      <c r="H85" s="8">
        <f>'5.Infrastructure Annex'!J81</f>
        <v>0</v>
      </c>
      <c r="I85" s="8">
        <f>'5.Infrastructure Annex'!K81</f>
        <v>0</v>
      </c>
      <c r="J85" s="8">
        <f>'5.Infrastructure Annex'!L81</f>
        <v>0</v>
      </c>
      <c r="K85" s="8">
        <f>'5.Infrastructure Annex'!M81</f>
        <v>0</v>
      </c>
      <c r="L85" s="8">
        <f>'5.Infrastructure Annex'!N81</f>
        <v>0</v>
      </c>
      <c r="M85" s="8">
        <f>'5.Infrastructure Annex'!O81</f>
        <v>0</v>
      </c>
      <c r="N85" s="8">
        <f>'5.Infrastructure Annex'!P81</f>
        <v>0</v>
      </c>
      <c r="O85" s="8">
        <f>'5.Infrastructure Annex'!Q81</f>
        <v>0</v>
      </c>
      <c r="P85" s="8">
        <f>'5.Infrastructure Annex'!R81</f>
        <v>0</v>
      </c>
    </row>
    <row r="86" spans="1:16" ht="25.5" x14ac:dyDescent="0.2">
      <c r="A86" s="32">
        <f>'5.Infrastructure Annex'!A82</f>
        <v>5.3</v>
      </c>
      <c r="B86" s="32">
        <f>'5.Infrastructure Annex'!B82</f>
        <v>0</v>
      </c>
      <c r="C86" s="32" t="str">
        <f>'5.Infrastructure Annex'!C82</f>
        <v>Other construction/ Civil works except IPHS Infrastructure</v>
      </c>
      <c r="D86" s="39"/>
      <c r="E86" s="39"/>
      <c r="F86" s="39">
        <f>SUM(F87:F102)</f>
        <v>0</v>
      </c>
      <c r="G86" s="39">
        <f>SUM(G87:G102)</f>
        <v>0</v>
      </c>
      <c r="H86" s="39">
        <f>SUM(H87:H102)</f>
        <v>0</v>
      </c>
      <c r="I86" s="39"/>
      <c r="J86" s="39"/>
      <c r="K86" s="39"/>
      <c r="L86" s="39"/>
      <c r="M86" s="39">
        <f>SUM(M87:M102)</f>
        <v>20</v>
      </c>
      <c r="N86" s="39"/>
      <c r="O86" s="39"/>
      <c r="P86" s="39">
        <f>SUM(P87:P102)</f>
        <v>0</v>
      </c>
    </row>
    <row r="87" spans="1:16" x14ac:dyDescent="0.2">
      <c r="A87" s="4" t="str">
        <f>'5.Infrastructure Annex'!A83</f>
        <v>5.3.1</v>
      </c>
      <c r="B87" s="4" t="str">
        <f>'5.Infrastructure Annex'!B83</f>
        <v>B4.1.5.4</v>
      </c>
      <c r="C87" s="4" t="str">
        <f>'5.Infrastructure Annex'!C83</f>
        <v>Civil Works</v>
      </c>
      <c r="D87" s="8">
        <f>'5.Infrastructure Annex'!F83</f>
        <v>0</v>
      </c>
      <c r="E87" s="8">
        <f>'5.Infrastructure Annex'!G83</f>
        <v>0</v>
      </c>
      <c r="F87" s="8">
        <f>'5.Infrastructure Annex'!H83</f>
        <v>0</v>
      </c>
      <c r="G87" s="8">
        <f>'5.Infrastructure Annex'!I83</f>
        <v>0</v>
      </c>
      <c r="H87" s="8">
        <f>'5.Infrastructure Annex'!J83</f>
        <v>0</v>
      </c>
      <c r="I87" s="8">
        <f>'5.Infrastructure Annex'!K83</f>
        <v>0</v>
      </c>
      <c r="J87" s="8">
        <f>'5.Infrastructure Annex'!L83</f>
        <v>0</v>
      </c>
      <c r="K87" s="8">
        <f>'5.Infrastructure Annex'!M83</f>
        <v>0</v>
      </c>
      <c r="L87" s="8">
        <f>'5.Infrastructure Annex'!N83</f>
        <v>0</v>
      </c>
      <c r="M87" s="8">
        <f>'5.Infrastructure Annex'!O83</f>
        <v>0</v>
      </c>
      <c r="N87" s="8">
        <f>'5.Infrastructure Annex'!P83</f>
        <v>0</v>
      </c>
      <c r="O87" s="8">
        <f>'5.Infrastructure Annex'!Q83</f>
        <v>0</v>
      </c>
      <c r="P87" s="8">
        <f>'5.Infrastructure Annex'!R83</f>
        <v>0</v>
      </c>
    </row>
    <row r="88" spans="1:16" ht="25.5" x14ac:dyDescent="0.2">
      <c r="A88" s="4" t="str">
        <f>'5.Infrastructure Annex'!A84</f>
        <v>5.3.3</v>
      </c>
      <c r="B88" s="4" t="str">
        <f>'5.Infrastructure Annex'!B84</f>
        <v>B4.1.5.4.1</v>
      </c>
      <c r="C88" s="4" t="str">
        <f>'5.Infrastructure Annex'!C84</f>
        <v>Blood bank/ BCSU/ BSU/ Day care centre for hemoglobinopathies</v>
      </c>
      <c r="D88" s="8">
        <f>'5.Infrastructure Annex'!F84</f>
        <v>0</v>
      </c>
      <c r="E88" s="8">
        <f>'5.Infrastructure Annex'!G84</f>
        <v>0</v>
      </c>
      <c r="F88" s="8">
        <f>'5.Infrastructure Annex'!H84</f>
        <v>0</v>
      </c>
      <c r="G88" s="8">
        <f>'5.Infrastructure Annex'!I84</f>
        <v>0</v>
      </c>
      <c r="H88" s="8">
        <f>'5.Infrastructure Annex'!J84</f>
        <v>0</v>
      </c>
      <c r="I88" s="8">
        <f>'5.Infrastructure Annex'!K84</f>
        <v>0</v>
      </c>
      <c r="J88" s="8">
        <f>'5.Infrastructure Annex'!L84</f>
        <v>0</v>
      </c>
      <c r="K88" s="8">
        <f>'5.Infrastructure Annex'!M84</f>
        <v>0</v>
      </c>
      <c r="L88" s="8">
        <f>'5.Infrastructure Annex'!N84</f>
        <v>0</v>
      </c>
      <c r="M88" s="8">
        <f>'5.Infrastructure Annex'!O84</f>
        <v>0</v>
      </c>
      <c r="N88" s="8">
        <f>'5.Infrastructure Annex'!P84</f>
        <v>0</v>
      </c>
      <c r="O88" s="8">
        <f>'5.Infrastructure Annex'!Q84</f>
        <v>0</v>
      </c>
      <c r="P88" s="8">
        <f>'5.Infrastructure Annex'!R84</f>
        <v>0</v>
      </c>
    </row>
    <row r="89" spans="1:16" x14ac:dyDescent="0.2">
      <c r="A89" s="4" t="str">
        <f>'5.Infrastructure Annex'!A85</f>
        <v>5.3.4</v>
      </c>
      <c r="B89" s="4" t="str">
        <f>'5.Infrastructure Annex'!B85</f>
        <v>B.5.7</v>
      </c>
      <c r="C89" s="4" t="str">
        <f>'5.Infrastructure Annex'!C85</f>
        <v>Operationalization of FRUS</v>
      </c>
      <c r="D89" s="8">
        <f>'5.Infrastructure Annex'!F85</f>
        <v>0</v>
      </c>
      <c r="E89" s="8">
        <f>'5.Infrastructure Annex'!G85</f>
        <v>0</v>
      </c>
      <c r="F89" s="8">
        <f>'5.Infrastructure Annex'!H85</f>
        <v>0</v>
      </c>
      <c r="G89" s="8">
        <f>'5.Infrastructure Annex'!I85</f>
        <v>0</v>
      </c>
      <c r="H89" s="8">
        <f>'5.Infrastructure Annex'!J85</f>
        <v>0</v>
      </c>
      <c r="I89" s="8">
        <f>'5.Infrastructure Annex'!K85</f>
        <v>0</v>
      </c>
      <c r="J89" s="8">
        <f>'5.Infrastructure Annex'!L85</f>
        <v>0</v>
      </c>
      <c r="K89" s="8">
        <f>'5.Infrastructure Annex'!M85</f>
        <v>0</v>
      </c>
      <c r="L89" s="8">
        <f>'5.Infrastructure Annex'!N85</f>
        <v>0</v>
      </c>
      <c r="M89" s="8">
        <f>'5.Infrastructure Annex'!O85</f>
        <v>0</v>
      </c>
      <c r="N89" s="8">
        <f>'5.Infrastructure Annex'!P85</f>
        <v>0</v>
      </c>
      <c r="O89" s="8">
        <f>'5.Infrastructure Annex'!Q85</f>
        <v>0</v>
      </c>
      <c r="P89" s="8">
        <f>'5.Infrastructure Annex'!R85</f>
        <v>0</v>
      </c>
    </row>
    <row r="90" spans="1:16" ht="25.5" x14ac:dyDescent="0.2">
      <c r="A90" s="4" t="str">
        <f>'5.Infrastructure Annex'!A86</f>
        <v>5.3.5</v>
      </c>
      <c r="B90" s="4" t="str">
        <f>'5.Infrastructure Annex'!B86</f>
        <v>B.5.8</v>
      </c>
      <c r="C90" s="4" t="str">
        <f>'5.Infrastructure Annex'!C86</f>
        <v>Operationalization of 24 hour services at PHCs</v>
      </c>
      <c r="D90" s="8">
        <f>'5.Infrastructure Annex'!F86</f>
        <v>0</v>
      </c>
      <c r="E90" s="8">
        <f>'5.Infrastructure Annex'!G86</f>
        <v>0</v>
      </c>
      <c r="F90" s="8">
        <f>'5.Infrastructure Annex'!H86</f>
        <v>0</v>
      </c>
      <c r="G90" s="8">
        <f>'5.Infrastructure Annex'!I86</f>
        <v>0</v>
      </c>
      <c r="H90" s="8">
        <f>'5.Infrastructure Annex'!J86</f>
        <v>0</v>
      </c>
      <c r="I90" s="8">
        <f>'5.Infrastructure Annex'!K86</f>
        <v>0</v>
      </c>
      <c r="J90" s="8">
        <f>'5.Infrastructure Annex'!L86</f>
        <v>0</v>
      </c>
      <c r="K90" s="8">
        <f>'5.Infrastructure Annex'!M86</f>
        <v>0</v>
      </c>
      <c r="L90" s="8">
        <f>'5.Infrastructure Annex'!N86</f>
        <v>0</v>
      </c>
      <c r="M90" s="8">
        <f>'5.Infrastructure Annex'!O86</f>
        <v>0</v>
      </c>
      <c r="N90" s="8">
        <f>'5.Infrastructure Annex'!P86</f>
        <v>0</v>
      </c>
      <c r="O90" s="8">
        <f>'5.Infrastructure Annex'!Q86</f>
        <v>0</v>
      </c>
      <c r="P90" s="8">
        <f>'5.Infrastructure Annex'!R86</f>
        <v>0</v>
      </c>
    </row>
    <row r="91" spans="1:16" ht="25.5" x14ac:dyDescent="0.2">
      <c r="A91" s="4" t="str">
        <f>'5.Infrastructure Annex'!A87</f>
        <v>5.3.6</v>
      </c>
      <c r="B91" s="4" t="str">
        <f>'5.Infrastructure Annex'!B87</f>
        <v>B.5.9</v>
      </c>
      <c r="C91" s="4" t="str">
        <f>'5.Infrastructure Annex'!C87</f>
        <v>Operationalising Infection Management &amp; Environment Plan at health facilities</v>
      </c>
      <c r="D91" s="8">
        <f>'5.Infrastructure Annex'!F87</f>
        <v>0</v>
      </c>
      <c r="E91" s="8">
        <f>'5.Infrastructure Annex'!G87</f>
        <v>0</v>
      </c>
      <c r="F91" s="8">
        <f>'5.Infrastructure Annex'!H87</f>
        <v>0</v>
      </c>
      <c r="G91" s="8">
        <f>'5.Infrastructure Annex'!I87</f>
        <v>0</v>
      </c>
      <c r="H91" s="8">
        <f>'5.Infrastructure Annex'!J87</f>
        <v>0</v>
      </c>
      <c r="I91" s="8">
        <f>'5.Infrastructure Annex'!K87</f>
        <v>0</v>
      </c>
      <c r="J91" s="8">
        <f>'5.Infrastructure Annex'!L87</f>
        <v>0</v>
      </c>
      <c r="K91" s="8">
        <f>'5.Infrastructure Annex'!M87</f>
        <v>0</v>
      </c>
      <c r="L91" s="8">
        <f>'5.Infrastructure Annex'!N87</f>
        <v>0</v>
      </c>
      <c r="M91" s="8">
        <f>'5.Infrastructure Annex'!O87</f>
        <v>0</v>
      </c>
      <c r="N91" s="8">
        <f>'5.Infrastructure Annex'!P87</f>
        <v>0</v>
      </c>
      <c r="O91" s="8">
        <f>'5.Infrastructure Annex'!Q87</f>
        <v>0</v>
      </c>
      <c r="P91" s="8">
        <f>'5.Infrastructure Annex'!R87</f>
        <v>0</v>
      </c>
    </row>
    <row r="92" spans="1:16" ht="25.5" x14ac:dyDescent="0.2">
      <c r="A92" s="4" t="str">
        <f>'5.Infrastructure Annex'!A88</f>
        <v>5.3.8</v>
      </c>
      <c r="B92" s="4" t="str">
        <f>'5.Infrastructure Annex'!B88</f>
        <v>B.28.1</v>
      </c>
      <c r="C92" s="4" t="str">
        <f>'5.Infrastructure Annex'!C88</f>
        <v>Assistance to State for Capacity building (Burns &amp; injury): Civil Work</v>
      </c>
      <c r="D92" s="8">
        <f>'5.Infrastructure Annex'!F88</f>
        <v>0</v>
      </c>
      <c r="E92" s="8">
        <f>'5.Infrastructure Annex'!G88</f>
        <v>0</v>
      </c>
      <c r="F92" s="8">
        <f>'5.Infrastructure Annex'!H88</f>
        <v>0</v>
      </c>
      <c r="G92" s="8">
        <f>'5.Infrastructure Annex'!I88</f>
        <v>0</v>
      </c>
      <c r="H92" s="8">
        <f>'5.Infrastructure Annex'!J88</f>
        <v>0</v>
      </c>
      <c r="I92" s="8">
        <f>'5.Infrastructure Annex'!K88</f>
        <v>0</v>
      </c>
      <c r="J92" s="8">
        <f>'5.Infrastructure Annex'!L88</f>
        <v>0</v>
      </c>
      <c r="K92" s="8">
        <f>'5.Infrastructure Annex'!M88</f>
        <v>0</v>
      </c>
      <c r="L92" s="8">
        <f>'5.Infrastructure Annex'!N88</f>
        <v>0</v>
      </c>
      <c r="M92" s="8">
        <f>'5.Infrastructure Annex'!O88</f>
        <v>0</v>
      </c>
      <c r="N92" s="8">
        <f>'5.Infrastructure Annex'!P88</f>
        <v>0</v>
      </c>
      <c r="O92" s="8">
        <f>'5.Infrastructure Annex'!Q88</f>
        <v>0</v>
      </c>
      <c r="P92" s="8">
        <f>'5.Infrastructure Annex'!R88</f>
        <v>0</v>
      </c>
    </row>
    <row r="93" spans="1:16" x14ac:dyDescent="0.2">
      <c r="A93" s="4" t="str">
        <f>'5.Infrastructure Annex'!A89</f>
        <v>5.3.9</v>
      </c>
      <c r="B93" s="4" t="str">
        <f>'5.Infrastructure Annex'!B89</f>
        <v>C.1.p</v>
      </c>
      <c r="C93" s="4" t="str">
        <f>'5.Infrastructure Annex'!C89</f>
        <v>Safety Pits</v>
      </c>
      <c r="D93" s="8">
        <f>'5.Infrastructure Annex'!F89</f>
        <v>0</v>
      </c>
      <c r="E93" s="8">
        <f>'5.Infrastructure Annex'!G89</f>
        <v>0</v>
      </c>
      <c r="F93" s="8">
        <f>'5.Infrastructure Annex'!H89</f>
        <v>0</v>
      </c>
      <c r="G93" s="8">
        <f>'5.Infrastructure Annex'!I89</f>
        <v>0</v>
      </c>
      <c r="H93" s="8">
        <f>'5.Infrastructure Annex'!J89</f>
        <v>0</v>
      </c>
      <c r="I93" s="8">
        <f>'5.Infrastructure Annex'!K89</f>
        <v>0</v>
      </c>
      <c r="J93" s="8">
        <f>'5.Infrastructure Annex'!L89</f>
        <v>0</v>
      </c>
      <c r="K93" s="8">
        <f>'5.Infrastructure Annex'!M89</f>
        <v>0</v>
      </c>
      <c r="L93" s="8">
        <f>'5.Infrastructure Annex'!N89</f>
        <v>0</v>
      </c>
      <c r="M93" s="8">
        <f>'5.Infrastructure Annex'!O89</f>
        <v>0</v>
      </c>
      <c r="N93" s="8">
        <f>'5.Infrastructure Annex'!P89</f>
        <v>0</v>
      </c>
      <c r="O93" s="8">
        <f>'5.Infrastructure Annex'!Q89</f>
        <v>0</v>
      </c>
      <c r="P93" s="8">
        <f>'5.Infrastructure Annex'!R89</f>
        <v>0</v>
      </c>
    </row>
    <row r="94" spans="1:16" x14ac:dyDescent="0.2">
      <c r="A94" s="4" t="str">
        <f>'5.Infrastructure Annex'!A90</f>
        <v>5.3.10</v>
      </c>
      <c r="B94" s="4" t="str">
        <f>'5.Infrastructure Annex'!B90</f>
        <v>D.2</v>
      </c>
      <c r="C94" s="4" t="str">
        <f>'5.Infrastructure Annex'!C90</f>
        <v>Establishment of IDD Monitoring Lab</v>
      </c>
      <c r="D94" s="8">
        <f>'5.Infrastructure Annex'!F90</f>
        <v>0</v>
      </c>
      <c r="E94" s="8">
        <f>'5.Infrastructure Annex'!G90</f>
        <v>0</v>
      </c>
      <c r="F94" s="8">
        <f>'5.Infrastructure Annex'!H90</f>
        <v>0</v>
      </c>
      <c r="G94" s="8">
        <f>'5.Infrastructure Annex'!I90</f>
        <v>0</v>
      </c>
      <c r="H94" s="8">
        <f>'5.Infrastructure Annex'!J90</f>
        <v>0</v>
      </c>
      <c r="I94" s="8">
        <f>'5.Infrastructure Annex'!K90</f>
        <v>0</v>
      </c>
      <c r="J94" s="8">
        <f>'5.Infrastructure Annex'!L90</f>
        <v>0</v>
      </c>
      <c r="K94" s="8">
        <f>'5.Infrastructure Annex'!M90</f>
        <v>0</v>
      </c>
      <c r="L94" s="8">
        <f>'5.Infrastructure Annex'!N90</f>
        <v>0</v>
      </c>
      <c r="M94" s="8">
        <f>'5.Infrastructure Annex'!O90</f>
        <v>0</v>
      </c>
      <c r="N94" s="8">
        <f>'5.Infrastructure Annex'!P90</f>
        <v>0</v>
      </c>
      <c r="O94" s="8">
        <f>'5.Infrastructure Annex'!Q90</f>
        <v>0</v>
      </c>
      <c r="P94" s="8">
        <f>'5.Infrastructure Annex'!R90</f>
        <v>0</v>
      </c>
    </row>
    <row r="95" spans="1:16" ht="25.5" x14ac:dyDescent="0.2">
      <c r="A95" s="4" t="str">
        <f>'5.Infrastructure Annex'!A91</f>
        <v>5.3.11</v>
      </c>
      <c r="B95" s="4" t="str">
        <f>'5.Infrastructure Annex'!B91</f>
        <v>F.1.1.j</v>
      </c>
      <c r="C95" s="4" t="str">
        <f>'5.Infrastructure Annex'!C91</f>
        <v>Construction and maintenance of Hatcheries</v>
      </c>
      <c r="D95" s="8">
        <f>'5.Infrastructure Annex'!F91</f>
        <v>0</v>
      </c>
      <c r="E95" s="8">
        <f>'5.Infrastructure Annex'!G91</f>
        <v>0</v>
      </c>
      <c r="F95" s="8">
        <f>'5.Infrastructure Annex'!H91</f>
        <v>0</v>
      </c>
      <c r="G95" s="8">
        <f>'5.Infrastructure Annex'!I91</f>
        <v>0</v>
      </c>
      <c r="H95" s="8">
        <f>'5.Infrastructure Annex'!J91</f>
        <v>0</v>
      </c>
      <c r="I95" s="8">
        <f>'5.Infrastructure Annex'!K91</f>
        <v>0</v>
      </c>
      <c r="J95" s="8">
        <f>'5.Infrastructure Annex'!L91</f>
        <v>0</v>
      </c>
      <c r="K95" s="8">
        <f>'5.Infrastructure Annex'!M91</f>
        <v>0</v>
      </c>
      <c r="L95" s="8">
        <f>'5.Infrastructure Annex'!N91</f>
        <v>0</v>
      </c>
      <c r="M95" s="8">
        <f>'5.Infrastructure Annex'!O91</f>
        <v>0</v>
      </c>
      <c r="N95" s="8">
        <f>'5.Infrastructure Annex'!P91</f>
        <v>0</v>
      </c>
      <c r="O95" s="8">
        <f>'5.Infrastructure Annex'!Q91</f>
        <v>0</v>
      </c>
      <c r="P95" s="8">
        <f>'5.Infrastructure Annex'!R91</f>
        <v>0</v>
      </c>
    </row>
    <row r="96" spans="1:16" ht="114.75" x14ac:dyDescent="0.2">
      <c r="A96" s="4" t="str">
        <f>'5.Infrastructure Annex'!A92</f>
        <v>5.3.12</v>
      </c>
      <c r="B96" s="4" t="str">
        <f>'5.Infrastructure Annex'!B92</f>
        <v>F.2.1.e</v>
      </c>
      <c r="C96" s="4" t="str">
        <f>'5.Infrastructure Annex'!C92</f>
        <v>Infrastructure (INF)</v>
      </c>
      <c r="D96" s="8">
        <f>'5.Infrastructure Annex'!F92</f>
        <v>0</v>
      </c>
      <c r="E96" s="8">
        <f>'5.Infrastructure Annex'!G92</f>
        <v>0</v>
      </c>
      <c r="F96" s="8">
        <f>'5.Infrastructure Annex'!H92</f>
        <v>0</v>
      </c>
      <c r="G96" s="8">
        <f>'5.Infrastructure Annex'!I92</f>
        <v>0</v>
      </c>
      <c r="H96" s="8">
        <f>'5.Infrastructure Annex'!J92</f>
        <v>0</v>
      </c>
      <c r="I96" s="8" t="str">
        <f>'5.Infrastructure Annex'!K92</f>
        <v>Cost per centre</v>
      </c>
      <c r="J96" s="8">
        <f>'5.Infrastructure Annex'!L92</f>
        <v>2000000</v>
      </c>
      <c r="K96" s="8">
        <f>'5.Infrastructure Annex'!M92</f>
        <v>20</v>
      </c>
      <c r="L96" s="8">
        <f>'5.Infrastructure Annex'!N92</f>
        <v>1</v>
      </c>
      <c r="M96" s="8">
        <f>'5.Infrastructure Annex'!O92</f>
        <v>20</v>
      </c>
      <c r="N96" s="8" t="str">
        <f>'5.Infrastructure Annex'!P92</f>
        <v xml:space="preserve">New activity.
Proposed to establish a State Referral Lab for Leptospirosis in Hosur, Krishnagiri  
1. Civil Works - Rs. 20.00 Lakhs
</v>
      </c>
      <c r="O96" s="8">
        <f>'5.Infrastructure Annex'!Q92</f>
        <v>0</v>
      </c>
      <c r="P96" s="8">
        <f>'5.Infrastructure Annex'!R92</f>
        <v>0</v>
      </c>
    </row>
    <row r="97" spans="1:16" x14ac:dyDescent="0.2">
      <c r="A97" s="4" t="str">
        <f>'5.Infrastructure Annex'!A93</f>
        <v>5.3.13</v>
      </c>
      <c r="B97" s="4" t="str">
        <f>'5.Infrastructure Annex'!B93</f>
        <v>F.1.3.j</v>
      </c>
      <c r="C97" s="4" t="str">
        <f>'5.Infrastructure Annex'!C93</f>
        <v>ICU Establishment in Endemic District</v>
      </c>
      <c r="D97" s="8">
        <f>'5.Infrastructure Annex'!F93</f>
        <v>0</v>
      </c>
      <c r="E97" s="8">
        <f>'5.Infrastructure Annex'!G93</f>
        <v>0</v>
      </c>
      <c r="F97" s="8">
        <f>'5.Infrastructure Annex'!H93</f>
        <v>0</v>
      </c>
      <c r="G97" s="8">
        <f>'5.Infrastructure Annex'!I93</f>
        <v>0</v>
      </c>
      <c r="H97" s="8">
        <f>'5.Infrastructure Annex'!J93</f>
        <v>0</v>
      </c>
      <c r="I97" s="8">
        <f>'5.Infrastructure Annex'!K93</f>
        <v>0</v>
      </c>
      <c r="J97" s="8">
        <f>'5.Infrastructure Annex'!L93</f>
        <v>0</v>
      </c>
      <c r="K97" s="8">
        <f>'5.Infrastructure Annex'!M93</f>
        <v>0</v>
      </c>
      <c r="L97" s="8">
        <f>'5.Infrastructure Annex'!N93</f>
        <v>0</v>
      </c>
      <c r="M97" s="8">
        <f>'5.Infrastructure Annex'!O93</f>
        <v>0</v>
      </c>
      <c r="N97" s="8">
        <f>'5.Infrastructure Annex'!P93</f>
        <v>0</v>
      </c>
      <c r="O97" s="8">
        <f>'5.Infrastructure Annex'!Q93</f>
        <v>0</v>
      </c>
      <c r="P97" s="8">
        <f>'5.Infrastructure Annex'!R93</f>
        <v>0</v>
      </c>
    </row>
    <row r="98" spans="1:16" x14ac:dyDescent="0.2">
      <c r="A98" s="4" t="str">
        <f>'5.Infrastructure Annex'!A94</f>
        <v>5.3.14</v>
      </c>
      <c r="B98" s="4" t="str">
        <f>'5.Infrastructure Annex'!B94</f>
        <v>H.1</v>
      </c>
      <c r="C98" s="4" t="str">
        <f>'5.Infrastructure Annex'!C94</f>
        <v>Civil Works under NTEP</v>
      </c>
      <c r="D98" s="8">
        <f>'5.Infrastructure Annex'!F94</f>
        <v>0</v>
      </c>
      <c r="E98" s="8">
        <f>'5.Infrastructure Annex'!G94</f>
        <v>0</v>
      </c>
      <c r="F98" s="8">
        <f>'5.Infrastructure Annex'!H94</f>
        <v>0</v>
      </c>
      <c r="G98" s="8">
        <f>'5.Infrastructure Annex'!I94</f>
        <v>0</v>
      </c>
      <c r="H98" s="8">
        <f>'5.Infrastructure Annex'!J94</f>
        <v>0</v>
      </c>
      <c r="I98" s="8">
        <f>'5.Infrastructure Annex'!K94</f>
        <v>0</v>
      </c>
      <c r="J98" s="8">
        <f>'5.Infrastructure Annex'!L94</f>
        <v>0</v>
      </c>
      <c r="K98" s="8">
        <f>'5.Infrastructure Annex'!M94</f>
        <v>0</v>
      </c>
      <c r="L98" s="8">
        <f>'5.Infrastructure Annex'!N94</f>
        <v>0</v>
      </c>
      <c r="M98" s="8">
        <f>'5.Infrastructure Annex'!O94</f>
        <v>0</v>
      </c>
      <c r="N98" s="8">
        <f>'5.Infrastructure Annex'!P94</f>
        <v>0</v>
      </c>
      <c r="O98" s="8">
        <f>'5.Infrastructure Annex'!Q94</f>
        <v>0</v>
      </c>
      <c r="P98" s="8">
        <f>'5.Infrastructure Annex'!R94</f>
        <v>0</v>
      </c>
    </row>
    <row r="99" spans="1:16" ht="38.25" x14ac:dyDescent="0.2">
      <c r="A99" s="4" t="str">
        <f>'5.Infrastructure Annex'!A95</f>
        <v>5.3.15</v>
      </c>
      <c r="B99" s="4" t="str">
        <f>'5.Infrastructure Annex'!B95</f>
        <v>J.1.1</v>
      </c>
      <c r="C99" s="4" t="str">
        <f>'5.Infrastructure Annex'!C95</f>
        <v>District DMHP Centre, Counselling Centre under psychology dept.. In a selected college including crisis helpline</v>
      </c>
      <c r="D99" s="8">
        <f>'5.Infrastructure Annex'!F95</f>
        <v>0</v>
      </c>
      <c r="E99" s="8">
        <f>'5.Infrastructure Annex'!G95</f>
        <v>0</v>
      </c>
      <c r="F99" s="8">
        <f>'5.Infrastructure Annex'!H95</f>
        <v>0</v>
      </c>
      <c r="G99" s="8">
        <f>'5.Infrastructure Annex'!I95</f>
        <v>0</v>
      </c>
      <c r="H99" s="8">
        <f>'5.Infrastructure Annex'!J95</f>
        <v>0</v>
      </c>
      <c r="I99" s="8">
        <f>'5.Infrastructure Annex'!K95</f>
        <v>0</v>
      </c>
      <c r="J99" s="8">
        <f>'5.Infrastructure Annex'!L95</f>
        <v>0</v>
      </c>
      <c r="K99" s="8">
        <f>'5.Infrastructure Annex'!M95</f>
        <v>0</v>
      </c>
      <c r="L99" s="8">
        <f>'5.Infrastructure Annex'!N95</f>
        <v>0</v>
      </c>
      <c r="M99" s="8">
        <f>'5.Infrastructure Annex'!O95</f>
        <v>0</v>
      </c>
      <c r="N99" s="8">
        <f>'5.Infrastructure Annex'!P95</f>
        <v>0</v>
      </c>
      <c r="O99" s="8">
        <f>'5.Infrastructure Annex'!Q95</f>
        <v>0</v>
      </c>
      <c r="P99" s="8">
        <f>'5.Infrastructure Annex'!R95</f>
        <v>0</v>
      </c>
    </row>
    <row r="100" spans="1:16" ht="63.75" x14ac:dyDescent="0.2">
      <c r="A100" s="4" t="str">
        <f>'5.Infrastructure Annex'!A96</f>
        <v>5.3.16</v>
      </c>
      <c r="B100" s="4" t="str">
        <f>'5.Infrastructure Annex'!B96</f>
        <v>K.2.1.1</v>
      </c>
      <c r="C100" s="4" t="str">
        <f>'5.Infrastructure Annex'!C96</f>
        <v>Non-recurring GIA: New Construction @80  lakh/ Extension of existing ward @ 40 lakh/ Renovation @20 lakh/ for Geriatrics Unit with 10 beds and OPD facilities at DH</v>
      </c>
      <c r="D100" s="8">
        <f>'5.Infrastructure Annex'!F96</f>
        <v>0</v>
      </c>
      <c r="E100" s="8">
        <f>'5.Infrastructure Annex'!G96</f>
        <v>0</v>
      </c>
      <c r="F100" s="8">
        <f>'5.Infrastructure Annex'!H96</f>
        <v>0</v>
      </c>
      <c r="G100" s="8">
        <f>'5.Infrastructure Annex'!I96</f>
        <v>0</v>
      </c>
      <c r="H100" s="8">
        <f>'5.Infrastructure Annex'!J96</f>
        <v>0</v>
      </c>
      <c r="I100" s="8">
        <f>'5.Infrastructure Annex'!K96</f>
        <v>0</v>
      </c>
      <c r="J100" s="8">
        <f>'5.Infrastructure Annex'!L96</f>
        <v>0</v>
      </c>
      <c r="K100" s="8">
        <f>'5.Infrastructure Annex'!M96</f>
        <v>0</v>
      </c>
      <c r="L100" s="8">
        <f>'5.Infrastructure Annex'!N96</f>
        <v>0</v>
      </c>
      <c r="M100" s="8">
        <f>'5.Infrastructure Annex'!O96</f>
        <v>0</v>
      </c>
      <c r="N100" s="8">
        <f>'5.Infrastructure Annex'!P96</f>
        <v>0</v>
      </c>
      <c r="O100" s="8">
        <f>'5.Infrastructure Annex'!Q96</f>
        <v>0</v>
      </c>
      <c r="P100" s="8">
        <f>'5.Infrastructure Annex'!R96</f>
        <v>0</v>
      </c>
    </row>
    <row r="101" spans="1:16" x14ac:dyDescent="0.2">
      <c r="A101" s="4" t="str">
        <f>'5.Infrastructure Annex'!A97</f>
        <v>5.3.17</v>
      </c>
      <c r="B101" s="4" t="str">
        <f>'5.Infrastructure Annex'!B97</f>
        <v>O1.1.2.1</v>
      </c>
      <c r="C101" s="4" t="str">
        <f>'5.Infrastructure Annex'!C97</f>
        <v>Cardiac Care Unit (CCU/ ICU)</v>
      </c>
      <c r="D101" s="8">
        <f>'5.Infrastructure Annex'!F97</f>
        <v>0</v>
      </c>
      <c r="E101" s="8">
        <f>'5.Infrastructure Annex'!G97</f>
        <v>0</v>
      </c>
      <c r="F101" s="8">
        <f>'5.Infrastructure Annex'!H97</f>
        <v>0</v>
      </c>
      <c r="G101" s="8">
        <f>'5.Infrastructure Annex'!I97</f>
        <v>0</v>
      </c>
      <c r="H101" s="8">
        <f>'5.Infrastructure Annex'!J97</f>
        <v>0</v>
      </c>
      <c r="I101" s="8">
        <f>'5.Infrastructure Annex'!K97</f>
        <v>0</v>
      </c>
      <c r="J101" s="8">
        <f>'5.Infrastructure Annex'!L97</f>
        <v>0</v>
      </c>
      <c r="K101" s="8">
        <f>'5.Infrastructure Annex'!M97</f>
        <v>0</v>
      </c>
      <c r="L101" s="8">
        <f>'5.Infrastructure Annex'!N97</f>
        <v>0</v>
      </c>
      <c r="M101" s="8">
        <f>'5.Infrastructure Annex'!O97</f>
        <v>0</v>
      </c>
      <c r="N101" s="8">
        <f>'5.Infrastructure Annex'!P97</f>
        <v>0</v>
      </c>
      <c r="O101" s="8">
        <f>'5.Infrastructure Annex'!Q97</f>
        <v>0</v>
      </c>
      <c r="P101" s="8">
        <f>'5.Infrastructure Annex'!R97</f>
        <v>0</v>
      </c>
    </row>
    <row r="102" spans="1:16" x14ac:dyDescent="0.2">
      <c r="A102" s="4" t="str">
        <f>'5.Infrastructure Annex'!A98</f>
        <v>5.3.18</v>
      </c>
      <c r="B102" s="4">
        <f>'5.Infrastructure Annex'!B98</f>
        <v>0</v>
      </c>
      <c r="C102" s="4" t="str">
        <f>'5.Infrastructure Annex'!C98</f>
        <v>Any other (please specify)</v>
      </c>
      <c r="D102" s="8">
        <f>'5.Infrastructure Annex'!F98</f>
        <v>0</v>
      </c>
      <c r="E102" s="8">
        <f>'5.Infrastructure Annex'!G98</f>
        <v>0</v>
      </c>
      <c r="F102" s="8">
        <f>'5.Infrastructure Annex'!H98</f>
        <v>0</v>
      </c>
      <c r="G102" s="8">
        <f>'5.Infrastructure Annex'!I98</f>
        <v>0</v>
      </c>
      <c r="H102" s="8">
        <f>'5.Infrastructure Annex'!J98</f>
        <v>0</v>
      </c>
      <c r="I102" s="8">
        <f>'5.Infrastructure Annex'!K98</f>
        <v>0</v>
      </c>
      <c r="J102" s="8">
        <f>'5.Infrastructure Annex'!L98</f>
        <v>0</v>
      </c>
      <c r="K102" s="8">
        <f>'5.Infrastructure Annex'!M98</f>
        <v>0</v>
      </c>
      <c r="L102" s="8">
        <f>'5.Infrastructure Annex'!N98</f>
        <v>0</v>
      </c>
      <c r="M102" s="8">
        <f>'5.Infrastructure Annex'!O98</f>
        <v>0</v>
      </c>
      <c r="N102" s="8">
        <f>'5.Infrastructure Annex'!P98</f>
        <v>0</v>
      </c>
      <c r="O102" s="8">
        <f>'5.Infrastructure Annex'!Q98</f>
        <v>0</v>
      </c>
      <c r="P102" s="8">
        <f>'5.Infrastructure Annex'!R98</f>
        <v>0</v>
      </c>
    </row>
    <row r="103" spans="1:16" x14ac:dyDescent="0.2">
      <c r="A103" s="32">
        <f>'6-A. Proc. Sub-Annex'!B5</f>
        <v>6.1</v>
      </c>
      <c r="B103" s="32" t="str">
        <f>'6-A. Proc. Sub-Annex'!C5</f>
        <v>B.16.1</v>
      </c>
      <c r="C103" s="32" t="str">
        <f>'6-A. Proc. Sub-Annex'!D5</f>
        <v>Procurement of Equipment</v>
      </c>
      <c r="D103" s="39"/>
      <c r="E103" s="39"/>
      <c r="F103" s="39">
        <f>'6-A. Proc. Sub-Annex'!I5</f>
        <v>0</v>
      </c>
      <c r="G103" s="39">
        <f>'6-A. Proc. Sub-Annex'!J5</f>
        <v>0</v>
      </c>
      <c r="H103" s="39">
        <f>'6-A. Proc. Sub-Annex'!K5</f>
        <v>0</v>
      </c>
      <c r="I103" s="39"/>
      <c r="J103" s="39"/>
      <c r="K103" s="39"/>
      <c r="L103" s="39"/>
      <c r="M103" s="39">
        <f>SUM(M104:M213)</f>
        <v>4330.1598000000004</v>
      </c>
      <c r="N103" s="39"/>
      <c r="O103" s="39"/>
      <c r="P103" s="39">
        <f>SUM(P104:P213)</f>
        <v>0</v>
      </c>
    </row>
    <row r="104" spans="1:16" ht="25.5" x14ac:dyDescent="0.2">
      <c r="A104" s="4" t="str">
        <f>'6-A. Proc. Sub-Annex'!B7</f>
        <v>6.1.1.1</v>
      </c>
      <c r="B104" s="4" t="str">
        <f>'6-A. Proc. Sub-Annex'!C7</f>
        <v>B16.1.1</v>
      </c>
      <c r="C104" s="4" t="str">
        <f>'6-A. Proc. Sub-Annex'!D7</f>
        <v>Procurement of bio-medical and other equipment:  MH</v>
      </c>
      <c r="D104" s="8"/>
      <c r="E104" s="8"/>
      <c r="F104" s="8">
        <f>SUM(F105:F108)</f>
        <v>0</v>
      </c>
      <c r="G104" s="8">
        <f>SUM(G105:G108)</f>
        <v>0</v>
      </c>
      <c r="H104" s="8">
        <f>SUM(H105:H108)</f>
        <v>0</v>
      </c>
      <c r="I104" s="8"/>
      <c r="J104" s="8"/>
      <c r="K104" s="8"/>
      <c r="L104" s="8"/>
      <c r="M104" s="8">
        <f>SUM(M105:M108)</f>
        <v>2024.9999</v>
      </c>
      <c r="N104" s="8">
        <f>'6-A. Proc. Sub-Annex'!Q7</f>
        <v>0</v>
      </c>
      <c r="O104" s="8">
        <f>'6-A. Proc. Sub-Annex'!R7</f>
        <v>0</v>
      </c>
      <c r="P104" s="8">
        <f>SUM(P105:P108)</f>
        <v>0</v>
      </c>
    </row>
    <row r="105" spans="1:16" ht="25.5" x14ac:dyDescent="0.2">
      <c r="A105" s="4" t="str">
        <f>'6-A. Proc. Sub-Annex'!B8</f>
        <v>6.1.1.1.1</v>
      </c>
      <c r="B105" s="4" t="str">
        <f>'6-A. Proc. Sub-Annex'!C8</f>
        <v>B16.1.1.2</v>
      </c>
      <c r="C105" s="4" t="str">
        <f>'6-A. Proc. Sub-Annex'!D8</f>
        <v>MVA /EVA for Safe Abortion services</v>
      </c>
      <c r="D105" s="8">
        <f>'6-A. Proc. Sub-Annex'!G8</f>
        <v>0</v>
      </c>
      <c r="E105" s="8">
        <f>'6-A. Proc. Sub-Annex'!H8</f>
        <v>0</v>
      </c>
      <c r="F105" s="8">
        <f>'6-A. Proc. Sub-Annex'!I8</f>
        <v>0</v>
      </c>
      <c r="G105" s="8">
        <f>'6-A. Proc. Sub-Annex'!J8</f>
        <v>0</v>
      </c>
      <c r="H105" s="8">
        <f>'6-A. Proc. Sub-Annex'!K8</f>
        <v>0</v>
      </c>
      <c r="I105" s="8">
        <f>'6-A. Proc. Sub-Annex'!L8</f>
        <v>0</v>
      </c>
      <c r="J105" s="8">
        <f>'6-A. Proc. Sub-Annex'!M8</f>
        <v>0</v>
      </c>
      <c r="K105" s="8">
        <f>'6-A. Proc. Sub-Annex'!N8</f>
        <v>0</v>
      </c>
      <c r="L105" s="8">
        <f>'6-A. Proc. Sub-Annex'!O8</f>
        <v>0</v>
      </c>
      <c r="M105" s="8">
        <f>'6-A. Proc. Sub-Annex'!P8</f>
        <v>0</v>
      </c>
      <c r="N105" s="8">
        <f>'6-A. Proc. Sub-Annex'!Q8</f>
        <v>0</v>
      </c>
      <c r="O105" s="8">
        <f>'6-A. Proc. Sub-Annex'!R8</f>
        <v>0</v>
      </c>
      <c r="P105" s="8">
        <f>'6-A. Proc. Sub-Annex'!S8</f>
        <v>0</v>
      </c>
    </row>
    <row r="106" spans="1:16" ht="25.5" x14ac:dyDescent="0.2">
      <c r="A106" s="4" t="str">
        <f>'6-A. Proc. Sub-Annex'!B9</f>
        <v>6.1.1.1.2</v>
      </c>
      <c r="B106" s="4">
        <f>'6-A. Proc. Sub-Annex'!C9</f>
        <v>0</v>
      </c>
      <c r="C106" s="4" t="str">
        <f>'6-A. Proc. Sub-Annex'!D9</f>
        <v>Procurement under LaQshya</v>
      </c>
      <c r="D106" s="8">
        <f>'6-A. Proc. Sub-Annex'!G9</f>
        <v>0</v>
      </c>
      <c r="E106" s="8">
        <f>'6-A. Proc. Sub-Annex'!H9</f>
        <v>0</v>
      </c>
      <c r="F106" s="8">
        <f>'6-A. Proc. Sub-Annex'!I9</f>
        <v>0</v>
      </c>
      <c r="G106" s="8">
        <f>'6-A. Proc. Sub-Annex'!J9</f>
        <v>0</v>
      </c>
      <c r="H106" s="8">
        <f>'6-A. Proc. Sub-Annex'!K9</f>
        <v>0</v>
      </c>
      <c r="I106" s="8">
        <f>'6-A. Proc. Sub-Annex'!L9</f>
        <v>0</v>
      </c>
      <c r="J106" s="8">
        <f>'6-A. Proc. Sub-Annex'!M9</f>
        <v>0</v>
      </c>
      <c r="K106" s="8">
        <f>'6-A. Proc. Sub-Annex'!N9</f>
        <v>0</v>
      </c>
      <c r="L106" s="8">
        <f>'6-A. Proc. Sub-Annex'!O9</f>
        <v>0</v>
      </c>
      <c r="M106" s="8">
        <f>'6-A. Proc. Sub-Annex'!P9</f>
        <v>0</v>
      </c>
      <c r="N106" s="8">
        <f>'6-A. Proc. Sub-Annex'!Q9</f>
        <v>0</v>
      </c>
      <c r="O106" s="8">
        <f>'6-A. Proc. Sub-Annex'!R9</f>
        <v>0</v>
      </c>
      <c r="P106" s="8">
        <f>'6-A. Proc. Sub-Annex'!S9</f>
        <v>0</v>
      </c>
    </row>
    <row r="107" spans="1:16" ht="38.25" x14ac:dyDescent="0.2">
      <c r="A107" s="4" t="str">
        <f>'6-A. Proc. Sub-Annex'!B10</f>
        <v>6.1.1.1.3</v>
      </c>
      <c r="B107" s="4">
        <f>'6-A. Proc. Sub-Annex'!C10</f>
        <v>0</v>
      </c>
      <c r="C107" s="4" t="str">
        <f>'6-A. Proc. Sub-Annex'!D10</f>
        <v>Equipment for  Obstetric ICUs/ HDUs (as per operational guidelines of ICUs and HDUs, 2017)</v>
      </c>
      <c r="D107" s="8">
        <f>'6-A. Proc. Sub-Annex'!G10</f>
        <v>0</v>
      </c>
      <c r="E107" s="8">
        <f>'6-A. Proc. Sub-Annex'!H10</f>
        <v>0</v>
      </c>
      <c r="F107" s="8">
        <f>'6-A. Proc. Sub-Annex'!I10</f>
        <v>0</v>
      </c>
      <c r="G107" s="8">
        <f>'6-A. Proc. Sub-Annex'!J10</f>
        <v>0</v>
      </c>
      <c r="H107" s="8">
        <f>'6-A. Proc. Sub-Annex'!K10</f>
        <v>0</v>
      </c>
      <c r="I107" s="8">
        <f>'6-A. Proc. Sub-Annex'!L10</f>
        <v>0</v>
      </c>
      <c r="J107" s="8">
        <f>'6-A. Proc. Sub-Annex'!M10</f>
        <v>0</v>
      </c>
      <c r="K107" s="8">
        <f>'6-A. Proc. Sub-Annex'!N10</f>
        <v>0</v>
      </c>
      <c r="L107" s="8">
        <f>'6-A. Proc. Sub-Annex'!O10</f>
        <v>0</v>
      </c>
      <c r="M107" s="8">
        <f>'6-A. Proc. Sub-Annex'!P10</f>
        <v>0</v>
      </c>
      <c r="N107" s="8">
        <f>'6-A. Proc. Sub-Annex'!Q10</f>
        <v>0</v>
      </c>
      <c r="O107" s="8">
        <f>'6-A. Proc. Sub-Annex'!R10</f>
        <v>0</v>
      </c>
      <c r="P107" s="8">
        <f>'6-A. Proc. Sub-Annex'!S10</f>
        <v>0</v>
      </c>
    </row>
    <row r="108" spans="1:16" ht="409.5" x14ac:dyDescent="0.2">
      <c r="A108" s="4" t="str">
        <f>'6-A. Proc. Sub-Annex'!B12</f>
        <v>6.1.1.1.4</v>
      </c>
      <c r="B108" s="4" t="str">
        <f>'6-A. Proc. Sub-Annex'!C12</f>
        <v>B16.1.1.3</v>
      </c>
      <c r="C108" s="4" t="str">
        <f>'6-A. Proc. Sub-Annex'!D12</f>
        <v>Any other equipment (please specify)</v>
      </c>
      <c r="D108" s="8">
        <f>'6-A. Proc. Sub-Annex'!G12</f>
        <v>0</v>
      </c>
      <c r="E108" s="8">
        <f>'6-A. Proc. Sub-Annex'!H12</f>
        <v>0</v>
      </c>
      <c r="F108" s="8">
        <f>'6-A. Proc. Sub-Annex'!I12</f>
        <v>0</v>
      </c>
      <c r="G108" s="8">
        <f>'6-A. Proc. Sub-Annex'!J12</f>
        <v>0</v>
      </c>
      <c r="H108" s="8">
        <f>'6-A. Proc. Sub-Annex'!K12</f>
        <v>0</v>
      </c>
      <c r="I108" s="8" t="str">
        <f>'6-A. Proc. Sub-Annex'!L12</f>
        <v>Cost per centre</v>
      </c>
      <c r="J108" s="8">
        <f>'6-A. Proc. Sub-Annex'!M12</f>
        <v>9204545</v>
      </c>
      <c r="K108" s="8">
        <f>'6-A. Proc. Sub-Annex'!N12</f>
        <v>92.045450000000002</v>
      </c>
      <c r="L108" s="8">
        <f>'6-A. Proc. Sub-Annex'!O12</f>
        <v>22</v>
      </c>
      <c r="M108" s="8">
        <f>'6-A. Proc. Sub-Annex'!P12</f>
        <v>2024.9999</v>
      </c>
      <c r="N108" s="8" t="str">
        <f>'6-A. Proc. Sub-Annex'!Q12</f>
        <v xml:space="preserve">Ongoing activity
1. Upgradation of Cemonc Centres at RSRM, Thiruvarur, Villupuram and Theni approved in ROP 2018-19. Construction work completed. Equipment cost proposed for Rs. 6.00 Cr. At Rs. 1.5 Cr per each Centre in ROP 2021-22.  
2. Construction of MCH Centres was approved in ROP 2018-19 at Virudhunagar, Kanchipuram, Tiruppathur, Kumbakonam, Ramnad, Jeyamkondan &amp; Ootty. Construction work completed. Equipment cost proposed for Rs. 14.00 Crore at Rs. 2 Cr each per MCH Centre in ROP 2021-22. 
3. Construction of MCH Centres was approved in ROP 2019-20 at 8 DH/sub district hospital viz GMCH Kanniyakumari, DHQH Cheyyar, Kallakurichi, Karaikudi, Pollachi, Perambalur, Kovilpatty and SDH Hosur. Construction work completed. Equipment cost proposed for Rs. 16.00 Crore at Rs. 2 Cr each per MCH Centre in ROP 2021-22. 
4. Upgradation of Cemonc Centres was approved in ROP 2019-20 at IRT Perundurai, GMCH COimbatore and GMCH Dharumapuri. Construction work completed.  Equipment cost proposed for Rs. 4.5 Cr. at Rs. 1.5 Cr. Each per Cemonc Centre in ROP 2021-22.  
Out of Total cost of Rs. 40.50 Cr. 50 % of the the amount Rs. 20.25 Cr. only proposed in the PIP 2021-22 and approved by GOI. Now all the equipment has been placed order and partial supply also completed and the balance equipments are under supply. Hence the balance 50% of Rs. 20.25 Cr. is proposed now. </v>
      </c>
      <c r="O108" s="8">
        <f>'6-A. Proc. Sub-Annex'!R12</f>
        <v>0</v>
      </c>
      <c r="P108" s="8">
        <f>'6-A. Proc. Sub-Annex'!S12</f>
        <v>0</v>
      </c>
    </row>
    <row r="109" spans="1:16" ht="25.5" x14ac:dyDescent="0.2">
      <c r="A109" s="4" t="str">
        <f>'6-A. Proc. Sub-Annex'!B13</f>
        <v>6.1.1.2</v>
      </c>
      <c r="B109" s="4" t="str">
        <f>'6-A. Proc. Sub-Annex'!C13</f>
        <v>B16.1.2</v>
      </c>
      <c r="C109" s="4" t="str">
        <f>'6-A. Proc. Sub-Annex'!D13</f>
        <v>Procurement of bio-medical and other equipment:  CH</v>
      </c>
      <c r="D109" s="8"/>
      <c r="E109" s="8"/>
      <c r="F109" s="8">
        <f>SUM(F110:F111)</f>
        <v>0</v>
      </c>
      <c r="G109" s="8">
        <f>SUM(G110:G111)</f>
        <v>0</v>
      </c>
      <c r="H109" s="8">
        <f>SUM(H110:H111)</f>
        <v>0</v>
      </c>
      <c r="I109" s="8"/>
      <c r="J109" s="8"/>
      <c r="K109" s="8"/>
      <c r="L109" s="8"/>
      <c r="M109" s="8">
        <f>SUM(M110:M111)</f>
        <v>12</v>
      </c>
      <c r="N109" s="8">
        <f>'6-A. Proc. Sub-Annex'!Q13</f>
        <v>0</v>
      </c>
      <c r="O109" s="8">
        <f>'6-A. Proc. Sub-Annex'!R13</f>
        <v>0</v>
      </c>
      <c r="P109" s="8">
        <f>SUM(P110:P111)</f>
        <v>0</v>
      </c>
    </row>
    <row r="110" spans="1:16" ht="63.75" x14ac:dyDescent="0.2">
      <c r="A110" s="4" t="str">
        <f>'6-A. Proc. Sub-Annex'!B14</f>
        <v>6.1.1.2.1</v>
      </c>
      <c r="B110" s="4" t="str">
        <f>'6-A. Proc. Sub-Annex'!C14</f>
        <v>B16.1.2.1</v>
      </c>
      <c r="C110" s="4" t="str">
        <f>'6-A. Proc. Sub-Annex'!D14</f>
        <v>Equipment for Paediatric HDU, Emergency, OPD and Ward</v>
      </c>
      <c r="D110" s="8">
        <f>'6-A. Proc. Sub-Annex'!G14</f>
        <v>0</v>
      </c>
      <c r="E110" s="8">
        <f>'6-A. Proc. Sub-Annex'!H14</f>
        <v>0</v>
      </c>
      <c r="F110" s="8">
        <f>'6-A. Proc. Sub-Annex'!I14</f>
        <v>0</v>
      </c>
      <c r="G110" s="8">
        <f>'6-A. Proc. Sub-Annex'!J14</f>
        <v>0</v>
      </c>
      <c r="H110" s="8">
        <f>'6-A. Proc. Sub-Annex'!K14</f>
        <v>0</v>
      </c>
      <c r="I110" s="8" t="str">
        <f>'6-A. Proc. Sub-Annex'!L14</f>
        <v>Cost per centre</v>
      </c>
      <c r="J110" s="8">
        <f>'6-A. Proc. Sub-Annex'!M14</f>
        <v>1200000</v>
      </c>
      <c r="K110" s="8">
        <f>'6-A. Proc. Sub-Annex'!N14</f>
        <v>12</v>
      </c>
      <c r="L110" s="8">
        <f>'6-A. Proc. Sub-Annex'!O14</f>
        <v>1</v>
      </c>
      <c r="M110" s="8">
        <f>'6-A. Proc. Sub-Annex'!P14</f>
        <v>12</v>
      </c>
      <c r="N110" s="8" t="str">
        <f>'6-A. Proc. Sub-Annex'!Q14</f>
        <v>New activity
Fully Automated Indian make pasteurizer @ Rs. 10 Lakhs and Consumables for Ra. 2 Lakhs</v>
      </c>
      <c r="O110" s="8">
        <f>'6-A. Proc. Sub-Annex'!R14</f>
        <v>0</v>
      </c>
      <c r="P110" s="8">
        <f>'6-A. Proc. Sub-Annex'!S14</f>
        <v>0</v>
      </c>
    </row>
    <row r="111" spans="1:16" ht="38.25" x14ac:dyDescent="0.2">
      <c r="A111" s="4" t="str">
        <f>'6-A. Proc. Sub-Annex'!B18</f>
        <v>6.1.1.2.4</v>
      </c>
      <c r="B111" s="4" t="str">
        <f>'6-A. Proc. Sub-Annex'!C18</f>
        <v>B16.1.2.2</v>
      </c>
      <c r="C111" s="4" t="str">
        <f>'6-A. Proc. Sub-Annex'!D18</f>
        <v>Any other equipment (including equipment for SRC/MNCU/SNCU/ NBSU/NBCC/NRC/ etc</v>
      </c>
      <c r="D111" s="8">
        <f>'6-A. Proc. Sub-Annex'!G18</f>
        <v>0</v>
      </c>
      <c r="E111" s="8">
        <f>'6-A. Proc. Sub-Annex'!H18</f>
        <v>0</v>
      </c>
      <c r="F111" s="8">
        <f>'6-A. Proc. Sub-Annex'!I18</f>
        <v>0</v>
      </c>
      <c r="G111" s="8">
        <f>'6-A. Proc. Sub-Annex'!J18</f>
        <v>0</v>
      </c>
      <c r="H111" s="8">
        <f>'6-A. Proc. Sub-Annex'!K18</f>
        <v>0</v>
      </c>
      <c r="I111" s="8">
        <f>'6-A. Proc. Sub-Annex'!L18</f>
        <v>0</v>
      </c>
      <c r="J111" s="8">
        <f>'6-A. Proc. Sub-Annex'!M18</f>
        <v>0</v>
      </c>
      <c r="K111" s="8">
        <f>'6-A. Proc. Sub-Annex'!N18</f>
        <v>0</v>
      </c>
      <c r="L111" s="8">
        <f>'6-A. Proc. Sub-Annex'!O18</f>
        <v>0</v>
      </c>
      <c r="M111" s="8">
        <f>'6-A. Proc. Sub-Annex'!P18</f>
        <v>0</v>
      </c>
      <c r="N111" s="8">
        <f>'6-A. Proc. Sub-Annex'!Q18</f>
        <v>0</v>
      </c>
      <c r="O111" s="8">
        <f>'6-A. Proc. Sub-Annex'!R18</f>
        <v>0</v>
      </c>
      <c r="P111" s="8">
        <f>'6-A. Proc. Sub-Annex'!S18</f>
        <v>0</v>
      </c>
    </row>
    <row r="112" spans="1:16" ht="25.5" x14ac:dyDescent="0.2">
      <c r="A112" s="4" t="str">
        <f>'6-A. Proc. Sub-Annex'!B19</f>
        <v>6.1.1.3</v>
      </c>
      <c r="B112" s="4" t="str">
        <f>'6-A. Proc. Sub-Annex'!C19</f>
        <v>B16.1.3</v>
      </c>
      <c r="C112" s="4" t="str">
        <f>'6-A. Proc. Sub-Annex'!D19</f>
        <v>Procurement of bio-medical and other equipment:  FP</v>
      </c>
      <c r="D112" s="8"/>
      <c r="E112" s="8"/>
      <c r="F112" s="8">
        <f>SUM(F113:F118)</f>
        <v>0</v>
      </c>
      <c r="G112" s="8">
        <f>SUM(G113:G118)</f>
        <v>0</v>
      </c>
      <c r="H112" s="8">
        <f>SUM(H113:H118)</f>
        <v>0</v>
      </c>
      <c r="I112" s="8"/>
      <c r="J112" s="8"/>
      <c r="K112" s="8"/>
      <c r="L112" s="8"/>
      <c r="M112" s="8">
        <f>SUM(M113:M118)</f>
        <v>0</v>
      </c>
      <c r="N112" s="8">
        <f>'6-A. Proc. Sub-Annex'!Q19</f>
        <v>0</v>
      </c>
      <c r="O112" s="8">
        <f>'6-A. Proc. Sub-Annex'!R19</f>
        <v>0</v>
      </c>
      <c r="P112" s="8">
        <f>SUM(P113:P118)</f>
        <v>0</v>
      </c>
    </row>
    <row r="113" spans="1:16" ht="25.5" x14ac:dyDescent="0.2">
      <c r="A113" s="4" t="str">
        <f>'6-A. Proc. Sub-Annex'!B20</f>
        <v>6.1.1.3.1</v>
      </c>
      <c r="B113" s="4" t="str">
        <f>'6-A. Proc. Sub-Annex'!C20</f>
        <v>B16.1.3.1</v>
      </c>
      <c r="C113" s="4" t="str">
        <f>'6-A. Proc. Sub-Annex'!D20</f>
        <v>NSV kits</v>
      </c>
      <c r="D113" s="8">
        <f>'6-A. Proc. Sub-Annex'!G20</f>
        <v>0</v>
      </c>
      <c r="E113" s="8">
        <f>'6-A. Proc. Sub-Annex'!H20</f>
        <v>0</v>
      </c>
      <c r="F113" s="8">
        <f>'6-A. Proc. Sub-Annex'!I20</f>
        <v>0</v>
      </c>
      <c r="G113" s="8">
        <f>'6-A. Proc. Sub-Annex'!J20</f>
        <v>0</v>
      </c>
      <c r="H113" s="8">
        <f>'6-A. Proc. Sub-Annex'!K20</f>
        <v>0</v>
      </c>
      <c r="I113" s="8">
        <f>'6-A. Proc. Sub-Annex'!L20</f>
        <v>0</v>
      </c>
      <c r="J113" s="8">
        <f>'6-A. Proc. Sub-Annex'!M20</f>
        <v>0</v>
      </c>
      <c r="K113" s="8">
        <f>'6-A. Proc. Sub-Annex'!N20</f>
        <v>0</v>
      </c>
      <c r="L113" s="8">
        <f>'6-A. Proc. Sub-Annex'!O20</f>
        <v>0</v>
      </c>
      <c r="M113" s="8">
        <f>'6-A. Proc. Sub-Annex'!P20</f>
        <v>0</v>
      </c>
      <c r="N113" s="8">
        <f>'6-A. Proc. Sub-Annex'!Q20</f>
        <v>0</v>
      </c>
      <c r="O113" s="8">
        <f>'6-A. Proc. Sub-Annex'!R20</f>
        <v>0</v>
      </c>
      <c r="P113" s="8">
        <f>'6-A. Proc. Sub-Annex'!S20</f>
        <v>0</v>
      </c>
    </row>
    <row r="114" spans="1:16" ht="25.5" x14ac:dyDescent="0.2">
      <c r="A114" s="4" t="str">
        <f>'6-A. Proc. Sub-Annex'!B21</f>
        <v>6.1.1.3.2</v>
      </c>
      <c r="B114" s="4" t="str">
        <f>'6-A. Proc. Sub-Annex'!C21</f>
        <v>B16.1.3.2</v>
      </c>
      <c r="C114" s="4" t="str">
        <f>'6-A. Proc. Sub-Annex'!D21</f>
        <v>IUCD kits</v>
      </c>
      <c r="D114" s="8">
        <f>'6-A. Proc. Sub-Annex'!G21</f>
        <v>0</v>
      </c>
      <c r="E114" s="8">
        <f>'6-A. Proc. Sub-Annex'!H21</f>
        <v>0</v>
      </c>
      <c r="F114" s="8">
        <f>'6-A. Proc. Sub-Annex'!I21</f>
        <v>0</v>
      </c>
      <c r="G114" s="8">
        <f>'6-A. Proc. Sub-Annex'!J21</f>
        <v>0</v>
      </c>
      <c r="H114" s="8">
        <f>'6-A. Proc. Sub-Annex'!K21</f>
        <v>0</v>
      </c>
      <c r="I114" s="8">
        <f>'6-A. Proc. Sub-Annex'!L21</f>
        <v>0</v>
      </c>
      <c r="J114" s="8">
        <f>'6-A. Proc. Sub-Annex'!M21</f>
        <v>0</v>
      </c>
      <c r="K114" s="8">
        <f>'6-A. Proc. Sub-Annex'!N21</f>
        <v>0</v>
      </c>
      <c r="L114" s="8">
        <f>'6-A. Proc. Sub-Annex'!O21</f>
        <v>0</v>
      </c>
      <c r="M114" s="8">
        <f>'6-A. Proc. Sub-Annex'!P21</f>
        <v>0</v>
      </c>
      <c r="N114" s="8">
        <f>'6-A. Proc. Sub-Annex'!Q21</f>
        <v>0</v>
      </c>
      <c r="O114" s="8">
        <f>'6-A. Proc. Sub-Annex'!R21</f>
        <v>0</v>
      </c>
      <c r="P114" s="8">
        <f>'6-A. Proc. Sub-Annex'!S21</f>
        <v>0</v>
      </c>
    </row>
    <row r="115" spans="1:16" ht="25.5" x14ac:dyDescent="0.2">
      <c r="A115" s="4" t="str">
        <f>'6-A. Proc. Sub-Annex'!B22</f>
        <v>6.1.1.3.3</v>
      </c>
      <c r="B115" s="4" t="str">
        <f>'6-A. Proc. Sub-Annex'!C22</f>
        <v>B16.1.3.3</v>
      </c>
      <c r="C115" s="4" t="str">
        <f>'6-A. Proc. Sub-Annex'!D22</f>
        <v>minilap kits</v>
      </c>
      <c r="D115" s="8">
        <f>'6-A. Proc. Sub-Annex'!G22</f>
        <v>0</v>
      </c>
      <c r="E115" s="8">
        <f>'6-A. Proc. Sub-Annex'!H22</f>
        <v>0</v>
      </c>
      <c r="F115" s="8">
        <f>'6-A. Proc. Sub-Annex'!I22</f>
        <v>0</v>
      </c>
      <c r="G115" s="8">
        <f>'6-A. Proc. Sub-Annex'!J22</f>
        <v>0</v>
      </c>
      <c r="H115" s="8">
        <f>'6-A. Proc. Sub-Annex'!K22</f>
        <v>0</v>
      </c>
      <c r="I115" s="8">
        <f>'6-A. Proc. Sub-Annex'!L22</f>
        <v>0</v>
      </c>
      <c r="J115" s="8">
        <f>'6-A. Proc. Sub-Annex'!M22</f>
        <v>0</v>
      </c>
      <c r="K115" s="8">
        <f>'6-A. Proc. Sub-Annex'!N22</f>
        <v>0</v>
      </c>
      <c r="L115" s="8">
        <f>'6-A. Proc. Sub-Annex'!O22</f>
        <v>0</v>
      </c>
      <c r="M115" s="8">
        <f>'6-A. Proc. Sub-Annex'!P22</f>
        <v>0</v>
      </c>
      <c r="N115" s="8">
        <f>'6-A. Proc. Sub-Annex'!Q22</f>
        <v>0</v>
      </c>
      <c r="O115" s="8">
        <f>'6-A. Proc. Sub-Annex'!R22</f>
        <v>0</v>
      </c>
      <c r="P115" s="8">
        <f>'6-A. Proc. Sub-Annex'!S22</f>
        <v>0</v>
      </c>
    </row>
    <row r="116" spans="1:16" ht="25.5" x14ac:dyDescent="0.2">
      <c r="A116" s="4" t="str">
        <f>'6-A. Proc. Sub-Annex'!B23</f>
        <v>6.1.1.3.4</v>
      </c>
      <c r="B116" s="4" t="str">
        <f>'6-A. Proc. Sub-Annex'!C23</f>
        <v>B16.1.3.4</v>
      </c>
      <c r="C116" s="4" t="str">
        <f>'6-A. Proc. Sub-Annex'!D23</f>
        <v>laparoscopes</v>
      </c>
      <c r="D116" s="8">
        <f>'6-A. Proc. Sub-Annex'!G23</f>
        <v>0</v>
      </c>
      <c r="E116" s="8">
        <f>'6-A. Proc. Sub-Annex'!H23</f>
        <v>0</v>
      </c>
      <c r="F116" s="8">
        <f>'6-A. Proc. Sub-Annex'!I23</f>
        <v>0</v>
      </c>
      <c r="G116" s="8">
        <f>'6-A. Proc. Sub-Annex'!J23</f>
        <v>0</v>
      </c>
      <c r="H116" s="8">
        <f>'6-A. Proc. Sub-Annex'!K23</f>
        <v>0</v>
      </c>
      <c r="I116" s="8">
        <f>'6-A. Proc. Sub-Annex'!L23</f>
        <v>0</v>
      </c>
      <c r="J116" s="8">
        <f>'6-A. Proc. Sub-Annex'!M23</f>
        <v>0</v>
      </c>
      <c r="K116" s="8">
        <f>'6-A. Proc. Sub-Annex'!N23</f>
        <v>0</v>
      </c>
      <c r="L116" s="8">
        <f>'6-A. Proc. Sub-Annex'!O23</f>
        <v>0</v>
      </c>
      <c r="M116" s="8">
        <f>'6-A. Proc. Sub-Annex'!P23</f>
        <v>0</v>
      </c>
      <c r="N116" s="8">
        <f>'6-A. Proc. Sub-Annex'!Q23</f>
        <v>0</v>
      </c>
      <c r="O116" s="8">
        <f>'6-A. Proc. Sub-Annex'!R23</f>
        <v>0</v>
      </c>
      <c r="P116" s="8">
        <f>'6-A. Proc. Sub-Annex'!S23</f>
        <v>0</v>
      </c>
    </row>
    <row r="117" spans="1:16" ht="25.5" x14ac:dyDescent="0.2">
      <c r="A117" s="4" t="str">
        <f>'6-A. Proc. Sub-Annex'!B24</f>
        <v>6.1.1.3.5</v>
      </c>
      <c r="B117" s="4" t="str">
        <f>'6-A. Proc. Sub-Annex'!C24</f>
        <v>B16.1.3.5</v>
      </c>
      <c r="C117" s="4" t="str">
        <f>'6-A. Proc. Sub-Annex'!D24</f>
        <v>PPIUCD forceps</v>
      </c>
      <c r="D117" s="8">
        <f>'6-A. Proc. Sub-Annex'!G24</f>
        <v>0</v>
      </c>
      <c r="E117" s="8">
        <f>'6-A. Proc. Sub-Annex'!H24</f>
        <v>0</v>
      </c>
      <c r="F117" s="8">
        <f>'6-A. Proc. Sub-Annex'!I24</f>
        <v>0</v>
      </c>
      <c r="G117" s="8">
        <f>'6-A. Proc. Sub-Annex'!J24</f>
        <v>0</v>
      </c>
      <c r="H117" s="8">
        <f>'6-A. Proc. Sub-Annex'!K24</f>
        <v>0</v>
      </c>
      <c r="I117" s="8">
        <f>'6-A. Proc. Sub-Annex'!L24</f>
        <v>0</v>
      </c>
      <c r="J117" s="8">
        <f>'6-A. Proc. Sub-Annex'!M24</f>
        <v>0</v>
      </c>
      <c r="K117" s="8">
        <f>'6-A. Proc. Sub-Annex'!N24</f>
        <v>0</v>
      </c>
      <c r="L117" s="8">
        <f>'6-A. Proc. Sub-Annex'!O24</f>
        <v>0</v>
      </c>
      <c r="M117" s="8">
        <f>'6-A. Proc. Sub-Annex'!P24</f>
        <v>0</v>
      </c>
      <c r="N117" s="8">
        <f>'6-A. Proc. Sub-Annex'!Q24</f>
        <v>0</v>
      </c>
      <c r="O117" s="8">
        <f>'6-A. Proc. Sub-Annex'!R24</f>
        <v>0</v>
      </c>
      <c r="P117" s="8">
        <f>'6-A. Proc. Sub-Annex'!S24</f>
        <v>0</v>
      </c>
    </row>
    <row r="118" spans="1:16" ht="25.5" x14ac:dyDescent="0.2">
      <c r="A118" s="4" t="str">
        <f>'6-A. Proc. Sub-Annex'!B25</f>
        <v>6.1.1.3.6</v>
      </c>
      <c r="B118" s="4" t="str">
        <f>'6-A. Proc. Sub-Annex'!C25</f>
        <v>B16.1.3.6</v>
      </c>
      <c r="C118" s="4" t="str">
        <f>'6-A. Proc. Sub-Annex'!D25</f>
        <v>Any other equipment (please specify)</v>
      </c>
      <c r="D118" s="8">
        <f>'6-A. Proc. Sub-Annex'!G25</f>
        <v>0</v>
      </c>
      <c r="E118" s="8">
        <f>'6-A. Proc. Sub-Annex'!H25</f>
        <v>0</v>
      </c>
      <c r="F118" s="8">
        <f>'6-A. Proc. Sub-Annex'!I25</f>
        <v>0</v>
      </c>
      <c r="G118" s="8">
        <f>'6-A. Proc. Sub-Annex'!J25</f>
        <v>0</v>
      </c>
      <c r="H118" s="8">
        <f>'6-A. Proc. Sub-Annex'!K25</f>
        <v>0</v>
      </c>
      <c r="I118" s="8">
        <f>'6-A. Proc. Sub-Annex'!L25</f>
        <v>0</v>
      </c>
      <c r="J118" s="8">
        <f>'6-A. Proc. Sub-Annex'!M25</f>
        <v>0</v>
      </c>
      <c r="K118" s="8">
        <f>'6-A. Proc. Sub-Annex'!N25</f>
        <v>0</v>
      </c>
      <c r="L118" s="8">
        <f>'6-A. Proc. Sub-Annex'!O25</f>
        <v>0</v>
      </c>
      <c r="M118" s="8">
        <f>'6-A. Proc. Sub-Annex'!P25</f>
        <v>0</v>
      </c>
      <c r="N118" s="8">
        <f>'6-A. Proc. Sub-Annex'!Q25</f>
        <v>0</v>
      </c>
      <c r="O118" s="8">
        <f>'6-A. Proc. Sub-Annex'!R25</f>
        <v>0</v>
      </c>
      <c r="P118" s="8">
        <f>'6-A. Proc. Sub-Annex'!S25</f>
        <v>0</v>
      </c>
    </row>
    <row r="119" spans="1:16" ht="25.5" x14ac:dyDescent="0.2">
      <c r="A119" s="4" t="str">
        <f>'6-A. Proc. Sub-Annex'!B26</f>
        <v>6.1.1.4</v>
      </c>
      <c r="B119" s="4" t="str">
        <f>'6-A. Proc. Sub-Annex'!C26</f>
        <v>B16.1.6</v>
      </c>
      <c r="C119" s="4" t="str">
        <f>'6-A. Proc. Sub-Annex'!D26</f>
        <v>Procurement of bio-medical and other equipment:  AH</v>
      </c>
      <c r="D119" s="8"/>
      <c r="E119" s="8"/>
      <c r="F119" s="8">
        <f>SUM(F120:F121)</f>
        <v>0</v>
      </c>
      <c r="G119" s="8">
        <f>SUM(G120:G121)</f>
        <v>0</v>
      </c>
      <c r="H119" s="8">
        <f>SUM(H120:H121)</f>
        <v>0</v>
      </c>
      <c r="I119" s="8"/>
      <c r="J119" s="8"/>
      <c r="K119" s="8"/>
      <c r="L119" s="8"/>
      <c r="M119" s="8">
        <f>SUM(M120:M121)</f>
        <v>0</v>
      </c>
      <c r="N119" s="8">
        <f>'6-A. Proc. Sub-Annex'!Q26</f>
        <v>0</v>
      </c>
      <c r="O119" s="8">
        <f>'6-A. Proc. Sub-Annex'!R26</f>
        <v>0</v>
      </c>
      <c r="P119" s="8">
        <f>SUM(P120:P121)</f>
        <v>0</v>
      </c>
    </row>
    <row r="120" spans="1:16" ht="25.5" x14ac:dyDescent="0.2">
      <c r="A120" s="4" t="str">
        <f>'6-A. Proc. Sub-Annex'!B27</f>
        <v>6.1.1.4.1</v>
      </c>
      <c r="B120" s="4" t="str">
        <f>'6-A. Proc. Sub-Annex'!C27</f>
        <v>B16.1.6.1</v>
      </c>
      <c r="C120" s="4" t="str">
        <f>'6-A. Proc. Sub-Annex'!D27</f>
        <v>Equipment for AFHCs</v>
      </c>
      <c r="D120" s="8">
        <f>'6-A. Proc. Sub-Annex'!G27</f>
        <v>0</v>
      </c>
      <c r="E120" s="8">
        <f>'6-A. Proc. Sub-Annex'!H27</f>
        <v>0</v>
      </c>
      <c r="F120" s="8">
        <f>'6-A. Proc. Sub-Annex'!I27</f>
        <v>0</v>
      </c>
      <c r="G120" s="8">
        <f>'6-A. Proc. Sub-Annex'!J27</f>
        <v>0</v>
      </c>
      <c r="H120" s="8">
        <f>'6-A. Proc. Sub-Annex'!K27</f>
        <v>0</v>
      </c>
      <c r="I120" s="8">
        <f>'6-A. Proc. Sub-Annex'!L27</f>
        <v>0</v>
      </c>
      <c r="J120" s="8">
        <f>'6-A. Proc. Sub-Annex'!M27</f>
        <v>0</v>
      </c>
      <c r="K120" s="8">
        <f>'6-A. Proc. Sub-Annex'!N27</f>
        <v>0</v>
      </c>
      <c r="L120" s="8">
        <f>'6-A. Proc. Sub-Annex'!O27</f>
        <v>0</v>
      </c>
      <c r="M120" s="8">
        <f>'6-A. Proc. Sub-Annex'!P27</f>
        <v>0</v>
      </c>
      <c r="N120" s="8">
        <f>'6-A. Proc. Sub-Annex'!Q27</f>
        <v>0</v>
      </c>
      <c r="O120" s="8">
        <f>'6-A. Proc. Sub-Annex'!R27</f>
        <v>0</v>
      </c>
      <c r="P120" s="8">
        <f>'6-A. Proc. Sub-Annex'!S27</f>
        <v>0</v>
      </c>
    </row>
    <row r="121" spans="1:16" ht="25.5" x14ac:dyDescent="0.2">
      <c r="A121" s="4" t="str">
        <f>'6-A. Proc. Sub-Annex'!B28</f>
        <v>6.1.1.4.2</v>
      </c>
      <c r="B121" s="4" t="str">
        <f>'6-A. Proc. Sub-Annex'!C28</f>
        <v>B16.1.6.2</v>
      </c>
      <c r="C121" s="4" t="str">
        <f>'6-A. Proc. Sub-Annex'!D28</f>
        <v>Any other equipment (please specify)</v>
      </c>
      <c r="D121" s="8">
        <f>'6-A. Proc. Sub-Annex'!G28</f>
        <v>0</v>
      </c>
      <c r="E121" s="8">
        <f>'6-A. Proc. Sub-Annex'!H28</f>
        <v>0</v>
      </c>
      <c r="F121" s="8">
        <f>'6-A. Proc. Sub-Annex'!I28</f>
        <v>0</v>
      </c>
      <c r="G121" s="8">
        <f>'6-A. Proc. Sub-Annex'!J28</f>
        <v>0</v>
      </c>
      <c r="H121" s="8">
        <f>'6-A. Proc. Sub-Annex'!K28</f>
        <v>0</v>
      </c>
      <c r="I121" s="8">
        <f>'6-A. Proc. Sub-Annex'!L28</f>
        <v>0</v>
      </c>
      <c r="J121" s="8">
        <f>'6-A. Proc. Sub-Annex'!M28</f>
        <v>0</v>
      </c>
      <c r="K121" s="8">
        <f>'6-A. Proc. Sub-Annex'!N28</f>
        <v>0</v>
      </c>
      <c r="L121" s="8">
        <f>'6-A. Proc. Sub-Annex'!O28</f>
        <v>0</v>
      </c>
      <c r="M121" s="8">
        <f>'6-A. Proc. Sub-Annex'!P28</f>
        <v>0</v>
      </c>
      <c r="N121" s="8">
        <f>'6-A. Proc. Sub-Annex'!Q28</f>
        <v>0</v>
      </c>
      <c r="O121" s="8">
        <f>'6-A. Proc. Sub-Annex'!R28</f>
        <v>0</v>
      </c>
      <c r="P121" s="8">
        <f>'6-A. Proc. Sub-Annex'!S28</f>
        <v>0</v>
      </c>
    </row>
    <row r="122" spans="1:16" ht="25.5" x14ac:dyDescent="0.2">
      <c r="A122" s="4" t="str">
        <f>'6-A. Proc. Sub-Annex'!B29</f>
        <v>6.1.1.5</v>
      </c>
      <c r="B122" s="4" t="str">
        <f>'6-A. Proc. Sub-Annex'!C29</f>
        <v>B16.1.6.3</v>
      </c>
      <c r="C122" s="4" t="str">
        <f>'6-A. Proc. Sub-Annex'!D29</f>
        <v>Procurement of bio-medical and other equipment:  RBSK</v>
      </c>
      <c r="D122" s="8"/>
      <c r="E122" s="8"/>
      <c r="F122" s="8">
        <f>SUM(F123:F125)</f>
        <v>0</v>
      </c>
      <c r="G122" s="8">
        <f>SUM(G123:G125)</f>
        <v>0</v>
      </c>
      <c r="H122" s="8">
        <f>SUM(H123:H125)</f>
        <v>0</v>
      </c>
      <c r="I122" s="8"/>
      <c r="J122" s="8"/>
      <c r="K122" s="8"/>
      <c r="L122" s="8"/>
      <c r="M122" s="8">
        <f>SUM(M123:M125)</f>
        <v>0</v>
      </c>
      <c r="N122" s="8">
        <f>'6-A. Proc. Sub-Annex'!Q29</f>
        <v>0</v>
      </c>
      <c r="O122" s="8">
        <f>'6-A. Proc. Sub-Annex'!R29</f>
        <v>0</v>
      </c>
      <c r="P122" s="8">
        <f>SUM(P123:P125)</f>
        <v>0</v>
      </c>
    </row>
    <row r="123" spans="1:16" ht="25.5" x14ac:dyDescent="0.2">
      <c r="A123" s="4" t="str">
        <f>'6-A. Proc. Sub-Annex'!B30</f>
        <v>6.1.1.5.1</v>
      </c>
      <c r="B123" s="4" t="str">
        <f>'6-A. Proc. Sub-Annex'!C30</f>
        <v>B16.1.6.3.1</v>
      </c>
      <c r="C123" s="4" t="str">
        <f>'6-A. Proc. Sub-Annex'!D30</f>
        <v xml:space="preserve">Equipment for Mobile health teams </v>
      </c>
      <c r="D123" s="8">
        <f>'6-A. Proc. Sub-Annex'!G30</f>
        <v>0</v>
      </c>
      <c r="E123" s="8">
        <f>'6-A. Proc. Sub-Annex'!H30</f>
        <v>0</v>
      </c>
      <c r="F123" s="8">
        <f>'6-A. Proc. Sub-Annex'!I30</f>
        <v>0</v>
      </c>
      <c r="G123" s="8">
        <f>'6-A. Proc. Sub-Annex'!J30</f>
        <v>0</v>
      </c>
      <c r="H123" s="8">
        <f>'6-A. Proc. Sub-Annex'!K30</f>
        <v>0</v>
      </c>
      <c r="I123" s="8">
        <f>'6-A. Proc. Sub-Annex'!L30</f>
        <v>0</v>
      </c>
      <c r="J123" s="8">
        <f>'6-A. Proc. Sub-Annex'!M30</f>
        <v>0</v>
      </c>
      <c r="K123" s="8">
        <f>'6-A. Proc. Sub-Annex'!N30</f>
        <v>0</v>
      </c>
      <c r="L123" s="8">
        <f>'6-A. Proc. Sub-Annex'!O30</f>
        <v>0</v>
      </c>
      <c r="M123" s="8">
        <f>'6-A. Proc. Sub-Annex'!P30</f>
        <v>0</v>
      </c>
      <c r="N123" s="8">
        <f>'6-A. Proc. Sub-Annex'!Q30</f>
        <v>0</v>
      </c>
      <c r="O123" s="8">
        <f>'6-A. Proc. Sub-Annex'!R30</f>
        <v>0</v>
      </c>
      <c r="P123" s="8">
        <f>'6-A. Proc. Sub-Annex'!S30</f>
        <v>0</v>
      </c>
    </row>
    <row r="124" spans="1:16" ht="25.5" x14ac:dyDescent="0.2">
      <c r="A124" s="4" t="str">
        <f>'6-A. Proc. Sub-Annex'!B31</f>
        <v>6.1.1.5.2</v>
      </c>
      <c r="B124" s="4" t="str">
        <f>'6-A. Proc. Sub-Annex'!C31</f>
        <v>B16.1.6.3.2</v>
      </c>
      <c r="C124" s="4" t="str">
        <f>'6-A. Proc. Sub-Annex'!D31</f>
        <v xml:space="preserve">Equipment for DEIC </v>
      </c>
      <c r="D124" s="8">
        <f>'6-A. Proc. Sub-Annex'!G31</f>
        <v>0</v>
      </c>
      <c r="E124" s="8">
        <f>'6-A. Proc. Sub-Annex'!H31</f>
        <v>0</v>
      </c>
      <c r="F124" s="8">
        <f>'6-A. Proc. Sub-Annex'!I31</f>
        <v>0</v>
      </c>
      <c r="G124" s="8">
        <f>'6-A. Proc. Sub-Annex'!J31</f>
        <v>0</v>
      </c>
      <c r="H124" s="8">
        <f>'6-A. Proc. Sub-Annex'!K31</f>
        <v>0</v>
      </c>
      <c r="I124" s="8">
        <f>'6-A. Proc. Sub-Annex'!L31</f>
        <v>0</v>
      </c>
      <c r="J124" s="8">
        <f>'6-A. Proc. Sub-Annex'!M31</f>
        <v>0</v>
      </c>
      <c r="K124" s="8">
        <f>'6-A. Proc. Sub-Annex'!N31</f>
        <v>0</v>
      </c>
      <c r="L124" s="8">
        <f>'6-A. Proc. Sub-Annex'!O31</f>
        <v>0</v>
      </c>
      <c r="M124" s="8">
        <f>'6-A. Proc. Sub-Annex'!P31</f>
        <v>0</v>
      </c>
      <c r="N124" s="8">
        <f>'6-A. Proc. Sub-Annex'!Q31</f>
        <v>0</v>
      </c>
      <c r="O124" s="8">
        <f>'6-A. Proc. Sub-Annex'!R31</f>
        <v>0</v>
      </c>
      <c r="P124" s="8">
        <f>'6-A. Proc. Sub-Annex'!S31</f>
        <v>0</v>
      </c>
    </row>
    <row r="125" spans="1:16" ht="25.5" x14ac:dyDescent="0.2">
      <c r="A125" s="4" t="str">
        <f>'6-A. Proc. Sub-Annex'!B34</f>
        <v>6.1.1.5.3</v>
      </c>
      <c r="B125" s="4">
        <f>'6-A. Proc. Sub-Annex'!C34</f>
        <v>0</v>
      </c>
      <c r="C125" s="4" t="str">
        <f>'6-A. Proc. Sub-Annex'!D34</f>
        <v>Any other equipment (please specify)</v>
      </c>
      <c r="D125" s="8">
        <f>'6-A. Proc. Sub-Annex'!G34</f>
        <v>0</v>
      </c>
      <c r="E125" s="8">
        <f>'6-A. Proc. Sub-Annex'!H34</f>
        <v>0</v>
      </c>
      <c r="F125" s="8">
        <f>'6-A. Proc. Sub-Annex'!I34</f>
        <v>0</v>
      </c>
      <c r="G125" s="8">
        <f>'6-A. Proc. Sub-Annex'!J34</f>
        <v>0</v>
      </c>
      <c r="H125" s="8">
        <f>'6-A. Proc. Sub-Annex'!K34</f>
        <v>0</v>
      </c>
      <c r="I125" s="8">
        <f>'6-A. Proc. Sub-Annex'!L34</f>
        <v>0</v>
      </c>
      <c r="J125" s="8">
        <f>'6-A. Proc. Sub-Annex'!M34</f>
        <v>0</v>
      </c>
      <c r="K125" s="8">
        <f>'6-A. Proc. Sub-Annex'!N34</f>
        <v>0</v>
      </c>
      <c r="L125" s="8">
        <f>'6-A. Proc. Sub-Annex'!O34</f>
        <v>0</v>
      </c>
      <c r="M125" s="8">
        <f>'6-A. Proc. Sub-Annex'!P34</f>
        <v>0</v>
      </c>
      <c r="N125" s="8">
        <f>'6-A. Proc. Sub-Annex'!Q34</f>
        <v>0</v>
      </c>
      <c r="O125" s="8">
        <f>'6-A. Proc. Sub-Annex'!R34</f>
        <v>0</v>
      </c>
      <c r="P125" s="8">
        <f>'6-A. Proc. Sub-Annex'!S34</f>
        <v>0</v>
      </c>
    </row>
    <row r="126" spans="1:16" ht="25.5" x14ac:dyDescent="0.2">
      <c r="A126" s="4" t="str">
        <f>'6-A. Proc. Sub-Annex'!B38</f>
        <v>6.1.1.6</v>
      </c>
      <c r="B126" s="4">
        <f>'6-A. Proc. Sub-Annex'!C38</f>
        <v>0</v>
      </c>
      <c r="C126" s="4" t="str">
        <f>'6-A. Proc. Sub-Annex'!D38</f>
        <v>Procurement of bio-medical and other equipment: NIDDCP</v>
      </c>
      <c r="D126" s="8"/>
      <c r="E126" s="8"/>
      <c r="F126" s="8">
        <f>SUM(F127:F128)</f>
        <v>0</v>
      </c>
      <c r="G126" s="8">
        <f>SUM(G127:G128)</f>
        <v>0</v>
      </c>
      <c r="H126" s="8">
        <f>SUM(H127:H128)</f>
        <v>0</v>
      </c>
      <c r="I126" s="8"/>
      <c r="J126" s="8"/>
      <c r="K126" s="8"/>
      <c r="L126" s="8"/>
      <c r="M126" s="8">
        <f>SUM(M127:M128)</f>
        <v>0</v>
      </c>
      <c r="N126" s="8">
        <f>'6-A. Proc. Sub-Annex'!Q38</f>
        <v>0</v>
      </c>
      <c r="O126" s="8">
        <f>'6-A. Proc. Sub-Annex'!R38</f>
        <v>0</v>
      </c>
      <c r="P126" s="8">
        <f>SUM(P127:P128)</f>
        <v>0</v>
      </c>
    </row>
    <row r="127" spans="1:16" ht="25.5" x14ac:dyDescent="0.2">
      <c r="A127" s="4" t="str">
        <f>'6-A. Proc. Sub-Annex'!B39</f>
        <v>6.1.1.6.1</v>
      </c>
      <c r="B127" s="4">
        <f>'6-A. Proc. Sub-Annex'!C39</f>
        <v>0</v>
      </c>
      <c r="C127" s="4" t="str">
        <f>'6-A. Proc. Sub-Annex'!D39</f>
        <v>Procurement of lab equipment</v>
      </c>
      <c r="D127" s="8">
        <f>'6-A. Proc. Sub-Annex'!G39</f>
        <v>0</v>
      </c>
      <c r="E127" s="8">
        <f>'6-A. Proc. Sub-Annex'!H39</f>
        <v>0</v>
      </c>
      <c r="F127" s="8">
        <f>'6-A. Proc. Sub-Annex'!I39</f>
        <v>0</v>
      </c>
      <c r="G127" s="8">
        <f>'6-A. Proc. Sub-Annex'!J39</f>
        <v>0</v>
      </c>
      <c r="H127" s="8">
        <f>'6-A. Proc. Sub-Annex'!K39</f>
        <v>0</v>
      </c>
      <c r="I127" s="8">
        <f>'6-A. Proc. Sub-Annex'!L39</f>
        <v>0</v>
      </c>
      <c r="J127" s="8">
        <f>'6-A. Proc. Sub-Annex'!M39</f>
        <v>0</v>
      </c>
      <c r="K127" s="8">
        <f>'6-A. Proc. Sub-Annex'!N39</f>
        <v>0</v>
      </c>
      <c r="L127" s="8">
        <f>'6-A. Proc. Sub-Annex'!O39</f>
        <v>0</v>
      </c>
      <c r="M127" s="8">
        <f>'6-A. Proc. Sub-Annex'!P39</f>
        <v>0</v>
      </c>
      <c r="N127" s="8">
        <f>'6-A. Proc. Sub-Annex'!Q39</f>
        <v>0</v>
      </c>
      <c r="O127" s="8">
        <f>'6-A. Proc. Sub-Annex'!R39</f>
        <v>0</v>
      </c>
      <c r="P127" s="8">
        <f>'6-A. Proc. Sub-Annex'!S39</f>
        <v>0</v>
      </c>
    </row>
    <row r="128" spans="1:16" ht="25.5" x14ac:dyDescent="0.2">
      <c r="A128" s="4" t="str">
        <f>'6-A. Proc. Sub-Annex'!B40</f>
        <v>6.1.1.6.2</v>
      </c>
      <c r="B128" s="4">
        <f>'6-A. Proc. Sub-Annex'!C40</f>
        <v>0</v>
      </c>
      <c r="C128" s="4" t="str">
        <f>'6-A. Proc. Sub-Annex'!D40</f>
        <v>Any other equipment (please specify)</v>
      </c>
      <c r="D128" s="8">
        <f>'6-A. Proc. Sub-Annex'!G40</f>
        <v>0</v>
      </c>
      <c r="E128" s="8">
        <f>'6-A. Proc. Sub-Annex'!H40</f>
        <v>0</v>
      </c>
      <c r="F128" s="8">
        <f>'6-A. Proc. Sub-Annex'!I40</f>
        <v>0</v>
      </c>
      <c r="G128" s="8">
        <f>'6-A. Proc. Sub-Annex'!J40</f>
        <v>0</v>
      </c>
      <c r="H128" s="8">
        <f>'6-A. Proc. Sub-Annex'!K40</f>
        <v>0</v>
      </c>
      <c r="I128" s="8">
        <f>'6-A. Proc. Sub-Annex'!L40</f>
        <v>0</v>
      </c>
      <c r="J128" s="8">
        <f>'6-A. Proc. Sub-Annex'!M40</f>
        <v>0</v>
      </c>
      <c r="K128" s="8">
        <f>'6-A. Proc. Sub-Annex'!N40</f>
        <v>0</v>
      </c>
      <c r="L128" s="8">
        <f>'6-A. Proc. Sub-Annex'!O40</f>
        <v>0</v>
      </c>
      <c r="M128" s="8">
        <f>'6-A. Proc. Sub-Annex'!P40</f>
        <v>0</v>
      </c>
      <c r="N128" s="8">
        <f>'6-A. Proc. Sub-Annex'!Q40</f>
        <v>0</v>
      </c>
      <c r="O128" s="8">
        <f>'6-A. Proc. Sub-Annex'!R40</f>
        <v>0</v>
      </c>
      <c r="P128" s="8">
        <f>'6-A. Proc. Sub-Annex'!S40</f>
        <v>0</v>
      </c>
    </row>
    <row r="129" spans="1:16" ht="25.5" x14ac:dyDescent="0.2">
      <c r="A129" s="4" t="str">
        <f>'6-A. Proc. Sub-Annex'!B42</f>
        <v>6.1.1.7</v>
      </c>
      <c r="B129" s="4" t="str">
        <f>'6-A. Proc. Sub-Annex'!C42</f>
        <v>B16.1.7</v>
      </c>
      <c r="C129" s="4" t="str">
        <f>'6-A. Proc. Sub-Annex'!D42</f>
        <v xml:space="preserve">Procurement of bio-medical and other equipment: Training </v>
      </c>
      <c r="D129" s="8"/>
      <c r="E129" s="8"/>
      <c r="F129" s="8">
        <f>SUM(F130:F134)</f>
        <v>0</v>
      </c>
      <c r="G129" s="8">
        <f>SUM(G130:G134)</f>
        <v>0</v>
      </c>
      <c r="H129" s="8">
        <f>SUM(H130:H134)</f>
        <v>0</v>
      </c>
      <c r="I129" s="8"/>
      <c r="J129" s="8"/>
      <c r="K129" s="8"/>
      <c r="L129" s="8"/>
      <c r="M129" s="8">
        <f>SUM(M130:M134)</f>
        <v>0</v>
      </c>
      <c r="N129" s="8">
        <f>'6-A. Proc. Sub-Annex'!Q42</f>
        <v>0</v>
      </c>
      <c r="O129" s="8">
        <f>'6-A. Proc. Sub-Annex'!R42</f>
        <v>0</v>
      </c>
      <c r="P129" s="8">
        <f>SUM(P130:P134)</f>
        <v>0</v>
      </c>
    </row>
    <row r="130" spans="1:16" ht="25.5" x14ac:dyDescent="0.2">
      <c r="A130" s="4" t="str">
        <f>'6-A. Proc. Sub-Annex'!B43</f>
        <v>6.1.1.7.1</v>
      </c>
      <c r="B130" s="4" t="str">
        <f>'6-A. Proc. Sub-Annex'!C43</f>
        <v>B3.3</v>
      </c>
      <c r="C130" s="4" t="str">
        <f>'6-A. Proc. Sub-Annex'!D43</f>
        <v>Equipment for Rollout of B.Sc. (Community Health)</v>
      </c>
      <c r="D130" s="8">
        <f>'6-A. Proc. Sub-Annex'!G43</f>
        <v>0</v>
      </c>
      <c r="E130" s="8">
        <f>'6-A. Proc. Sub-Annex'!H43</f>
        <v>0</v>
      </c>
      <c r="F130" s="8">
        <f>'6-A. Proc. Sub-Annex'!I43</f>
        <v>0</v>
      </c>
      <c r="G130" s="8">
        <f>'6-A. Proc. Sub-Annex'!J43</f>
        <v>0</v>
      </c>
      <c r="H130" s="8">
        <f>'6-A. Proc. Sub-Annex'!K43</f>
        <v>0</v>
      </c>
      <c r="I130" s="8">
        <f>'6-A. Proc. Sub-Annex'!L43</f>
        <v>0</v>
      </c>
      <c r="J130" s="8">
        <f>'6-A. Proc. Sub-Annex'!M43</f>
        <v>0</v>
      </c>
      <c r="K130" s="8">
        <f>'6-A. Proc. Sub-Annex'!N43</f>
        <v>0</v>
      </c>
      <c r="L130" s="8">
        <f>'6-A. Proc. Sub-Annex'!O43</f>
        <v>0</v>
      </c>
      <c r="M130" s="8">
        <f>'6-A. Proc. Sub-Annex'!P43</f>
        <v>0</v>
      </c>
      <c r="N130" s="8">
        <f>'6-A. Proc. Sub-Annex'!Q43</f>
        <v>0</v>
      </c>
      <c r="O130" s="8">
        <f>'6-A. Proc. Sub-Annex'!R43</f>
        <v>0</v>
      </c>
      <c r="P130" s="8">
        <f>'6-A. Proc. Sub-Annex'!S43</f>
        <v>0</v>
      </c>
    </row>
    <row r="131" spans="1:16" ht="25.5" x14ac:dyDescent="0.2">
      <c r="A131" s="4" t="str">
        <f>'6-A. Proc. Sub-Annex'!B44</f>
        <v>6.1.1.7.2</v>
      </c>
      <c r="B131" s="4" t="str">
        <f>'6-A. Proc. Sub-Annex'!C44</f>
        <v>B16.1.7</v>
      </c>
      <c r="C131" s="4" t="str">
        <f>'6-A. Proc. Sub-Annex'!D44</f>
        <v xml:space="preserve">Equipment and mannequin </v>
      </c>
      <c r="D131" s="8">
        <f>'6-A. Proc. Sub-Annex'!G44</f>
        <v>0</v>
      </c>
      <c r="E131" s="8">
        <f>'6-A. Proc. Sub-Annex'!H44</f>
        <v>0</v>
      </c>
      <c r="F131" s="8">
        <f>'6-A. Proc. Sub-Annex'!I44</f>
        <v>0</v>
      </c>
      <c r="G131" s="8">
        <f>'6-A. Proc. Sub-Annex'!J44</f>
        <v>0</v>
      </c>
      <c r="H131" s="8">
        <f>'6-A. Proc. Sub-Annex'!K44</f>
        <v>0</v>
      </c>
      <c r="I131" s="8">
        <f>'6-A. Proc. Sub-Annex'!L44</f>
        <v>0</v>
      </c>
      <c r="J131" s="8">
        <f>'6-A. Proc. Sub-Annex'!M44</f>
        <v>0</v>
      </c>
      <c r="K131" s="8">
        <f>'6-A. Proc. Sub-Annex'!N44</f>
        <v>0</v>
      </c>
      <c r="L131" s="8">
        <f>'6-A. Proc. Sub-Annex'!O44</f>
        <v>0</v>
      </c>
      <c r="M131" s="8">
        <f>'6-A. Proc. Sub-Annex'!P44</f>
        <v>0</v>
      </c>
      <c r="N131" s="8">
        <f>'6-A. Proc. Sub-Annex'!Q44</f>
        <v>0</v>
      </c>
      <c r="O131" s="8">
        <f>'6-A. Proc. Sub-Annex'!R44</f>
        <v>0</v>
      </c>
      <c r="P131" s="8">
        <f>'6-A. Proc. Sub-Annex'!S44</f>
        <v>0</v>
      </c>
    </row>
    <row r="132" spans="1:16" ht="25.5" x14ac:dyDescent="0.2">
      <c r="A132" s="4" t="str">
        <f>'6-A. Proc. Sub-Annex'!B11</f>
        <v>6.1.1.7.3</v>
      </c>
      <c r="B132" s="4" t="str">
        <f>'6-A. Proc. Sub-Annex'!C11</f>
        <v>B16.1.7/ A.9.1.2.2</v>
      </c>
      <c r="C132" s="4" t="str">
        <f>'6-A. Proc. Sub-Annex'!D11</f>
        <v>Models and Equipment for DAKSHATA training</v>
      </c>
      <c r="D132" s="8">
        <f>'6-A. Proc. Sub-Annex'!G11</f>
        <v>0</v>
      </c>
      <c r="E132" s="8">
        <f>'6-A. Proc. Sub-Annex'!H11</f>
        <v>0</v>
      </c>
      <c r="F132" s="8">
        <f>'6-A. Proc. Sub-Annex'!I11</f>
        <v>0</v>
      </c>
      <c r="G132" s="8">
        <f>'6-A. Proc. Sub-Annex'!J11</f>
        <v>0</v>
      </c>
      <c r="H132" s="8">
        <f>'6-A. Proc. Sub-Annex'!K11</f>
        <v>0</v>
      </c>
      <c r="I132" s="8">
        <f>'6-A. Proc. Sub-Annex'!L11</f>
        <v>0</v>
      </c>
      <c r="J132" s="8">
        <f>'6-A. Proc. Sub-Annex'!M11</f>
        <v>0</v>
      </c>
      <c r="K132" s="8">
        <f>'6-A. Proc. Sub-Annex'!N11</f>
        <v>0</v>
      </c>
      <c r="L132" s="8">
        <f>'6-A. Proc. Sub-Annex'!O11</f>
        <v>0</v>
      </c>
      <c r="M132" s="8">
        <f>'6-A. Proc. Sub-Annex'!P11</f>
        <v>0</v>
      </c>
      <c r="N132" s="8">
        <f>'6-A. Proc. Sub-Annex'!Q11</f>
        <v>0</v>
      </c>
      <c r="O132" s="8">
        <f>'6-A. Proc. Sub-Annex'!R11</f>
        <v>0</v>
      </c>
      <c r="P132" s="8">
        <f>'6-A. Proc. Sub-Annex'!S11</f>
        <v>0</v>
      </c>
    </row>
    <row r="133" spans="1:16" ht="25.5" x14ac:dyDescent="0.2">
      <c r="A133" s="4" t="str">
        <f>'6-A. Proc. Sub-Annex'!B45</f>
        <v>6.1.1.7.4</v>
      </c>
      <c r="B133" s="4" t="str">
        <f>'6-A. Proc. Sub-Annex'!C45</f>
        <v>B16.1.7/ A.9.10.1</v>
      </c>
      <c r="C133" s="4" t="str">
        <f>'6-A. Proc. Sub-Annex'!D45</f>
        <v>Equipment for nursing schools/institutions</v>
      </c>
      <c r="D133" s="8">
        <f>'6-A. Proc. Sub-Annex'!G45</f>
        <v>0</v>
      </c>
      <c r="E133" s="8">
        <f>'6-A. Proc. Sub-Annex'!H45</f>
        <v>0</v>
      </c>
      <c r="F133" s="8">
        <f>'6-A. Proc. Sub-Annex'!I45</f>
        <v>0</v>
      </c>
      <c r="G133" s="8">
        <f>'6-A. Proc. Sub-Annex'!J45</f>
        <v>0</v>
      </c>
      <c r="H133" s="8">
        <f>'6-A. Proc. Sub-Annex'!K45</f>
        <v>0</v>
      </c>
      <c r="I133" s="8">
        <f>'6-A. Proc. Sub-Annex'!L45</f>
        <v>0</v>
      </c>
      <c r="J133" s="8">
        <f>'6-A. Proc. Sub-Annex'!M45</f>
        <v>0</v>
      </c>
      <c r="K133" s="8">
        <f>'6-A. Proc. Sub-Annex'!N45</f>
        <v>0</v>
      </c>
      <c r="L133" s="8">
        <f>'6-A. Proc. Sub-Annex'!O45</f>
        <v>0</v>
      </c>
      <c r="M133" s="8">
        <f>'6-A. Proc. Sub-Annex'!P45</f>
        <v>0</v>
      </c>
      <c r="N133" s="8">
        <f>'6-A. Proc. Sub-Annex'!Q45</f>
        <v>0</v>
      </c>
      <c r="O133" s="8">
        <f>'6-A. Proc. Sub-Annex'!R45</f>
        <v>0</v>
      </c>
      <c r="P133" s="8">
        <f>'6-A. Proc. Sub-Annex'!S45</f>
        <v>0</v>
      </c>
    </row>
    <row r="134" spans="1:16" ht="25.5" x14ac:dyDescent="0.2">
      <c r="A134" s="4" t="str">
        <f>'6-A. Proc. Sub-Annex'!B46</f>
        <v>6.1.1.7.5</v>
      </c>
      <c r="B134" s="4">
        <f>'6-A. Proc. Sub-Annex'!C46</f>
        <v>0</v>
      </c>
      <c r="C134" s="4" t="str">
        <f>'6-A. Proc. Sub-Annex'!D46</f>
        <v>Any other equipment (please specify)</v>
      </c>
      <c r="D134" s="8">
        <f>'6-A. Proc. Sub-Annex'!G46</f>
        <v>0</v>
      </c>
      <c r="E134" s="8">
        <f>'6-A. Proc. Sub-Annex'!H46</f>
        <v>0</v>
      </c>
      <c r="F134" s="8">
        <f>'6-A. Proc. Sub-Annex'!I46</f>
        <v>0</v>
      </c>
      <c r="G134" s="8">
        <f>'6-A. Proc. Sub-Annex'!J46</f>
        <v>0</v>
      </c>
      <c r="H134" s="8">
        <f>'6-A. Proc. Sub-Annex'!K46</f>
        <v>0</v>
      </c>
      <c r="I134" s="8">
        <f>'6-A. Proc. Sub-Annex'!L46</f>
        <v>0</v>
      </c>
      <c r="J134" s="8">
        <f>'6-A. Proc. Sub-Annex'!M46</f>
        <v>0</v>
      </c>
      <c r="K134" s="8">
        <f>'6-A. Proc. Sub-Annex'!N46</f>
        <v>0</v>
      </c>
      <c r="L134" s="8">
        <f>'6-A. Proc. Sub-Annex'!O46</f>
        <v>0</v>
      </c>
      <c r="M134" s="8">
        <f>'6-A. Proc. Sub-Annex'!P46</f>
        <v>0</v>
      </c>
      <c r="N134" s="8">
        <f>'6-A. Proc. Sub-Annex'!Q46</f>
        <v>0</v>
      </c>
      <c r="O134" s="8">
        <f>'6-A. Proc. Sub-Annex'!R46</f>
        <v>0</v>
      </c>
      <c r="P134" s="8">
        <f>'6-A. Proc. Sub-Annex'!S46</f>
        <v>0</v>
      </c>
    </row>
    <row r="135" spans="1:16" ht="25.5" x14ac:dyDescent="0.2">
      <c r="A135" s="4" t="str">
        <f>'6-A. Proc. Sub-Annex'!B47</f>
        <v>6.1.1.8</v>
      </c>
      <c r="B135" s="4" t="str">
        <f>'6-A. Proc. Sub-Annex'!C47</f>
        <v>B16.1.8</v>
      </c>
      <c r="C135" s="4" t="str">
        <f>'6-A. Proc. Sub-Annex'!D47</f>
        <v>Procurement of bio-medical and other equipment: AYUSH</v>
      </c>
      <c r="D135" s="8"/>
      <c r="E135" s="8"/>
      <c r="F135" s="8">
        <f>SUM(F136:F137)</f>
        <v>0</v>
      </c>
      <c r="G135" s="8">
        <f>SUM(G136:G137)</f>
        <v>0</v>
      </c>
      <c r="H135" s="8">
        <f>SUM(H136:H137)</f>
        <v>0</v>
      </c>
      <c r="I135" s="8"/>
      <c r="J135" s="8"/>
      <c r="K135" s="8"/>
      <c r="L135" s="8"/>
      <c r="M135" s="8">
        <f>SUM(M136:M137)</f>
        <v>0</v>
      </c>
      <c r="N135" s="8">
        <f>'6-A. Proc. Sub-Annex'!Q47</f>
        <v>0</v>
      </c>
      <c r="O135" s="8">
        <f>'6-A. Proc. Sub-Annex'!R47</f>
        <v>0</v>
      </c>
      <c r="P135" s="8">
        <f>SUM(P136:P137)</f>
        <v>0</v>
      </c>
    </row>
    <row r="136" spans="1:16" ht="25.5" x14ac:dyDescent="0.2">
      <c r="A136" s="4" t="str">
        <f>'6-A. Proc. Sub-Annex'!B48</f>
        <v>6.1.1.8.1</v>
      </c>
      <c r="B136" s="4">
        <f>'6-A. Proc. Sub-Annex'!C48</f>
        <v>0</v>
      </c>
      <c r="C136" s="4" t="str">
        <f>'6-A. Proc. Sub-Annex'!D48</f>
        <v>Procurement of bio-medical and other equipment: AYUSH</v>
      </c>
      <c r="D136" s="8">
        <f>'6-A. Proc. Sub-Annex'!G48</f>
        <v>0</v>
      </c>
      <c r="E136" s="8">
        <f>'6-A. Proc. Sub-Annex'!H48</f>
        <v>0</v>
      </c>
      <c r="F136" s="8">
        <f>'6-A. Proc. Sub-Annex'!I48</f>
        <v>0</v>
      </c>
      <c r="G136" s="8">
        <f>'6-A. Proc. Sub-Annex'!J48</f>
        <v>0</v>
      </c>
      <c r="H136" s="8">
        <f>'6-A. Proc. Sub-Annex'!K48</f>
        <v>0</v>
      </c>
      <c r="I136" s="8">
        <f>'6-A. Proc. Sub-Annex'!L48</f>
        <v>0</v>
      </c>
      <c r="J136" s="8">
        <f>'6-A. Proc. Sub-Annex'!M48</f>
        <v>0</v>
      </c>
      <c r="K136" s="8">
        <f>'6-A. Proc. Sub-Annex'!N48</f>
        <v>0</v>
      </c>
      <c r="L136" s="8">
        <f>'6-A. Proc. Sub-Annex'!O48</f>
        <v>0</v>
      </c>
      <c r="M136" s="8">
        <f>'6-A. Proc. Sub-Annex'!P48</f>
        <v>0</v>
      </c>
      <c r="N136" s="8">
        <f>'6-A. Proc. Sub-Annex'!Q48</f>
        <v>0</v>
      </c>
      <c r="O136" s="8">
        <f>'6-A. Proc. Sub-Annex'!R48</f>
        <v>0</v>
      </c>
      <c r="P136" s="8">
        <f>'6-A. Proc. Sub-Annex'!S48</f>
        <v>0</v>
      </c>
    </row>
    <row r="137" spans="1:16" ht="25.5" x14ac:dyDescent="0.2">
      <c r="A137" s="4" t="str">
        <f>'6-A. Proc. Sub-Annex'!B49</f>
        <v>6.1.1.8.2</v>
      </c>
      <c r="B137" s="4">
        <f>'6-A. Proc. Sub-Annex'!C49</f>
        <v>0</v>
      </c>
      <c r="C137" s="4" t="str">
        <f>'6-A. Proc. Sub-Annex'!D49</f>
        <v>Any other</v>
      </c>
      <c r="D137" s="8">
        <f>'6-A. Proc. Sub-Annex'!G49</f>
        <v>0</v>
      </c>
      <c r="E137" s="8">
        <f>'6-A. Proc. Sub-Annex'!H49</f>
        <v>0</v>
      </c>
      <c r="F137" s="8">
        <f>'6-A. Proc. Sub-Annex'!I49</f>
        <v>0</v>
      </c>
      <c r="G137" s="8">
        <f>'6-A. Proc. Sub-Annex'!J49</f>
        <v>0</v>
      </c>
      <c r="H137" s="8">
        <f>'6-A. Proc. Sub-Annex'!K49</f>
        <v>0</v>
      </c>
      <c r="I137" s="8">
        <f>'6-A. Proc. Sub-Annex'!L49</f>
        <v>0</v>
      </c>
      <c r="J137" s="8">
        <f>'6-A. Proc. Sub-Annex'!M49</f>
        <v>0</v>
      </c>
      <c r="K137" s="8">
        <f>'6-A. Proc. Sub-Annex'!N49</f>
        <v>0</v>
      </c>
      <c r="L137" s="8">
        <f>'6-A. Proc. Sub-Annex'!O49</f>
        <v>0</v>
      </c>
      <c r="M137" s="8">
        <f>'6-A. Proc. Sub-Annex'!P49</f>
        <v>0</v>
      </c>
      <c r="N137" s="8">
        <f>'6-A. Proc. Sub-Annex'!Q49</f>
        <v>0</v>
      </c>
      <c r="O137" s="8">
        <f>'6-A. Proc. Sub-Annex'!R49</f>
        <v>0</v>
      </c>
      <c r="P137" s="8">
        <f>'6-A. Proc. Sub-Annex'!S49</f>
        <v>0</v>
      </c>
    </row>
    <row r="138" spans="1:16" ht="25.5" x14ac:dyDescent="0.2">
      <c r="A138" s="4" t="str">
        <f>'6-A. Proc. Sub-Annex'!B50</f>
        <v>6.1.1.9</v>
      </c>
      <c r="B138" s="4" t="str">
        <f>'6-A. Proc. Sub-Annex'!C50</f>
        <v>B16.1.1.1</v>
      </c>
      <c r="C138" s="4" t="str">
        <f>'6-A. Proc. Sub-Annex'!D50</f>
        <v>Procurement of bio-medical and other equipment: Blood Banks/BSUs</v>
      </c>
      <c r="D138" s="8"/>
      <c r="E138" s="8"/>
      <c r="F138" s="8">
        <f>SUM(F139:F140)</f>
        <v>0</v>
      </c>
      <c r="G138" s="8">
        <f>SUM(G139:G140)</f>
        <v>0</v>
      </c>
      <c r="H138" s="8">
        <f>SUM(H139:H140)</f>
        <v>0</v>
      </c>
      <c r="I138" s="8"/>
      <c r="J138" s="8"/>
      <c r="K138" s="8"/>
      <c r="L138" s="8"/>
      <c r="M138" s="8">
        <f>SUM(M139:M140)</f>
        <v>0</v>
      </c>
      <c r="N138" s="8">
        <f>'6-A. Proc. Sub-Annex'!Q50</f>
        <v>0</v>
      </c>
      <c r="O138" s="8">
        <f>'6-A. Proc. Sub-Annex'!R50</f>
        <v>0</v>
      </c>
      <c r="P138" s="8">
        <f>SUM(P139:P140)</f>
        <v>0</v>
      </c>
    </row>
    <row r="139" spans="1:16" ht="25.5" x14ac:dyDescent="0.2">
      <c r="A139" s="4" t="str">
        <f>'6-A. Proc. Sub-Annex'!B51</f>
        <v>6.1.1.9.1</v>
      </c>
      <c r="B139" s="4">
        <f>'6-A. Proc. Sub-Annex'!C51</f>
        <v>0</v>
      </c>
      <c r="C139" s="4" t="str">
        <f>'6-A. Proc. Sub-Annex'!D51</f>
        <v>Equipment for Blood Banks/BSU/BCSU</v>
      </c>
      <c r="D139" s="8">
        <f>'6-A. Proc. Sub-Annex'!G51</f>
        <v>0</v>
      </c>
      <c r="E139" s="8">
        <f>'6-A. Proc. Sub-Annex'!H51</f>
        <v>0</v>
      </c>
      <c r="F139" s="8">
        <f>'6-A. Proc. Sub-Annex'!I51</f>
        <v>0</v>
      </c>
      <c r="G139" s="8">
        <f>'6-A. Proc. Sub-Annex'!J51</f>
        <v>0</v>
      </c>
      <c r="H139" s="8">
        <f>'6-A. Proc. Sub-Annex'!K51</f>
        <v>0</v>
      </c>
      <c r="I139" s="8">
        <f>'6-A. Proc. Sub-Annex'!L51</f>
        <v>0</v>
      </c>
      <c r="J139" s="8">
        <f>'6-A. Proc. Sub-Annex'!M51</f>
        <v>0</v>
      </c>
      <c r="K139" s="8">
        <f>'6-A. Proc. Sub-Annex'!N51</f>
        <v>0</v>
      </c>
      <c r="L139" s="8">
        <f>'6-A. Proc. Sub-Annex'!O51</f>
        <v>0</v>
      </c>
      <c r="M139" s="8">
        <f>'6-A. Proc. Sub-Annex'!P51</f>
        <v>0</v>
      </c>
      <c r="N139" s="8">
        <f>'6-A. Proc. Sub-Annex'!Q51</f>
        <v>0</v>
      </c>
      <c r="O139" s="8">
        <f>'6-A. Proc. Sub-Annex'!R51</f>
        <v>0</v>
      </c>
      <c r="P139" s="8">
        <f>'6-A. Proc. Sub-Annex'!S51</f>
        <v>0</v>
      </c>
    </row>
    <row r="140" spans="1:16" ht="25.5" x14ac:dyDescent="0.2">
      <c r="A140" s="4" t="str">
        <f>'6-A. Proc. Sub-Annex'!B52</f>
        <v>6.1.1.9.2</v>
      </c>
      <c r="B140" s="4">
        <f>'6-A. Proc. Sub-Annex'!C52</f>
        <v>0</v>
      </c>
      <c r="C140" s="4" t="str">
        <f>'6-A. Proc. Sub-Annex'!D52</f>
        <v>Equipment for Day Care Centre</v>
      </c>
      <c r="D140" s="8">
        <f>'6-A. Proc. Sub-Annex'!G52</f>
        <v>0</v>
      </c>
      <c r="E140" s="8">
        <f>'6-A. Proc. Sub-Annex'!H52</f>
        <v>0</v>
      </c>
      <c r="F140" s="8">
        <f>'6-A. Proc. Sub-Annex'!I52</f>
        <v>0</v>
      </c>
      <c r="G140" s="8">
        <f>'6-A. Proc. Sub-Annex'!J52</f>
        <v>0</v>
      </c>
      <c r="H140" s="8">
        <f>'6-A. Proc. Sub-Annex'!K52</f>
        <v>0</v>
      </c>
      <c r="I140" s="8">
        <f>'6-A. Proc. Sub-Annex'!L52</f>
        <v>0</v>
      </c>
      <c r="J140" s="8">
        <f>'6-A. Proc. Sub-Annex'!M52</f>
        <v>0</v>
      </c>
      <c r="K140" s="8">
        <f>'6-A. Proc. Sub-Annex'!N52</f>
        <v>0</v>
      </c>
      <c r="L140" s="8">
        <f>'6-A. Proc. Sub-Annex'!O52</f>
        <v>0</v>
      </c>
      <c r="M140" s="8">
        <f>'6-A. Proc. Sub-Annex'!P52</f>
        <v>0</v>
      </c>
      <c r="N140" s="8">
        <f>'6-A. Proc. Sub-Annex'!Q52</f>
        <v>0</v>
      </c>
      <c r="O140" s="8">
        <f>'6-A. Proc. Sub-Annex'!R52</f>
        <v>0</v>
      </c>
      <c r="P140" s="8">
        <f>'6-A. Proc. Sub-Annex'!S52</f>
        <v>0</v>
      </c>
    </row>
    <row r="141" spans="1:16" x14ac:dyDescent="0.2">
      <c r="A141" s="4" t="str">
        <f>'6-A. Proc. Sub-Annex'!B53</f>
        <v>6.1.1.10</v>
      </c>
      <c r="B141" s="4" t="str">
        <f>'6-A. Proc. Sub-Annex'!C53</f>
        <v>B16.1.4</v>
      </c>
      <c r="C141" s="4" t="str">
        <f>'6-A. Proc. Sub-Annex'!D53</f>
        <v>Procurement of equipment: IMEP</v>
      </c>
      <c r="D141" s="8"/>
      <c r="E141" s="8"/>
      <c r="F141" s="8">
        <f>SUM(F142:F143)</f>
        <v>0</v>
      </c>
      <c r="G141" s="8">
        <f>SUM(G142:G143)</f>
        <v>0</v>
      </c>
      <c r="H141" s="8">
        <f>SUM(H142:H143)</f>
        <v>0</v>
      </c>
      <c r="I141" s="8"/>
      <c r="J141" s="8"/>
      <c r="K141" s="8"/>
      <c r="L141" s="8"/>
      <c r="M141" s="8">
        <f>SUM(M142:M143)</f>
        <v>0</v>
      </c>
      <c r="N141" s="8">
        <f>'6-A. Proc. Sub-Annex'!Q53</f>
        <v>0</v>
      </c>
      <c r="O141" s="8">
        <f>'6-A. Proc. Sub-Annex'!R53</f>
        <v>0</v>
      </c>
      <c r="P141" s="8">
        <f>SUM(P142:P143)</f>
        <v>0</v>
      </c>
    </row>
    <row r="142" spans="1:16" ht="25.5" x14ac:dyDescent="0.2">
      <c r="A142" s="4" t="str">
        <f>'6-A. Proc. Sub-Annex'!B36</f>
        <v>6.1.1.10.1</v>
      </c>
      <c r="B142" s="4" t="str">
        <f>'6-A. Proc. Sub-Annex'!C36</f>
        <v>C.1.o</v>
      </c>
      <c r="C142" s="4" t="str">
        <f>'6-A. Proc. Sub-Annex'!D36</f>
        <v>Hub Cutter</v>
      </c>
      <c r="D142" s="8">
        <f>'6-A. Proc. Sub-Annex'!G36</f>
        <v>0</v>
      </c>
      <c r="E142" s="8">
        <f>'6-A. Proc. Sub-Annex'!H36</f>
        <v>0</v>
      </c>
      <c r="F142" s="8">
        <f>'6-A. Proc. Sub-Annex'!I36</f>
        <v>0</v>
      </c>
      <c r="G142" s="8">
        <f>'6-A. Proc. Sub-Annex'!J36</f>
        <v>0</v>
      </c>
      <c r="H142" s="8">
        <f>'6-A. Proc. Sub-Annex'!K36</f>
        <v>0</v>
      </c>
      <c r="I142" s="8">
        <f>'6-A. Proc. Sub-Annex'!L36</f>
        <v>0</v>
      </c>
      <c r="J142" s="8">
        <f>'6-A. Proc. Sub-Annex'!M36</f>
        <v>0</v>
      </c>
      <c r="K142" s="8">
        <f>'6-A. Proc. Sub-Annex'!N36</f>
        <v>0</v>
      </c>
      <c r="L142" s="8">
        <f>'6-A. Proc. Sub-Annex'!O36</f>
        <v>0</v>
      </c>
      <c r="M142" s="8">
        <f>'6-A. Proc. Sub-Annex'!P36</f>
        <v>0</v>
      </c>
      <c r="N142" s="8">
        <f>'6-A. Proc. Sub-Annex'!Q36</f>
        <v>0</v>
      </c>
      <c r="O142" s="8">
        <f>'6-A. Proc. Sub-Annex'!R36</f>
        <v>0</v>
      </c>
      <c r="P142" s="8">
        <f>'6-A. Proc. Sub-Annex'!S36</f>
        <v>0</v>
      </c>
    </row>
    <row r="143" spans="1:16" ht="25.5" x14ac:dyDescent="0.2">
      <c r="A143" s="4" t="str">
        <f>'6-A. Proc. Sub-Annex'!B54</f>
        <v>6.1.1.10.2</v>
      </c>
      <c r="B143" s="4" t="str">
        <f>'6-A. Proc. Sub-Annex'!C54</f>
        <v>B16.1.6.2</v>
      </c>
      <c r="C143" s="4" t="str">
        <f>'6-A. Proc. Sub-Annex'!D54</f>
        <v>Establishment of sewage treatment plant</v>
      </c>
      <c r="D143" s="8">
        <f>'6-A. Proc. Sub-Annex'!G54</f>
        <v>0</v>
      </c>
      <c r="E143" s="8">
        <f>'6-A. Proc. Sub-Annex'!H54</f>
        <v>0</v>
      </c>
      <c r="F143" s="8">
        <f>'6-A. Proc. Sub-Annex'!I54</f>
        <v>0</v>
      </c>
      <c r="G143" s="8">
        <f>'6-A. Proc. Sub-Annex'!J54</f>
        <v>0</v>
      </c>
      <c r="H143" s="8">
        <f>'6-A. Proc. Sub-Annex'!K54</f>
        <v>0</v>
      </c>
      <c r="I143" s="8">
        <f>'6-A. Proc. Sub-Annex'!L54</f>
        <v>0</v>
      </c>
      <c r="J143" s="8">
        <f>'6-A. Proc. Sub-Annex'!M54</f>
        <v>0</v>
      </c>
      <c r="K143" s="8">
        <f>'6-A. Proc. Sub-Annex'!N54</f>
        <v>0</v>
      </c>
      <c r="L143" s="8">
        <f>'6-A. Proc. Sub-Annex'!O54</f>
        <v>0</v>
      </c>
      <c r="M143" s="8">
        <f>'6-A. Proc. Sub-Annex'!P54</f>
        <v>0</v>
      </c>
      <c r="N143" s="8">
        <f>'6-A. Proc. Sub-Annex'!Q54</f>
        <v>0</v>
      </c>
      <c r="O143" s="8">
        <f>'6-A. Proc. Sub-Annex'!R54</f>
        <v>0</v>
      </c>
      <c r="P143" s="8">
        <f>'6-A. Proc. Sub-Annex'!S54</f>
        <v>0</v>
      </c>
    </row>
    <row r="144" spans="1:16" ht="25.5" x14ac:dyDescent="0.2">
      <c r="A144" s="4" t="str">
        <f>'6-A. Proc. Sub-Annex'!B123</f>
        <v>6.1.1.11</v>
      </c>
      <c r="B144" s="4" t="str">
        <f>'6-A. Proc. Sub-Annex'!C123</f>
        <v>B.25.2.1.a</v>
      </c>
      <c r="C144" s="4" t="str">
        <f>'6-A. Proc. Sub-Annex'!D123</f>
        <v>Procurement of bio-medical and other Equipment: NPPCD</v>
      </c>
      <c r="D144" s="8"/>
      <c r="E144" s="8"/>
      <c r="F144" s="8">
        <f>SUM(F145:F146)</f>
        <v>0</v>
      </c>
      <c r="G144" s="8">
        <f>SUM(G145:G146)</f>
        <v>0</v>
      </c>
      <c r="H144" s="8">
        <f>SUM(H145:H146)</f>
        <v>0</v>
      </c>
      <c r="I144" s="8"/>
      <c r="J144" s="8"/>
      <c r="K144" s="8"/>
      <c r="L144" s="8"/>
      <c r="M144" s="8">
        <f>SUM(M145:M146)</f>
        <v>0</v>
      </c>
      <c r="N144" s="8">
        <f>'6-A. Proc. Sub-Annex'!Q123</f>
        <v>0</v>
      </c>
      <c r="O144" s="8">
        <f>'6-A. Proc. Sub-Annex'!R123</f>
        <v>0</v>
      </c>
      <c r="P144" s="8">
        <f>SUM(P145:P146)</f>
        <v>0</v>
      </c>
    </row>
    <row r="145" spans="1:16" ht="25.5" x14ac:dyDescent="0.2">
      <c r="A145" s="4" t="str">
        <f>'6-A. Proc. Sub-Annex'!B124</f>
        <v>6.1.1.11.1</v>
      </c>
      <c r="B145" s="4">
        <f>'6-A. Proc. Sub-Annex'!C124</f>
        <v>0</v>
      </c>
      <c r="C145" s="4" t="str">
        <f>'6-A. Proc. Sub-Annex'!D124</f>
        <v>Procurement of equipment</v>
      </c>
      <c r="D145" s="8">
        <f>'6-A. Proc. Sub-Annex'!G124</f>
        <v>0</v>
      </c>
      <c r="E145" s="8">
        <f>'6-A. Proc. Sub-Annex'!H124</f>
        <v>0</v>
      </c>
      <c r="F145" s="8">
        <f>'6-A. Proc. Sub-Annex'!I124</f>
        <v>0</v>
      </c>
      <c r="G145" s="8">
        <f>'6-A. Proc. Sub-Annex'!J124</f>
        <v>0</v>
      </c>
      <c r="H145" s="8">
        <f>'6-A. Proc. Sub-Annex'!K124</f>
        <v>0</v>
      </c>
      <c r="I145" s="8">
        <f>'6-A. Proc. Sub-Annex'!L124</f>
        <v>0</v>
      </c>
      <c r="J145" s="8">
        <f>'6-A. Proc. Sub-Annex'!M124</f>
        <v>0</v>
      </c>
      <c r="K145" s="8">
        <f>'6-A. Proc. Sub-Annex'!N124</f>
        <v>0</v>
      </c>
      <c r="L145" s="8">
        <f>'6-A. Proc. Sub-Annex'!O124</f>
        <v>0</v>
      </c>
      <c r="M145" s="8">
        <f>'6-A. Proc. Sub-Annex'!P124</f>
        <v>0</v>
      </c>
      <c r="N145" s="8">
        <f>'6-A. Proc. Sub-Annex'!Q124</f>
        <v>0</v>
      </c>
      <c r="O145" s="8">
        <f>'6-A. Proc. Sub-Annex'!R124</f>
        <v>0</v>
      </c>
      <c r="P145" s="8">
        <f>'6-A. Proc. Sub-Annex'!S124</f>
        <v>0</v>
      </c>
    </row>
    <row r="146" spans="1:16" ht="25.5" x14ac:dyDescent="0.2">
      <c r="A146" s="4" t="str">
        <f>'6-A. Proc. Sub-Annex'!B125</f>
        <v>6.1.1.11.2</v>
      </c>
      <c r="B146" s="4">
        <f>'6-A. Proc. Sub-Annex'!C125</f>
        <v>0</v>
      </c>
      <c r="C146" s="4" t="str">
        <f>'6-A. Proc. Sub-Annex'!D125</f>
        <v>Any other equipment (please specify)</v>
      </c>
      <c r="D146" s="8">
        <f>'6-A. Proc. Sub-Annex'!G125</f>
        <v>0</v>
      </c>
      <c r="E146" s="8">
        <f>'6-A. Proc. Sub-Annex'!H125</f>
        <v>0</v>
      </c>
      <c r="F146" s="8">
        <f>'6-A. Proc. Sub-Annex'!I125</f>
        <v>0</v>
      </c>
      <c r="G146" s="8">
        <f>'6-A. Proc. Sub-Annex'!J125</f>
        <v>0</v>
      </c>
      <c r="H146" s="8">
        <f>'6-A. Proc. Sub-Annex'!K125</f>
        <v>0</v>
      </c>
      <c r="I146" s="8">
        <f>'6-A. Proc. Sub-Annex'!L125</f>
        <v>0</v>
      </c>
      <c r="J146" s="8">
        <f>'6-A. Proc. Sub-Annex'!M125</f>
        <v>0</v>
      </c>
      <c r="K146" s="8">
        <f>'6-A. Proc. Sub-Annex'!N125</f>
        <v>0</v>
      </c>
      <c r="L146" s="8">
        <f>'6-A. Proc. Sub-Annex'!O125</f>
        <v>0</v>
      </c>
      <c r="M146" s="8">
        <f>'6-A. Proc. Sub-Annex'!P125</f>
        <v>0</v>
      </c>
      <c r="N146" s="8">
        <f>'6-A. Proc. Sub-Annex'!Q125</f>
        <v>0</v>
      </c>
      <c r="O146" s="8">
        <f>'6-A. Proc. Sub-Annex'!R125</f>
        <v>0</v>
      </c>
      <c r="P146" s="8">
        <f>'6-A. Proc. Sub-Annex'!S125</f>
        <v>0</v>
      </c>
    </row>
    <row r="147" spans="1:16" ht="25.5" x14ac:dyDescent="0.2">
      <c r="A147" s="4" t="str">
        <f>'6-A. Proc. Sub-Annex'!B126</f>
        <v>6.1.1.12</v>
      </c>
      <c r="B147" s="4">
        <f>'6-A. Proc. Sub-Annex'!C126</f>
        <v>0</v>
      </c>
      <c r="C147" s="4" t="str">
        <f>'6-A. Proc. Sub-Annex'!D126</f>
        <v>Procurement of bio-medical and other Equipment: NOHP</v>
      </c>
      <c r="D147" s="8"/>
      <c r="E147" s="8"/>
      <c r="F147" s="8">
        <f>SUM(F148:F149)</f>
        <v>0</v>
      </c>
      <c r="G147" s="8">
        <f>SUM(G148:G149)</f>
        <v>0</v>
      </c>
      <c r="H147" s="8">
        <f>SUM(H148:H149)</f>
        <v>0</v>
      </c>
      <c r="I147" s="8"/>
      <c r="J147" s="8"/>
      <c r="K147" s="8"/>
      <c r="L147" s="8"/>
      <c r="M147" s="8">
        <f>SUM(M148:M149)</f>
        <v>0</v>
      </c>
      <c r="N147" s="8">
        <f>'6-A. Proc. Sub-Annex'!Q126</f>
        <v>0</v>
      </c>
      <c r="O147" s="8">
        <f>'6-A. Proc. Sub-Annex'!R126</f>
        <v>0</v>
      </c>
      <c r="P147" s="8">
        <f>SUM(P148:P149)</f>
        <v>0</v>
      </c>
    </row>
    <row r="148" spans="1:16" ht="25.5" x14ac:dyDescent="0.2">
      <c r="A148" s="4" t="str">
        <f>'6-A. Proc. Sub-Annex'!B127</f>
        <v>6.1.1.12.1</v>
      </c>
      <c r="B148" s="4" t="str">
        <f>'6-A. Proc. Sub-Annex'!C127</f>
        <v>B.26.1.1</v>
      </c>
      <c r="C148" s="4" t="str">
        <f>'6-A. Proc. Sub-Annex'!D127</f>
        <v>Dental Chair, Equipment</v>
      </c>
      <c r="D148" s="8">
        <f>'6-A. Proc. Sub-Annex'!G127</f>
        <v>0</v>
      </c>
      <c r="E148" s="8">
        <f>'6-A. Proc. Sub-Annex'!H127</f>
        <v>0</v>
      </c>
      <c r="F148" s="8">
        <f>'6-A. Proc. Sub-Annex'!I127</f>
        <v>0</v>
      </c>
      <c r="G148" s="8">
        <f>'6-A. Proc. Sub-Annex'!J127</f>
        <v>0</v>
      </c>
      <c r="H148" s="8">
        <f>'6-A. Proc. Sub-Annex'!K127</f>
        <v>0</v>
      </c>
      <c r="I148" s="8">
        <f>'6-A. Proc. Sub-Annex'!L127</f>
        <v>0</v>
      </c>
      <c r="J148" s="8">
        <f>'6-A. Proc. Sub-Annex'!M127</f>
        <v>0</v>
      </c>
      <c r="K148" s="8">
        <f>'6-A. Proc. Sub-Annex'!N127</f>
        <v>0</v>
      </c>
      <c r="L148" s="8">
        <f>'6-A. Proc. Sub-Annex'!O127</f>
        <v>0</v>
      </c>
      <c r="M148" s="8">
        <f>'6-A. Proc. Sub-Annex'!P127</f>
        <v>0</v>
      </c>
      <c r="N148" s="8">
        <f>'6-A. Proc. Sub-Annex'!Q127</f>
        <v>0</v>
      </c>
      <c r="O148" s="8">
        <f>'6-A. Proc. Sub-Annex'!R127</f>
        <v>0</v>
      </c>
      <c r="P148" s="8">
        <f>'6-A. Proc. Sub-Annex'!S127</f>
        <v>0</v>
      </c>
    </row>
    <row r="149" spans="1:16" ht="25.5" x14ac:dyDescent="0.2">
      <c r="A149" s="4" t="str">
        <f>'6-A. Proc. Sub-Annex'!B128</f>
        <v>6.1.1.12.2</v>
      </c>
      <c r="B149" s="4">
        <f>'6-A. Proc. Sub-Annex'!C128</f>
        <v>0</v>
      </c>
      <c r="C149" s="4" t="str">
        <f>'6-A. Proc. Sub-Annex'!D128</f>
        <v>Any other equipment (please specify)</v>
      </c>
      <c r="D149" s="8">
        <f>'6-A. Proc. Sub-Annex'!G128</f>
        <v>0</v>
      </c>
      <c r="E149" s="8">
        <f>'6-A. Proc. Sub-Annex'!H128</f>
        <v>0</v>
      </c>
      <c r="F149" s="8">
        <f>'6-A. Proc. Sub-Annex'!I128</f>
        <v>0</v>
      </c>
      <c r="G149" s="8">
        <f>'6-A. Proc. Sub-Annex'!J128</f>
        <v>0</v>
      </c>
      <c r="H149" s="8">
        <f>'6-A. Proc. Sub-Annex'!K128</f>
        <v>0</v>
      </c>
      <c r="I149" s="8">
        <f>'6-A. Proc. Sub-Annex'!L128</f>
        <v>0</v>
      </c>
      <c r="J149" s="8">
        <f>'6-A. Proc. Sub-Annex'!M128</f>
        <v>0</v>
      </c>
      <c r="K149" s="8">
        <f>'6-A. Proc. Sub-Annex'!N128</f>
        <v>0</v>
      </c>
      <c r="L149" s="8">
        <f>'6-A. Proc. Sub-Annex'!O128</f>
        <v>0</v>
      </c>
      <c r="M149" s="8">
        <f>'6-A. Proc. Sub-Annex'!P128</f>
        <v>0</v>
      </c>
      <c r="N149" s="8">
        <f>'6-A. Proc. Sub-Annex'!Q128</f>
        <v>0</v>
      </c>
      <c r="O149" s="8">
        <f>'6-A. Proc. Sub-Annex'!R128</f>
        <v>0</v>
      </c>
      <c r="P149" s="8">
        <f>'6-A. Proc. Sub-Annex'!S128</f>
        <v>0</v>
      </c>
    </row>
    <row r="150" spans="1:16" ht="25.5" x14ac:dyDescent="0.2">
      <c r="A150" s="4" t="str">
        <f>'6-A. Proc. Sub-Annex'!B129</f>
        <v>6.1.1.13</v>
      </c>
      <c r="B150" s="4">
        <f>'6-A. Proc. Sub-Annex'!C129</f>
        <v>0</v>
      </c>
      <c r="C150" s="4" t="str">
        <f>'6-A. Proc. Sub-Annex'!D129</f>
        <v>Procurement of bio-medical and other Equipment: NPPC</v>
      </c>
      <c r="D150" s="8"/>
      <c r="E150" s="8"/>
      <c r="F150" s="8">
        <f>SUM(F151:F152)</f>
        <v>0</v>
      </c>
      <c r="G150" s="8">
        <f>SUM(G151:G152)</f>
        <v>0</v>
      </c>
      <c r="H150" s="8">
        <f>SUM(H151:H152)</f>
        <v>0</v>
      </c>
      <c r="I150" s="8"/>
      <c r="J150" s="8"/>
      <c r="K150" s="8"/>
      <c r="L150" s="8"/>
      <c r="M150" s="8">
        <f>SUM(M151:M152)</f>
        <v>0</v>
      </c>
      <c r="N150" s="8">
        <f>'6-A. Proc. Sub-Annex'!Q129</f>
        <v>0</v>
      </c>
      <c r="O150" s="8">
        <f>'6-A. Proc. Sub-Annex'!R129</f>
        <v>0</v>
      </c>
      <c r="P150" s="8">
        <f>SUM(P151:P152)</f>
        <v>0</v>
      </c>
    </row>
    <row r="151" spans="1:16" ht="25.5" x14ac:dyDescent="0.2">
      <c r="A151" s="4" t="str">
        <f>'6-A. Proc. Sub-Annex'!B130</f>
        <v>6.1.1.13.1</v>
      </c>
      <c r="B151" s="4" t="str">
        <f>'6-A. Proc. Sub-Annex'!C130</f>
        <v>B.27.1.4</v>
      </c>
      <c r="C151" s="4" t="str">
        <f>'6-A. Proc. Sub-Annex'!D130</f>
        <v>Equipment</v>
      </c>
      <c r="D151" s="8">
        <f>'6-A. Proc. Sub-Annex'!G130</f>
        <v>0</v>
      </c>
      <c r="E151" s="8">
        <f>'6-A. Proc. Sub-Annex'!H130</f>
        <v>0</v>
      </c>
      <c r="F151" s="8">
        <f>'6-A. Proc. Sub-Annex'!I130</f>
        <v>0</v>
      </c>
      <c r="G151" s="8">
        <f>'6-A. Proc. Sub-Annex'!J130</f>
        <v>0</v>
      </c>
      <c r="H151" s="8">
        <f>'6-A. Proc. Sub-Annex'!K130</f>
        <v>0</v>
      </c>
      <c r="I151" s="8">
        <f>'6-A. Proc. Sub-Annex'!L130</f>
        <v>0</v>
      </c>
      <c r="J151" s="8">
        <f>'6-A. Proc. Sub-Annex'!M130</f>
        <v>0</v>
      </c>
      <c r="K151" s="8">
        <f>'6-A. Proc. Sub-Annex'!N130</f>
        <v>0</v>
      </c>
      <c r="L151" s="8">
        <f>'6-A. Proc. Sub-Annex'!O130</f>
        <v>0</v>
      </c>
      <c r="M151" s="8">
        <f>'6-A. Proc. Sub-Annex'!P130</f>
        <v>0</v>
      </c>
      <c r="N151" s="8">
        <f>'6-A. Proc. Sub-Annex'!Q130</f>
        <v>0</v>
      </c>
      <c r="O151" s="8">
        <f>'6-A. Proc. Sub-Annex'!R130</f>
        <v>0</v>
      </c>
      <c r="P151" s="8">
        <f>'6-A. Proc. Sub-Annex'!S130</f>
        <v>0</v>
      </c>
    </row>
    <row r="152" spans="1:16" ht="25.5" x14ac:dyDescent="0.2">
      <c r="A152" s="4" t="str">
        <f>'6-A. Proc. Sub-Annex'!B131</f>
        <v>6.1.1.13.2</v>
      </c>
      <c r="B152" s="4">
        <f>'6-A. Proc. Sub-Annex'!C131</f>
        <v>0</v>
      </c>
      <c r="C152" s="4" t="str">
        <f>'6-A. Proc. Sub-Annex'!D131</f>
        <v>Any other equipment (please specify)</v>
      </c>
      <c r="D152" s="8">
        <f>'6-A. Proc. Sub-Annex'!G131</f>
        <v>0</v>
      </c>
      <c r="E152" s="8">
        <f>'6-A. Proc. Sub-Annex'!H131</f>
        <v>0</v>
      </c>
      <c r="F152" s="8">
        <f>'6-A. Proc. Sub-Annex'!I131</f>
        <v>0</v>
      </c>
      <c r="G152" s="8">
        <f>'6-A. Proc. Sub-Annex'!J131</f>
        <v>0</v>
      </c>
      <c r="H152" s="8">
        <f>'6-A. Proc. Sub-Annex'!K131</f>
        <v>0</v>
      </c>
      <c r="I152" s="8">
        <f>'6-A. Proc. Sub-Annex'!L131</f>
        <v>0</v>
      </c>
      <c r="J152" s="8">
        <f>'6-A. Proc. Sub-Annex'!M131</f>
        <v>0</v>
      </c>
      <c r="K152" s="8">
        <f>'6-A. Proc. Sub-Annex'!N131</f>
        <v>0</v>
      </c>
      <c r="L152" s="8">
        <f>'6-A. Proc. Sub-Annex'!O131</f>
        <v>0</v>
      </c>
      <c r="M152" s="8">
        <f>'6-A. Proc. Sub-Annex'!P131</f>
        <v>0</v>
      </c>
      <c r="N152" s="8">
        <f>'6-A. Proc. Sub-Annex'!Q131</f>
        <v>0</v>
      </c>
      <c r="O152" s="8">
        <f>'6-A. Proc. Sub-Annex'!R131</f>
        <v>0</v>
      </c>
      <c r="P152" s="8">
        <f>'6-A. Proc. Sub-Annex'!S131</f>
        <v>0</v>
      </c>
    </row>
    <row r="153" spans="1:16" ht="25.5" x14ac:dyDescent="0.2">
      <c r="A153" s="4" t="str">
        <f>'6-A. Proc. Sub-Annex'!B132</f>
        <v>6.1.1.14</v>
      </c>
      <c r="B153" s="4">
        <f>'6-A. Proc. Sub-Annex'!C132</f>
        <v>0</v>
      </c>
      <c r="C153" s="4" t="str">
        <f>'6-A. Proc. Sub-Annex'!D132</f>
        <v>Procurement of bio-medical and other Equipment: Burns &amp; Injury</v>
      </c>
      <c r="D153" s="8"/>
      <c r="E153" s="8"/>
      <c r="F153" s="8">
        <f>SUM(F154:F155)</f>
        <v>0</v>
      </c>
      <c r="G153" s="8">
        <f>SUM(G154:G155)</f>
        <v>0</v>
      </c>
      <c r="H153" s="8">
        <f>SUM(H154:H155)</f>
        <v>0</v>
      </c>
      <c r="I153" s="8"/>
      <c r="J153" s="8"/>
      <c r="K153" s="8"/>
      <c r="L153" s="8"/>
      <c r="M153" s="8">
        <f>SUM(M154:M155)</f>
        <v>0</v>
      </c>
      <c r="N153" s="8">
        <f>'6-A. Proc. Sub-Annex'!Q132</f>
        <v>0</v>
      </c>
      <c r="O153" s="8">
        <f>'6-A. Proc. Sub-Annex'!R132</f>
        <v>0</v>
      </c>
      <c r="P153" s="8">
        <f>SUM(P154:P155)</f>
        <v>0</v>
      </c>
    </row>
    <row r="154" spans="1:16" ht="25.5" x14ac:dyDescent="0.2">
      <c r="A154" s="4" t="str">
        <f>'6-A. Proc. Sub-Annex'!B133</f>
        <v>6.1.1.14.1</v>
      </c>
      <c r="B154" s="4" t="str">
        <f>'6-A. Proc. Sub-Annex'!C133</f>
        <v>B.28.2</v>
      </c>
      <c r="C154" s="4" t="str">
        <f>'6-A. Proc. Sub-Annex'!D133</f>
        <v>Procurement of Equipment</v>
      </c>
      <c r="D154" s="8">
        <f>'6-A. Proc. Sub-Annex'!G133</f>
        <v>0</v>
      </c>
      <c r="E154" s="8">
        <f>'6-A. Proc. Sub-Annex'!H133</f>
        <v>0</v>
      </c>
      <c r="F154" s="8">
        <f>'6-A. Proc. Sub-Annex'!I133</f>
        <v>0</v>
      </c>
      <c r="G154" s="8">
        <f>'6-A. Proc. Sub-Annex'!J133</f>
        <v>0</v>
      </c>
      <c r="H154" s="8">
        <f>'6-A. Proc. Sub-Annex'!K133</f>
        <v>0</v>
      </c>
      <c r="I154" s="8">
        <f>'6-A. Proc. Sub-Annex'!L133</f>
        <v>0</v>
      </c>
      <c r="J154" s="8">
        <f>'6-A. Proc. Sub-Annex'!M133</f>
        <v>0</v>
      </c>
      <c r="K154" s="8">
        <f>'6-A. Proc. Sub-Annex'!N133</f>
        <v>0</v>
      </c>
      <c r="L154" s="8">
        <f>'6-A. Proc. Sub-Annex'!O133</f>
        <v>0</v>
      </c>
      <c r="M154" s="8">
        <f>'6-A. Proc. Sub-Annex'!P133</f>
        <v>0</v>
      </c>
      <c r="N154" s="8">
        <f>'6-A. Proc. Sub-Annex'!Q133</f>
        <v>0</v>
      </c>
      <c r="O154" s="8">
        <f>'6-A. Proc. Sub-Annex'!R133</f>
        <v>0</v>
      </c>
      <c r="P154" s="8">
        <f>'6-A. Proc. Sub-Annex'!S133</f>
        <v>0</v>
      </c>
    </row>
    <row r="155" spans="1:16" ht="25.5" x14ac:dyDescent="0.2">
      <c r="A155" s="4" t="str">
        <f>'6-A. Proc. Sub-Annex'!B134</f>
        <v>6.1.1.14.2</v>
      </c>
      <c r="B155" s="4">
        <f>'6-A. Proc. Sub-Annex'!C134</f>
        <v>0</v>
      </c>
      <c r="C155" s="4" t="str">
        <f>'6-A. Proc. Sub-Annex'!D134</f>
        <v>Any other equipment (please specify)</v>
      </c>
      <c r="D155" s="8">
        <f>'6-A. Proc. Sub-Annex'!G134</f>
        <v>0</v>
      </c>
      <c r="E155" s="8">
        <f>'6-A. Proc. Sub-Annex'!H134</f>
        <v>0</v>
      </c>
      <c r="F155" s="8">
        <f>'6-A. Proc. Sub-Annex'!I134</f>
        <v>0</v>
      </c>
      <c r="G155" s="8">
        <f>'6-A. Proc. Sub-Annex'!J134</f>
        <v>0</v>
      </c>
      <c r="H155" s="8">
        <f>'6-A. Proc. Sub-Annex'!K134</f>
        <v>0</v>
      </c>
      <c r="I155" s="8">
        <f>'6-A. Proc. Sub-Annex'!L134</f>
        <v>0</v>
      </c>
      <c r="J155" s="8">
        <f>'6-A. Proc. Sub-Annex'!M134</f>
        <v>0</v>
      </c>
      <c r="K155" s="8">
        <f>'6-A. Proc. Sub-Annex'!N134</f>
        <v>0</v>
      </c>
      <c r="L155" s="8">
        <f>'6-A. Proc. Sub-Annex'!O134</f>
        <v>0</v>
      </c>
      <c r="M155" s="8">
        <f>'6-A. Proc. Sub-Annex'!P134</f>
        <v>0</v>
      </c>
      <c r="N155" s="8">
        <f>'6-A. Proc. Sub-Annex'!Q134</f>
        <v>0</v>
      </c>
      <c r="O155" s="8">
        <f>'6-A. Proc. Sub-Annex'!R134</f>
        <v>0</v>
      </c>
      <c r="P155" s="8">
        <f>'6-A. Proc. Sub-Annex'!S134</f>
        <v>0</v>
      </c>
    </row>
    <row r="156" spans="1:16" ht="25.5" x14ac:dyDescent="0.2">
      <c r="A156" s="4" t="str">
        <f>'6-A. Proc. Sub-Annex'!B73</f>
        <v>6.1.1.15</v>
      </c>
      <c r="B156" s="4">
        <f>'6-A. Proc. Sub-Annex'!C73</f>
        <v>0</v>
      </c>
      <c r="C156" s="4" t="str">
        <f>'6-A. Proc. Sub-Annex'!D73</f>
        <v>Procurement of bio-medical and other Equipment: IDSP</v>
      </c>
      <c r="D156" s="8"/>
      <c r="E156" s="8"/>
      <c r="F156" s="8">
        <f>SUM(F157:F158)</f>
        <v>0</v>
      </c>
      <c r="G156" s="8">
        <f>SUM(G157:G158)</f>
        <v>0</v>
      </c>
      <c r="H156" s="8">
        <f>SUM(H157:H158)</f>
        <v>0</v>
      </c>
      <c r="I156" s="8"/>
      <c r="J156" s="8"/>
      <c r="K156" s="8"/>
      <c r="L156" s="8"/>
      <c r="M156" s="8">
        <f>SUM(M157:M158)</f>
        <v>0</v>
      </c>
      <c r="N156" s="8">
        <f>'6-A. Proc. Sub-Annex'!Q73</f>
        <v>0</v>
      </c>
      <c r="O156" s="8">
        <f>'6-A. Proc. Sub-Annex'!R73</f>
        <v>0</v>
      </c>
      <c r="P156" s="8">
        <f>SUM(P157:P158)</f>
        <v>0</v>
      </c>
    </row>
    <row r="157" spans="1:16" ht="38.25" x14ac:dyDescent="0.2">
      <c r="A157" s="4" t="str">
        <f>'6-A. Proc. Sub-Annex'!B74</f>
        <v>6.1.1.15.1</v>
      </c>
      <c r="B157" s="4" t="str">
        <f>'6-A. Proc. Sub-Annex'!C74</f>
        <v>E.3.1</v>
      </c>
      <c r="C157" s="4" t="str">
        <f>'6-A. Proc. Sub-Annex'!D74</f>
        <v xml:space="preserve">Non-recurring costs on account of equipment for District Public Health Labs requiring strengthening. </v>
      </c>
      <c r="D157" s="8">
        <f>'6-A. Proc. Sub-Annex'!G74</f>
        <v>0</v>
      </c>
      <c r="E157" s="8">
        <f>'6-A. Proc. Sub-Annex'!H74</f>
        <v>0</v>
      </c>
      <c r="F157" s="8">
        <f>'6-A. Proc. Sub-Annex'!I74</f>
        <v>0</v>
      </c>
      <c r="G157" s="8">
        <f>'6-A. Proc. Sub-Annex'!J74</f>
        <v>0</v>
      </c>
      <c r="H157" s="8">
        <f>'6-A. Proc. Sub-Annex'!K74</f>
        <v>0</v>
      </c>
      <c r="I157" s="8" t="str">
        <f>'6-A. Proc. Sub-Annex'!L74</f>
        <v>Cost per DPHL</v>
      </c>
      <c r="J157" s="8">
        <f>'6-A. Proc. Sub-Annex'!M74</f>
        <v>370000</v>
      </c>
      <c r="K157" s="8">
        <f>'6-A. Proc. Sub-Annex'!N74</f>
        <v>0</v>
      </c>
      <c r="L157" s="8">
        <f>'6-A. Proc. Sub-Annex'!O74</f>
        <v>0</v>
      </c>
      <c r="M157" s="8">
        <f>'6-A. Proc. Sub-Annex'!P74</f>
        <v>0</v>
      </c>
      <c r="N157" s="8">
        <f>'6-A. Proc. Sub-Annex'!Q74</f>
        <v>0</v>
      </c>
      <c r="O157" s="8">
        <f>'6-A. Proc. Sub-Annex'!R74</f>
        <v>0</v>
      </c>
      <c r="P157" s="8">
        <f>'6-A. Proc. Sub-Annex'!S74</f>
        <v>0</v>
      </c>
    </row>
    <row r="158" spans="1:16" ht="25.5" x14ac:dyDescent="0.2">
      <c r="A158" s="4" t="str">
        <f>'6-A. Proc. Sub-Annex'!B75</f>
        <v>6.1.1.15.2</v>
      </c>
      <c r="B158" s="4">
        <f>'6-A. Proc. Sub-Annex'!C75</f>
        <v>0</v>
      </c>
      <c r="C158" s="4" t="str">
        <f>'6-A. Proc. Sub-Annex'!D75</f>
        <v>Any other equipment (please specify)</v>
      </c>
      <c r="D158" s="8">
        <f>'6-A. Proc. Sub-Annex'!G75</f>
        <v>0</v>
      </c>
      <c r="E158" s="8">
        <f>'6-A. Proc. Sub-Annex'!H75</f>
        <v>0</v>
      </c>
      <c r="F158" s="8">
        <f>'6-A. Proc. Sub-Annex'!I75</f>
        <v>0</v>
      </c>
      <c r="G158" s="8">
        <f>'6-A. Proc. Sub-Annex'!J75</f>
        <v>0</v>
      </c>
      <c r="H158" s="8">
        <f>'6-A. Proc. Sub-Annex'!K75</f>
        <v>0</v>
      </c>
      <c r="I158" s="8">
        <f>'6-A. Proc. Sub-Annex'!L75</f>
        <v>0</v>
      </c>
      <c r="J158" s="8">
        <f>'6-A. Proc. Sub-Annex'!M75</f>
        <v>0</v>
      </c>
      <c r="K158" s="8">
        <f>'6-A. Proc. Sub-Annex'!N75</f>
        <v>0</v>
      </c>
      <c r="L158" s="8">
        <f>'6-A. Proc. Sub-Annex'!O75</f>
        <v>0</v>
      </c>
      <c r="M158" s="8">
        <f>'6-A. Proc. Sub-Annex'!P75</f>
        <v>0</v>
      </c>
      <c r="N158" s="8">
        <f>'6-A. Proc. Sub-Annex'!Q75</f>
        <v>0</v>
      </c>
      <c r="O158" s="8">
        <f>'6-A. Proc. Sub-Annex'!R75</f>
        <v>0</v>
      </c>
      <c r="P158" s="8">
        <f>'6-A. Proc. Sub-Annex'!S75</f>
        <v>0</v>
      </c>
    </row>
    <row r="159" spans="1:16" ht="25.5" x14ac:dyDescent="0.2">
      <c r="A159" s="4" t="str">
        <f>'6-A. Proc. Sub-Annex'!B76</f>
        <v>6.1.1.16</v>
      </c>
      <c r="B159" s="4">
        <f>'6-A. Proc. Sub-Annex'!C76</f>
        <v>0</v>
      </c>
      <c r="C159" s="4" t="str">
        <f>'6-A. Proc. Sub-Annex'!D76</f>
        <v>Procurement of bio-medical and other Equipment: NVBDCP</v>
      </c>
      <c r="D159" s="8"/>
      <c r="E159" s="8"/>
      <c r="F159" s="8">
        <f>SUM(F160:F160)</f>
        <v>0</v>
      </c>
      <c r="G159" s="8">
        <f>SUM(G160:G160)</f>
        <v>0</v>
      </c>
      <c r="H159" s="8">
        <f>SUM(H160:H160)</f>
        <v>0</v>
      </c>
      <c r="I159" s="8"/>
      <c r="J159" s="8"/>
      <c r="K159" s="8"/>
      <c r="L159" s="8"/>
      <c r="M159" s="8">
        <f>SUM(M160:M160)</f>
        <v>0</v>
      </c>
      <c r="N159" s="8">
        <f>'6-A. Proc. Sub-Annex'!Q76</f>
        <v>0</v>
      </c>
      <c r="O159" s="8">
        <f>'6-A. Proc. Sub-Annex'!R76</f>
        <v>0</v>
      </c>
      <c r="P159" s="8">
        <f>SUM(P160:P160)</f>
        <v>0</v>
      </c>
    </row>
    <row r="160" spans="1:16" ht="25.5" x14ac:dyDescent="0.2">
      <c r="A160" s="4" t="str">
        <f>'6-A. Proc. Sub-Annex'!B77</f>
        <v>6.1.1.16.1</v>
      </c>
      <c r="B160" s="4" t="str">
        <f>'6-A. Proc. Sub-Annex'!C77</f>
        <v>F.2.1.c</v>
      </c>
      <c r="C160" s="4" t="str">
        <f>'6-A. Proc. Sub-Annex'!D77</f>
        <v>Health Products- Equipment (HPE) - GFATM</v>
      </c>
      <c r="D160" s="8">
        <f>'6-A. Proc. Sub-Annex'!G77</f>
        <v>0</v>
      </c>
      <c r="E160" s="8">
        <f>'6-A. Proc. Sub-Annex'!H77</f>
        <v>0</v>
      </c>
      <c r="F160" s="8">
        <f>'6-A. Proc. Sub-Annex'!I77</f>
        <v>0</v>
      </c>
      <c r="G160" s="8">
        <f>'6-A. Proc. Sub-Annex'!J77</f>
        <v>0</v>
      </c>
      <c r="H160" s="8">
        <f>'6-A. Proc. Sub-Annex'!K77</f>
        <v>0</v>
      </c>
      <c r="I160" s="8">
        <f>'6-A. Proc. Sub-Annex'!L77</f>
        <v>0</v>
      </c>
      <c r="J160" s="8">
        <f>'6-A. Proc. Sub-Annex'!M77</f>
        <v>0</v>
      </c>
      <c r="K160" s="8">
        <f>'6-A. Proc. Sub-Annex'!N77</f>
        <v>0</v>
      </c>
      <c r="L160" s="8">
        <f>'6-A. Proc. Sub-Annex'!O77</f>
        <v>0</v>
      </c>
      <c r="M160" s="8">
        <f>'6-A. Proc. Sub-Annex'!P77</f>
        <v>0</v>
      </c>
      <c r="N160" s="8">
        <f>'6-A. Proc. Sub-Annex'!Q77</f>
        <v>0</v>
      </c>
      <c r="O160" s="8">
        <f>'6-A. Proc. Sub-Annex'!R77</f>
        <v>0</v>
      </c>
      <c r="P160" s="8">
        <f>'6-A. Proc. Sub-Annex'!S77</f>
        <v>0</v>
      </c>
    </row>
    <row r="161" spans="1:16" ht="25.5" x14ac:dyDescent="0.2">
      <c r="A161" s="4" t="str">
        <f>'6-A. Proc. Sub-Annex'!B83</f>
        <v>6.1.1.17</v>
      </c>
      <c r="B161" s="4">
        <f>'6-A. Proc. Sub-Annex'!C83</f>
        <v>0</v>
      </c>
      <c r="C161" s="4" t="str">
        <f>'6-A. Proc. Sub-Annex'!D83</f>
        <v>Procurement of bio-medical and other Equipment: NLEP</v>
      </c>
      <c r="D161" s="8"/>
      <c r="E161" s="8"/>
      <c r="F161" s="8">
        <f>F162</f>
        <v>0</v>
      </c>
      <c r="G161" s="8">
        <f>G162</f>
        <v>0</v>
      </c>
      <c r="H161" s="8">
        <f>H162</f>
        <v>0</v>
      </c>
      <c r="I161" s="8"/>
      <c r="J161" s="8"/>
      <c r="K161" s="8"/>
      <c r="L161" s="8"/>
      <c r="M161" s="8">
        <f>M162</f>
        <v>0</v>
      </c>
      <c r="N161" s="8">
        <f>'6-A. Proc. Sub-Annex'!Q83</f>
        <v>0</v>
      </c>
      <c r="O161" s="8">
        <f>'6-A. Proc. Sub-Annex'!R83</f>
        <v>0</v>
      </c>
      <c r="P161" s="8">
        <f>P162</f>
        <v>0</v>
      </c>
    </row>
    <row r="162" spans="1:16" ht="25.5" x14ac:dyDescent="0.2">
      <c r="A162" s="4" t="str">
        <f>'6-A. Proc. Sub-Annex'!B84</f>
        <v>6.1.1.17.1</v>
      </c>
      <c r="B162" s="4" t="str">
        <f>'6-A. Proc. Sub-Annex'!C84</f>
        <v>G.1.4</v>
      </c>
      <c r="C162" s="4" t="str">
        <f>'6-A. Proc. Sub-Annex'!D84</f>
        <v>Equipment</v>
      </c>
      <c r="D162" s="8">
        <f>'6-A. Proc. Sub-Annex'!G84</f>
        <v>0</v>
      </c>
      <c r="E162" s="8">
        <f>'6-A. Proc. Sub-Annex'!H84</f>
        <v>0</v>
      </c>
      <c r="F162" s="8">
        <f>'6-A. Proc. Sub-Annex'!I84</f>
        <v>0</v>
      </c>
      <c r="G162" s="8">
        <f>'6-A. Proc. Sub-Annex'!J84</f>
        <v>0</v>
      </c>
      <c r="H162" s="8">
        <f>'6-A. Proc. Sub-Annex'!K84</f>
        <v>0</v>
      </c>
      <c r="I162" s="8">
        <f>'6-A. Proc. Sub-Annex'!L84</f>
        <v>0</v>
      </c>
      <c r="J162" s="8">
        <f>'6-A. Proc. Sub-Annex'!M84</f>
        <v>0</v>
      </c>
      <c r="K162" s="8">
        <f>'6-A. Proc. Sub-Annex'!N84</f>
        <v>0</v>
      </c>
      <c r="L162" s="8">
        <f>'6-A. Proc. Sub-Annex'!O84</f>
        <v>0</v>
      </c>
      <c r="M162" s="8">
        <f>'6-A. Proc. Sub-Annex'!P84</f>
        <v>0</v>
      </c>
      <c r="N162" s="8">
        <f>'6-A. Proc. Sub-Annex'!Q84</f>
        <v>0</v>
      </c>
      <c r="O162" s="8">
        <f>'6-A. Proc. Sub-Annex'!R84</f>
        <v>0</v>
      </c>
      <c r="P162" s="8">
        <f>'6-A. Proc. Sub-Annex'!S84</f>
        <v>0</v>
      </c>
    </row>
    <row r="163" spans="1:16" ht="25.5" x14ac:dyDescent="0.2">
      <c r="A163" s="4" t="str">
        <f>'6-A. Proc. Sub-Annex'!B88</f>
        <v>6.1.1.18</v>
      </c>
      <c r="B163" s="4">
        <f>'6-A. Proc. Sub-Annex'!C88</f>
        <v>0</v>
      </c>
      <c r="C163" s="4" t="str">
        <f>'6-A. Proc. Sub-Annex'!D88</f>
        <v>Procurement of bio-medical and other Equipment: NTEP</v>
      </c>
      <c r="D163" s="8"/>
      <c r="E163" s="8"/>
      <c r="F163" s="8">
        <f>F164</f>
        <v>0</v>
      </c>
      <c r="G163" s="8">
        <f>G164</f>
        <v>0</v>
      </c>
      <c r="H163" s="8">
        <f>H164</f>
        <v>0</v>
      </c>
      <c r="I163" s="8"/>
      <c r="J163" s="8"/>
      <c r="K163" s="8"/>
      <c r="L163" s="8"/>
      <c r="M163" s="8">
        <f>M164</f>
        <v>0</v>
      </c>
      <c r="N163" s="8">
        <f>'6-A. Proc. Sub-Annex'!Q88</f>
        <v>0</v>
      </c>
      <c r="O163" s="8">
        <f>'6-A. Proc. Sub-Annex'!R88</f>
        <v>0</v>
      </c>
      <c r="P163" s="8">
        <f>P164</f>
        <v>0</v>
      </c>
    </row>
    <row r="164" spans="1:16" ht="25.5" x14ac:dyDescent="0.2">
      <c r="A164" s="4" t="str">
        <f>'6-A. Proc. Sub-Annex'!B89</f>
        <v>6.1.1.18.1</v>
      </c>
      <c r="B164" s="4" t="str">
        <f>'6-A. Proc. Sub-Annex'!C89</f>
        <v>H.17</v>
      </c>
      <c r="C164" s="4" t="str">
        <f>'6-A. Proc. Sub-Annex'!D89</f>
        <v>Procurement of Equipment</v>
      </c>
      <c r="D164" s="8">
        <f>'6-A. Proc. Sub-Annex'!G89</f>
        <v>0</v>
      </c>
      <c r="E164" s="8">
        <f>'6-A. Proc. Sub-Annex'!H89</f>
        <v>0</v>
      </c>
      <c r="F164" s="8">
        <f>'6-A. Proc. Sub-Annex'!I89</f>
        <v>0</v>
      </c>
      <c r="G164" s="8">
        <f>'6-A. Proc. Sub-Annex'!J89</f>
        <v>0</v>
      </c>
      <c r="H164" s="8">
        <f>'6-A. Proc. Sub-Annex'!K89</f>
        <v>0</v>
      </c>
      <c r="I164" s="8">
        <f>'6-A. Proc. Sub-Annex'!L89</f>
        <v>0</v>
      </c>
      <c r="J164" s="8">
        <f>'6-A. Proc. Sub-Annex'!M89</f>
        <v>0</v>
      </c>
      <c r="K164" s="8">
        <f>'6-A. Proc. Sub-Annex'!N89</f>
        <v>0</v>
      </c>
      <c r="L164" s="8">
        <f>'6-A. Proc. Sub-Annex'!O89</f>
        <v>0</v>
      </c>
      <c r="M164" s="8">
        <f>'6-A. Proc. Sub-Annex'!P89</f>
        <v>0</v>
      </c>
      <c r="N164" s="8">
        <f>'6-A. Proc. Sub-Annex'!Q89</f>
        <v>0</v>
      </c>
      <c r="O164" s="8">
        <f>'6-A. Proc. Sub-Annex'!R89</f>
        <v>0</v>
      </c>
      <c r="P164" s="8">
        <f>'6-A. Proc. Sub-Annex'!S89</f>
        <v>0</v>
      </c>
    </row>
    <row r="165" spans="1:16" ht="25.5" x14ac:dyDescent="0.2">
      <c r="A165" s="4" t="str">
        <f>'6-A. Proc. Sub-Annex'!B93</f>
        <v>6.1.1.19</v>
      </c>
      <c r="B165" s="4">
        <f>'6-A. Proc. Sub-Annex'!C93</f>
        <v>0</v>
      </c>
      <c r="C165" s="4" t="str">
        <f>'6-A. Proc. Sub-Annex'!D93</f>
        <v>Procurement of bio-medical and other Equipment: NPCB</v>
      </c>
      <c r="D165" s="8"/>
      <c r="E165" s="8"/>
      <c r="F165" s="8">
        <f>SUM(F166:F170)</f>
        <v>0</v>
      </c>
      <c r="G165" s="8">
        <f>SUM(G166:G170)</f>
        <v>0</v>
      </c>
      <c r="H165" s="8">
        <f>SUM(H166:H170)</f>
        <v>0</v>
      </c>
      <c r="I165" s="8"/>
      <c r="J165" s="8"/>
      <c r="K165" s="8"/>
      <c r="L165" s="8"/>
      <c r="M165" s="8">
        <f>SUM(M166:M170)</f>
        <v>0</v>
      </c>
      <c r="N165" s="8">
        <f>'6-A. Proc. Sub-Annex'!Q93</f>
        <v>0</v>
      </c>
      <c r="O165" s="8">
        <f>'6-A. Proc. Sub-Annex'!R93</f>
        <v>0</v>
      </c>
      <c r="P165" s="8">
        <f>SUM(P166:P170)</f>
        <v>0</v>
      </c>
    </row>
    <row r="166" spans="1:16" ht="25.5" x14ac:dyDescent="0.2">
      <c r="A166" s="4" t="str">
        <f>'6-A. Proc. Sub-Annex'!B94</f>
        <v>6.1.1.19.1</v>
      </c>
      <c r="B166" s="4" t="str">
        <f>'6-A. Proc. Sub-Annex'!C94</f>
        <v>I.2.1.</v>
      </c>
      <c r="C166" s="4" t="str">
        <f>'6-A. Proc. Sub-Annex'!D94</f>
        <v>Grant-in-aid for District Hospitals</v>
      </c>
      <c r="D166" s="8">
        <f>'6-A. Proc. Sub-Annex'!G94</f>
        <v>0</v>
      </c>
      <c r="E166" s="8">
        <f>'6-A. Proc. Sub-Annex'!H94</f>
        <v>0</v>
      </c>
      <c r="F166" s="8">
        <f>'6-A. Proc. Sub-Annex'!I94</f>
        <v>0</v>
      </c>
      <c r="G166" s="8">
        <f>'6-A. Proc. Sub-Annex'!J94</f>
        <v>0</v>
      </c>
      <c r="H166" s="8">
        <f>'6-A. Proc. Sub-Annex'!K94</f>
        <v>0</v>
      </c>
      <c r="I166" s="8">
        <f>'6-A. Proc. Sub-Annex'!L94</f>
        <v>0</v>
      </c>
      <c r="J166" s="8">
        <f>'6-A. Proc. Sub-Annex'!M94</f>
        <v>0</v>
      </c>
      <c r="K166" s="8">
        <f>'6-A. Proc. Sub-Annex'!N94</f>
        <v>0</v>
      </c>
      <c r="L166" s="8">
        <f>'6-A. Proc. Sub-Annex'!O94</f>
        <v>0</v>
      </c>
      <c r="M166" s="8">
        <f>'6-A. Proc. Sub-Annex'!P94</f>
        <v>0</v>
      </c>
      <c r="N166" s="8">
        <f>'6-A. Proc. Sub-Annex'!Q94</f>
        <v>0</v>
      </c>
      <c r="O166" s="8">
        <f>'6-A. Proc. Sub-Annex'!R94</f>
        <v>0</v>
      </c>
      <c r="P166" s="8">
        <f>'6-A. Proc. Sub-Annex'!S94</f>
        <v>0</v>
      </c>
    </row>
    <row r="167" spans="1:16" ht="25.5" x14ac:dyDescent="0.2">
      <c r="A167" s="4" t="str">
        <f>'6-A. Proc. Sub-Annex'!B95</f>
        <v>6.1.1.19.2</v>
      </c>
      <c r="B167" s="4" t="str">
        <f>'6-A. Proc. Sub-Annex'!C95</f>
        <v>I.2.2.</v>
      </c>
      <c r="C167" s="4" t="str">
        <f>'6-A. Proc. Sub-Annex'!D95</f>
        <v>Grant-in-aid for Sub Divisional Hospitals</v>
      </c>
      <c r="D167" s="8">
        <f>'6-A. Proc. Sub-Annex'!G95</f>
        <v>0</v>
      </c>
      <c r="E167" s="8">
        <f>'6-A. Proc. Sub-Annex'!H95</f>
        <v>0</v>
      </c>
      <c r="F167" s="8">
        <f>'6-A. Proc. Sub-Annex'!I95</f>
        <v>0</v>
      </c>
      <c r="G167" s="8">
        <f>'6-A. Proc. Sub-Annex'!J95</f>
        <v>0</v>
      </c>
      <c r="H167" s="8">
        <f>'6-A. Proc. Sub-Annex'!K95</f>
        <v>0</v>
      </c>
      <c r="I167" s="8">
        <f>'6-A. Proc. Sub-Annex'!L95</f>
        <v>0</v>
      </c>
      <c r="J167" s="8">
        <f>'6-A. Proc. Sub-Annex'!M95</f>
        <v>0</v>
      </c>
      <c r="K167" s="8">
        <f>'6-A. Proc. Sub-Annex'!N95</f>
        <v>0</v>
      </c>
      <c r="L167" s="8">
        <f>'6-A. Proc. Sub-Annex'!O95</f>
        <v>0</v>
      </c>
      <c r="M167" s="8">
        <f>'6-A. Proc. Sub-Annex'!P95</f>
        <v>0</v>
      </c>
      <c r="N167" s="8">
        <f>'6-A. Proc. Sub-Annex'!Q95</f>
        <v>0</v>
      </c>
      <c r="O167" s="8">
        <f>'6-A. Proc. Sub-Annex'!R95</f>
        <v>0</v>
      </c>
      <c r="P167" s="8">
        <f>'6-A. Proc. Sub-Annex'!S95</f>
        <v>0</v>
      </c>
    </row>
    <row r="168" spans="1:16" ht="25.5" x14ac:dyDescent="0.2">
      <c r="A168" s="4" t="str">
        <f>'6-A. Proc. Sub-Annex'!B96</f>
        <v>6.1.1.19.3</v>
      </c>
      <c r="B168" s="4" t="str">
        <f>'6-A. Proc. Sub-Annex'!C96</f>
        <v>I.2.3</v>
      </c>
      <c r="C168" s="4" t="str">
        <f>'6-A. Proc. Sub-Annex'!D96</f>
        <v xml:space="preserve">Grant-in-aid for Vision Centre (PHC) (Govt.) </v>
      </c>
      <c r="D168" s="8">
        <f>'6-A. Proc. Sub-Annex'!G96</f>
        <v>0</v>
      </c>
      <c r="E168" s="8">
        <f>'6-A. Proc. Sub-Annex'!H96</f>
        <v>0</v>
      </c>
      <c r="F168" s="8">
        <f>'6-A. Proc. Sub-Annex'!I96</f>
        <v>0</v>
      </c>
      <c r="G168" s="8">
        <f>'6-A. Proc. Sub-Annex'!J96</f>
        <v>0</v>
      </c>
      <c r="H168" s="8">
        <f>'6-A. Proc. Sub-Annex'!K96</f>
        <v>0</v>
      </c>
      <c r="I168" s="8">
        <f>'6-A. Proc. Sub-Annex'!L96</f>
        <v>0</v>
      </c>
      <c r="J168" s="8">
        <f>'6-A. Proc. Sub-Annex'!M96</f>
        <v>0</v>
      </c>
      <c r="K168" s="8">
        <f>'6-A. Proc. Sub-Annex'!N96</f>
        <v>0</v>
      </c>
      <c r="L168" s="8">
        <f>'6-A. Proc. Sub-Annex'!O96</f>
        <v>0</v>
      </c>
      <c r="M168" s="8">
        <f>'6-A. Proc. Sub-Annex'!P96</f>
        <v>0</v>
      </c>
      <c r="N168" s="8">
        <f>'6-A. Proc. Sub-Annex'!Q96</f>
        <v>0</v>
      </c>
      <c r="O168" s="8">
        <f>'6-A. Proc. Sub-Annex'!R96</f>
        <v>0</v>
      </c>
      <c r="P168" s="8">
        <f>'6-A. Proc. Sub-Annex'!S96</f>
        <v>0</v>
      </c>
    </row>
    <row r="169" spans="1:16" ht="25.5" x14ac:dyDescent="0.2">
      <c r="A169" s="4" t="str">
        <f>'6-A. Proc. Sub-Annex'!B97</f>
        <v>6.1.1.19.4</v>
      </c>
      <c r="B169" s="4" t="str">
        <f>'6-A. Proc. Sub-Annex'!C97</f>
        <v>I.2.4</v>
      </c>
      <c r="C169" s="4" t="str">
        <f>'6-A. Proc. Sub-Annex'!D97</f>
        <v>Grant-in-aid for Eye Bank (Govt.)</v>
      </c>
      <c r="D169" s="8">
        <f>'6-A. Proc. Sub-Annex'!G97</f>
        <v>0</v>
      </c>
      <c r="E169" s="8">
        <f>'6-A. Proc. Sub-Annex'!H97</f>
        <v>0</v>
      </c>
      <c r="F169" s="8">
        <f>'6-A. Proc. Sub-Annex'!I97</f>
        <v>0</v>
      </c>
      <c r="G169" s="8">
        <f>'6-A. Proc. Sub-Annex'!J97</f>
        <v>0</v>
      </c>
      <c r="H169" s="8">
        <f>'6-A. Proc. Sub-Annex'!K97</f>
        <v>0</v>
      </c>
      <c r="I169" s="8">
        <f>'6-A. Proc. Sub-Annex'!L97</f>
        <v>0</v>
      </c>
      <c r="J169" s="8">
        <f>'6-A. Proc. Sub-Annex'!M97</f>
        <v>0</v>
      </c>
      <c r="K169" s="8">
        <f>'6-A. Proc. Sub-Annex'!N97</f>
        <v>0</v>
      </c>
      <c r="L169" s="8">
        <f>'6-A. Proc. Sub-Annex'!O97</f>
        <v>0</v>
      </c>
      <c r="M169" s="8">
        <f>'6-A. Proc. Sub-Annex'!P97</f>
        <v>0</v>
      </c>
      <c r="N169" s="8">
        <f>'6-A. Proc. Sub-Annex'!Q97</f>
        <v>0</v>
      </c>
      <c r="O169" s="8">
        <f>'6-A. Proc. Sub-Annex'!R97</f>
        <v>0</v>
      </c>
      <c r="P169" s="8">
        <f>'6-A. Proc. Sub-Annex'!S97</f>
        <v>0</v>
      </c>
    </row>
    <row r="170" spans="1:16" ht="25.5" x14ac:dyDescent="0.2">
      <c r="A170" s="4" t="str">
        <f>'6-A. Proc. Sub-Annex'!B98</f>
        <v>6.1.1.19.5</v>
      </c>
      <c r="B170" s="4" t="str">
        <f>'6-A. Proc. Sub-Annex'!C98</f>
        <v>I.2.5</v>
      </c>
      <c r="C170" s="4" t="str">
        <f>'6-A. Proc. Sub-Annex'!D98</f>
        <v>Grant-in-aid for Eye Donation Centre (Govt.)</v>
      </c>
      <c r="D170" s="8">
        <f>'6-A. Proc. Sub-Annex'!G98</f>
        <v>0</v>
      </c>
      <c r="E170" s="8">
        <f>'6-A. Proc. Sub-Annex'!H98</f>
        <v>0</v>
      </c>
      <c r="F170" s="8">
        <f>'6-A. Proc. Sub-Annex'!I98</f>
        <v>0</v>
      </c>
      <c r="G170" s="8">
        <f>'6-A. Proc. Sub-Annex'!J98</f>
        <v>0</v>
      </c>
      <c r="H170" s="8">
        <f>'6-A. Proc. Sub-Annex'!K98</f>
        <v>0</v>
      </c>
      <c r="I170" s="8">
        <f>'6-A. Proc. Sub-Annex'!L98</f>
        <v>0</v>
      </c>
      <c r="J170" s="8">
        <f>'6-A. Proc. Sub-Annex'!M98</f>
        <v>0</v>
      </c>
      <c r="K170" s="8">
        <f>'6-A. Proc. Sub-Annex'!N98</f>
        <v>0</v>
      </c>
      <c r="L170" s="8">
        <f>'6-A. Proc. Sub-Annex'!O98</f>
        <v>0</v>
      </c>
      <c r="M170" s="8">
        <f>'6-A. Proc. Sub-Annex'!P98</f>
        <v>0</v>
      </c>
      <c r="N170" s="8">
        <f>'6-A. Proc. Sub-Annex'!Q98</f>
        <v>0</v>
      </c>
      <c r="O170" s="8">
        <f>'6-A. Proc. Sub-Annex'!R98</f>
        <v>0</v>
      </c>
      <c r="P170" s="8">
        <f>'6-A. Proc. Sub-Annex'!S98</f>
        <v>0</v>
      </c>
    </row>
    <row r="171" spans="1:16" ht="25.5" x14ac:dyDescent="0.2">
      <c r="A171" s="4" t="str">
        <f>'6-A. Proc. Sub-Annex'!B99</f>
        <v>6.1.1.20</v>
      </c>
      <c r="B171" s="4">
        <f>'6-A. Proc. Sub-Annex'!C99</f>
        <v>0</v>
      </c>
      <c r="C171" s="4" t="str">
        <f>'6-A. Proc. Sub-Annex'!D99</f>
        <v>Procurement of bio-medical and other Equipment: NMHP</v>
      </c>
      <c r="D171" s="8"/>
      <c r="E171" s="8"/>
      <c r="F171" s="8">
        <f>F172</f>
        <v>0</v>
      </c>
      <c r="G171" s="8">
        <f>G172</f>
        <v>0</v>
      </c>
      <c r="H171" s="8">
        <f>H172</f>
        <v>0</v>
      </c>
      <c r="I171" s="8"/>
      <c r="J171" s="8"/>
      <c r="K171" s="8"/>
      <c r="L171" s="8"/>
      <c r="M171" s="8">
        <f>M172</f>
        <v>0</v>
      </c>
      <c r="N171" s="8">
        <f>'6-A. Proc. Sub-Annex'!Q99</f>
        <v>0</v>
      </c>
      <c r="O171" s="8">
        <f>'6-A. Proc. Sub-Annex'!R99</f>
        <v>0</v>
      </c>
      <c r="P171" s="8">
        <f>P172</f>
        <v>0</v>
      </c>
    </row>
    <row r="172" spans="1:16" ht="25.5" x14ac:dyDescent="0.2">
      <c r="A172" s="4" t="str">
        <f>'6-A. Proc. Sub-Annex'!B100</f>
        <v>6.1.1.20.1</v>
      </c>
      <c r="B172" s="4" t="str">
        <f>'6-A. Proc. Sub-Annex'!C100</f>
        <v>J.1.4</v>
      </c>
      <c r="C172" s="4" t="str">
        <f>'6-A. Proc. Sub-Annex'!D100</f>
        <v>Equipment</v>
      </c>
      <c r="D172" s="8">
        <f>'6-A. Proc. Sub-Annex'!G100</f>
        <v>0</v>
      </c>
      <c r="E172" s="8">
        <f>'6-A. Proc. Sub-Annex'!H100</f>
        <v>0</v>
      </c>
      <c r="F172" s="8">
        <f>'6-A. Proc. Sub-Annex'!I100</f>
        <v>0</v>
      </c>
      <c r="G172" s="8">
        <f>'6-A. Proc. Sub-Annex'!J100</f>
        <v>0</v>
      </c>
      <c r="H172" s="8">
        <f>'6-A. Proc. Sub-Annex'!K100</f>
        <v>0</v>
      </c>
      <c r="I172" s="8">
        <f>'6-A. Proc. Sub-Annex'!L100</f>
        <v>0</v>
      </c>
      <c r="J172" s="8">
        <f>'6-A. Proc. Sub-Annex'!M100</f>
        <v>0</v>
      </c>
      <c r="K172" s="8">
        <f>'6-A. Proc. Sub-Annex'!N100</f>
        <v>0</v>
      </c>
      <c r="L172" s="8">
        <f>'6-A. Proc. Sub-Annex'!O100</f>
        <v>0</v>
      </c>
      <c r="M172" s="8">
        <f>'6-A. Proc. Sub-Annex'!P100</f>
        <v>0</v>
      </c>
      <c r="N172" s="8">
        <f>'6-A. Proc. Sub-Annex'!Q100</f>
        <v>0</v>
      </c>
      <c r="O172" s="8">
        <f>'6-A. Proc. Sub-Annex'!R100</f>
        <v>0</v>
      </c>
      <c r="P172" s="8">
        <f>'6-A. Proc. Sub-Annex'!S100</f>
        <v>0</v>
      </c>
    </row>
    <row r="173" spans="1:16" ht="25.5" x14ac:dyDescent="0.2">
      <c r="A173" s="4" t="str">
        <f>'6-A. Proc. Sub-Annex'!B101</f>
        <v>6.1.1.21</v>
      </c>
      <c r="B173" s="4" t="str">
        <f>'6-A. Proc. Sub-Annex'!C101</f>
        <v>B16.1.10</v>
      </c>
      <c r="C173" s="4" t="str">
        <f>'6-A. Proc. Sub-Annex'!D101</f>
        <v>Procurement of bio-medical and other Equipment: NPHCE</v>
      </c>
      <c r="D173" s="8"/>
      <c r="E173" s="8"/>
      <c r="F173" s="8">
        <f>SUM(F174:F178)</f>
        <v>0</v>
      </c>
      <c r="G173" s="8">
        <f>SUM(G174:G178)</f>
        <v>0</v>
      </c>
      <c r="H173" s="8">
        <f>SUM(H174:H178)</f>
        <v>0</v>
      </c>
      <c r="I173" s="8"/>
      <c r="J173" s="8"/>
      <c r="K173" s="8"/>
      <c r="L173" s="8"/>
      <c r="M173" s="8">
        <f>SUM(M174:M178)</f>
        <v>0</v>
      </c>
      <c r="N173" s="8">
        <f>'6-A. Proc. Sub-Annex'!Q101</f>
        <v>0</v>
      </c>
      <c r="O173" s="8">
        <f>'6-A. Proc. Sub-Annex'!R101</f>
        <v>0</v>
      </c>
      <c r="P173" s="8">
        <f>SUM(P174:P178)</f>
        <v>0</v>
      </c>
    </row>
    <row r="174" spans="1:16" ht="38.25" x14ac:dyDescent="0.2">
      <c r="A174" s="4" t="str">
        <f>'6-A. Proc. Sub-Annex'!B102</f>
        <v>6.1.1.21.1</v>
      </c>
      <c r="B174" s="4" t="str">
        <f>'6-A. Proc. Sub-Annex'!C102</f>
        <v>K.1.1.1</v>
      </c>
      <c r="C174" s="4" t="str">
        <f>'6-A. Proc. Sub-Annex'!D102</f>
        <v>Recurring GIA: Machinery &amp; Equipment for DH @ 3 lakh/ CHC @ 0.50 lakh/ PHC @ 0.20 lakh</v>
      </c>
      <c r="D174" s="8">
        <f>'6-A. Proc. Sub-Annex'!G102</f>
        <v>0</v>
      </c>
      <c r="E174" s="8">
        <f>'6-A. Proc. Sub-Annex'!H102</f>
        <v>0</v>
      </c>
      <c r="F174" s="8">
        <f>'6-A. Proc. Sub-Annex'!I102</f>
        <v>0</v>
      </c>
      <c r="G174" s="8">
        <f>'6-A. Proc. Sub-Annex'!J102</f>
        <v>0</v>
      </c>
      <c r="H174" s="8">
        <f>'6-A. Proc. Sub-Annex'!K102</f>
        <v>0</v>
      </c>
      <c r="I174" s="8">
        <f>'6-A. Proc. Sub-Annex'!L102</f>
        <v>0</v>
      </c>
      <c r="J174" s="8">
        <f>'6-A. Proc. Sub-Annex'!M102</f>
        <v>0</v>
      </c>
      <c r="K174" s="8">
        <f>'6-A. Proc. Sub-Annex'!N102</f>
        <v>0</v>
      </c>
      <c r="L174" s="8">
        <f>'6-A. Proc. Sub-Annex'!O102</f>
        <v>0</v>
      </c>
      <c r="M174" s="8">
        <f>'6-A. Proc. Sub-Annex'!P102</f>
        <v>0</v>
      </c>
      <c r="N174" s="8">
        <f>'6-A. Proc. Sub-Annex'!Q102</f>
        <v>0</v>
      </c>
      <c r="O174" s="8">
        <f>'6-A. Proc. Sub-Annex'!R102</f>
        <v>0</v>
      </c>
      <c r="P174" s="8">
        <f>'6-A. Proc. Sub-Annex'!S102</f>
        <v>0</v>
      </c>
    </row>
    <row r="175" spans="1:16" ht="25.5" x14ac:dyDescent="0.2">
      <c r="A175" s="4" t="str">
        <f>'6-A. Proc. Sub-Annex'!B103</f>
        <v>6.1.1.21.2</v>
      </c>
      <c r="B175" s="4" t="str">
        <f>'6-A. Proc. Sub-Annex'!C103</f>
        <v>K.1.4.1</v>
      </c>
      <c r="C175" s="4" t="str">
        <f>'6-A. Proc. Sub-Annex'!D103</f>
        <v>Aids and Appliances for Sub-Centre/HWC Sub Centre</v>
      </c>
      <c r="D175" s="8">
        <f>'6-A. Proc. Sub-Annex'!G103</f>
        <v>0</v>
      </c>
      <c r="E175" s="8">
        <f>'6-A. Proc. Sub-Annex'!H103</f>
        <v>0</v>
      </c>
      <c r="F175" s="8">
        <f>'6-A. Proc. Sub-Annex'!I103</f>
        <v>0</v>
      </c>
      <c r="G175" s="8">
        <f>'6-A. Proc. Sub-Annex'!J103</f>
        <v>0</v>
      </c>
      <c r="H175" s="8">
        <f>'6-A. Proc. Sub-Annex'!K103</f>
        <v>0</v>
      </c>
      <c r="I175" s="8">
        <f>'6-A. Proc. Sub-Annex'!L103</f>
        <v>0</v>
      </c>
      <c r="J175" s="8">
        <f>'6-A. Proc. Sub-Annex'!M103</f>
        <v>0</v>
      </c>
      <c r="K175" s="8">
        <f>'6-A. Proc. Sub-Annex'!N103</f>
        <v>0</v>
      </c>
      <c r="L175" s="8">
        <f>'6-A. Proc. Sub-Annex'!O103</f>
        <v>0</v>
      </c>
      <c r="M175" s="8">
        <f>'6-A. Proc. Sub-Annex'!P103</f>
        <v>0</v>
      </c>
      <c r="N175" s="8">
        <f>'6-A. Proc. Sub-Annex'!Q103</f>
        <v>0</v>
      </c>
      <c r="O175" s="8">
        <f>'6-A. Proc. Sub-Annex'!R103</f>
        <v>0</v>
      </c>
      <c r="P175" s="8">
        <f>'6-A. Proc. Sub-Annex'!S103</f>
        <v>0</v>
      </c>
    </row>
    <row r="176" spans="1:16" ht="25.5" x14ac:dyDescent="0.2">
      <c r="A176" s="4" t="str">
        <f>'6-A. Proc. Sub-Annex'!B104</f>
        <v>6.1.1.21.3</v>
      </c>
      <c r="B176" s="4" t="str">
        <f>'6-A. Proc. Sub-Annex'!C104</f>
        <v>K.2.1.2</v>
      </c>
      <c r="C176" s="4" t="str">
        <f>'6-A. Proc. Sub-Annex'!D104</f>
        <v>Non-recurring GIA: Machinery &amp; Equipment for DH</v>
      </c>
      <c r="D176" s="8">
        <f>'6-A. Proc. Sub-Annex'!G104</f>
        <v>0</v>
      </c>
      <c r="E176" s="8">
        <f>'6-A. Proc. Sub-Annex'!H104</f>
        <v>0</v>
      </c>
      <c r="F176" s="8">
        <f>'6-A. Proc. Sub-Annex'!I104</f>
        <v>0</v>
      </c>
      <c r="G176" s="8">
        <f>'6-A. Proc. Sub-Annex'!J104</f>
        <v>0</v>
      </c>
      <c r="H176" s="8">
        <f>'6-A. Proc. Sub-Annex'!K104</f>
        <v>0</v>
      </c>
      <c r="I176" s="8">
        <f>'6-A. Proc. Sub-Annex'!L104</f>
        <v>0</v>
      </c>
      <c r="J176" s="8">
        <f>'6-A. Proc. Sub-Annex'!M104</f>
        <v>0</v>
      </c>
      <c r="K176" s="8">
        <f>'6-A. Proc. Sub-Annex'!N104</f>
        <v>0</v>
      </c>
      <c r="L176" s="8">
        <f>'6-A. Proc. Sub-Annex'!O104</f>
        <v>0</v>
      </c>
      <c r="M176" s="8">
        <f>'6-A. Proc. Sub-Annex'!P104</f>
        <v>0</v>
      </c>
      <c r="N176" s="8">
        <f>'6-A. Proc. Sub-Annex'!Q104</f>
        <v>0</v>
      </c>
      <c r="O176" s="8">
        <f>'6-A. Proc. Sub-Annex'!R104</f>
        <v>0</v>
      </c>
      <c r="P176" s="8">
        <f>'6-A. Proc. Sub-Annex'!S104</f>
        <v>0</v>
      </c>
    </row>
    <row r="177" spans="1:16" ht="25.5" x14ac:dyDescent="0.2">
      <c r="A177" s="4" t="str">
        <f>'6-A. Proc. Sub-Annex'!B105</f>
        <v>6.1.1.21.4</v>
      </c>
      <c r="B177" s="4" t="str">
        <f>'6-A. Proc. Sub-Annex'!C105</f>
        <v>K.2.2</v>
      </c>
      <c r="C177" s="4" t="str">
        <f>'6-A. Proc. Sub-Annex'!D105</f>
        <v>Non-recurring GIA: Machinery &amp; Equipment for CHC</v>
      </c>
      <c r="D177" s="8">
        <f>'6-A. Proc. Sub-Annex'!G105</f>
        <v>0</v>
      </c>
      <c r="E177" s="8">
        <f>'6-A. Proc. Sub-Annex'!H105</f>
        <v>0</v>
      </c>
      <c r="F177" s="8">
        <f>'6-A. Proc. Sub-Annex'!I105</f>
        <v>0</v>
      </c>
      <c r="G177" s="8">
        <f>'6-A. Proc. Sub-Annex'!J105</f>
        <v>0</v>
      </c>
      <c r="H177" s="8">
        <f>'6-A. Proc. Sub-Annex'!K105</f>
        <v>0</v>
      </c>
      <c r="I177" s="8">
        <f>'6-A. Proc. Sub-Annex'!L105</f>
        <v>0</v>
      </c>
      <c r="J177" s="8">
        <f>'6-A. Proc. Sub-Annex'!M105</f>
        <v>0</v>
      </c>
      <c r="K177" s="8">
        <f>'6-A. Proc. Sub-Annex'!N105</f>
        <v>0</v>
      </c>
      <c r="L177" s="8">
        <f>'6-A. Proc. Sub-Annex'!O105</f>
        <v>0</v>
      </c>
      <c r="M177" s="8">
        <f>'6-A. Proc. Sub-Annex'!P105</f>
        <v>0</v>
      </c>
      <c r="N177" s="8">
        <f>'6-A. Proc. Sub-Annex'!Q105</f>
        <v>0</v>
      </c>
      <c r="O177" s="8">
        <f>'6-A. Proc. Sub-Annex'!R105</f>
        <v>0</v>
      </c>
      <c r="P177" s="8">
        <f>'6-A. Proc. Sub-Annex'!S105</f>
        <v>0</v>
      </c>
    </row>
    <row r="178" spans="1:16" ht="25.5" x14ac:dyDescent="0.2">
      <c r="A178" s="4" t="str">
        <f>'6-A. Proc. Sub-Annex'!B106</f>
        <v>6.1.1.21.5</v>
      </c>
      <c r="B178" s="4" t="str">
        <f>'6-A. Proc. Sub-Annex'!C106</f>
        <v>K.2.3</v>
      </c>
      <c r="C178" s="4" t="str">
        <f>'6-A. Proc. Sub-Annex'!D106</f>
        <v>Non-recurring GIA: Machinery &amp; Equipment for PHC</v>
      </c>
      <c r="D178" s="8">
        <f>'6-A. Proc. Sub-Annex'!G106</f>
        <v>0</v>
      </c>
      <c r="E178" s="8">
        <f>'6-A. Proc. Sub-Annex'!H106</f>
        <v>0</v>
      </c>
      <c r="F178" s="8">
        <f>'6-A. Proc. Sub-Annex'!I106</f>
        <v>0</v>
      </c>
      <c r="G178" s="8">
        <f>'6-A. Proc. Sub-Annex'!J106</f>
        <v>0</v>
      </c>
      <c r="H178" s="8">
        <f>'6-A. Proc. Sub-Annex'!K106</f>
        <v>0</v>
      </c>
      <c r="I178" s="8">
        <f>'6-A. Proc. Sub-Annex'!L106</f>
        <v>0</v>
      </c>
      <c r="J178" s="8">
        <f>'6-A. Proc. Sub-Annex'!M106</f>
        <v>0</v>
      </c>
      <c r="K178" s="8">
        <f>'6-A. Proc. Sub-Annex'!N106</f>
        <v>0</v>
      </c>
      <c r="L178" s="8">
        <f>'6-A. Proc. Sub-Annex'!O106</f>
        <v>0</v>
      </c>
      <c r="M178" s="8">
        <f>'6-A. Proc. Sub-Annex'!P106</f>
        <v>0</v>
      </c>
      <c r="N178" s="8">
        <f>'6-A. Proc. Sub-Annex'!Q106</f>
        <v>0</v>
      </c>
      <c r="O178" s="8">
        <f>'6-A. Proc. Sub-Annex'!R106</f>
        <v>0</v>
      </c>
      <c r="P178" s="8">
        <f>'6-A. Proc. Sub-Annex'!S106</f>
        <v>0</v>
      </c>
    </row>
    <row r="179" spans="1:16" ht="25.5" x14ac:dyDescent="0.2">
      <c r="A179" s="4" t="str">
        <f>'6-A. Proc. Sub-Annex'!B109</f>
        <v>6.1.1.22</v>
      </c>
      <c r="B179" s="4">
        <f>'6-A. Proc. Sub-Annex'!C109</f>
        <v>0</v>
      </c>
      <c r="C179" s="4" t="str">
        <f>'6-A. Proc. Sub-Annex'!D109</f>
        <v>Procurement of bio-medical and other equipment: NTCP</v>
      </c>
      <c r="D179" s="8"/>
      <c r="E179" s="8"/>
      <c r="F179" s="8">
        <f>SUM(F180:F182)</f>
        <v>0</v>
      </c>
      <c r="G179" s="8">
        <f>SUM(G180:G182)</f>
        <v>0</v>
      </c>
      <c r="H179" s="8">
        <f>SUM(H180:H182)</f>
        <v>0</v>
      </c>
      <c r="I179" s="8"/>
      <c r="J179" s="8"/>
      <c r="K179" s="8"/>
      <c r="L179" s="8"/>
      <c r="M179" s="8">
        <f>SUM(M180:M182)</f>
        <v>0</v>
      </c>
      <c r="N179" s="8">
        <f>'6-A. Proc. Sub-Annex'!Q109</f>
        <v>0</v>
      </c>
      <c r="O179" s="8">
        <f>'6-A. Proc. Sub-Annex'!R109</f>
        <v>0</v>
      </c>
      <c r="P179" s="8">
        <f>SUM(P180:P182)</f>
        <v>0</v>
      </c>
    </row>
    <row r="180" spans="1:16" ht="25.5" x14ac:dyDescent="0.2">
      <c r="A180" s="4" t="str">
        <f>'6-A. Proc. Sub-Annex'!B110</f>
        <v>6.1.1.22.1</v>
      </c>
      <c r="B180" s="4" t="str">
        <f>'6-A. Proc. Sub-Annex'!C110</f>
        <v>M.1.5.1</v>
      </c>
      <c r="C180" s="4" t="str">
        <f>'6-A. Proc. Sub-Annex'!D110</f>
        <v>Non-recurring: Equipment for DTCC</v>
      </c>
      <c r="D180" s="8">
        <f>'6-A. Proc. Sub-Annex'!G110</f>
        <v>0</v>
      </c>
      <c r="E180" s="8">
        <f>'6-A. Proc. Sub-Annex'!H110</f>
        <v>0</v>
      </c>
      <c r="F180" s="8">
        <f>'6-A. Proc. Sub-Annex'!I110</f>
        <v>0</v>
      </c>
      <c r="G180" s="8">
        <f>'6-A. Proc. Sub-Annex'!J110</f>
        <v>0</v>
      </c>
      <c r="H180" s="8">
        <f>'6-A. Proc. Sub-Annex'!K110</f>
        <v>0</v>
      </c>
      <c r="I180" s="8">
        <f>'6-A. Proc. Sub-Annex'!L110</f>
        <v>0</v>
      </c>
      <c r="J180" s="8">
        <f>'6-A. Proc. Sub-Annex'!M110</f>
        <v>0</v>
      </c>
      <c r="K180" s="8">
        <f>'6-A. Proc. Sub-Annex'!N110</f>
        <v>0</v>
      </c>
      <c r="L180" s="8">
        <f>'6-A. Proc. Sub-Annex'!O110</f>
        <v>0</v>
      </c>
      <c r="M180" s="8">
        <f>'6-A. Proc. Sub-Annex'!P110</f>
        <v>0</v>
      </c>
      <c r="N180" s="8">
        <f>'6-A. Proc. Sub-Annex'!Q110</f>
        <v>0</v>
      </c>
      <c r="O180" s="8">
        <f>'6-A. Proc. Sub-Annex'!R110</f>
        <v>0</v>
      </c>
      <c r="P180" s="8">
        <f>'6-A. Proc. Sub-Annex'!S110</f>
        <v>0</v>
      </c>
    </row>
    <row r="181" spans="1:16" ht="25.5" x14ac:dyDescent="0.2">
      <c r="A181" s="4" t="str">
        <f>'6-A. Proc. Sub-Annex'!B111</f>
        <v>6.1.1.22.2</v>
      </c>
      <c r="B181" s="4" t="str">
        <f>'6-A. Proc. Sub-Annex'!C111</f>
        <v>M.2.3.1</v>
      </c>
      <c r="C181" s="4" t="str">
        <f>'6-A. Proc. Sub-Annex'!D111</f>
        <v>Non-recurring: Equipment for TCC</v>
      </c>
      <c r="D181" s="8">
        <f>'6-A. Proc. Sub-Annex'!G111</f>
        <v>0</v>
      </c>
      <c r="E181" s="8">
        <f>'6-A. Proc. Sub-Annex'!H111</f>
        <v>0</v>
      </c>
      <c r="F181" s="8">
        <f>'6-A. Proc. Sub-Annex'!I111</f>
        <v>0</v>
      </c>
      <c r="G181" s="8">
        <f>'6-A. Proc. Sub-Annex'!J111</f>
        <v>0</v>
      </c>
      <c r="H181" s="8">
        <f>'6-A. Proc. Sub-Annex'!K111</f>
        <v>0</v>
      </c>
      <c r="I181" s="8">
        <f>'6-A. Proc. Sub-Annex'!L111</f>
        <v>0</v>
      </c>
      <c r="J181" s="8">
        <f>'6-A. Proc. Sub-Annex'!M111</f>
        <v>0</v>
      </c>
      <c r="K181" s="8">
        <f>'6-A. Proc. Sub-Annex'!N111</f>
        <v>0</v>
      </c>
      <c r="L181" s="8">
        <f>'6-A. Proc. Sub-Annex'!O111</f>
        <v>0</v>
      </c>
      <c r="M181" s="8">
        <f>'6-A. Proc. Sub-Annex'!P111</f>
        <v>0</v>
      </c>
      <c r="N181" s="8">
        <f>'6-A. Proc. Sub-Annex'!Q111</f>
        <v>0</v>
      </c>
      <c r="O181" s="8">
        <f>'6-A. Proc. Sub-Annex'!R111</f>
        <v>0</v>
      </c>
      <c r="P181" s="8">
        <f>'6-A. Proc. Sub-Annex'!S111</f>
        <v>0</v>
      </c>
    </row>
    <row r="182" spans="1:16" ht="25.5" x14ac:dyDescent="0.2">
      <c r="A182" s="4" t="str">
        <f>'6-A. Proc. Sub-Annex'!B112</f>
        <v>6.1.1.22.3</v>
      </c>
      <c r="B182" s="4">
        <f>'6-A. Proc. Sub-Annex'!C112</f>
        <v>0</v>
      </c>
      <c r="C182" s="4" t="str">
        <f>'6-A. Proc. Sub-Annex'!D112</f>
        <v>Any other equipment (please specify)</v>
      </c>
      <c r="D182" s="8">
        <f>'6-A. Proc. Sub-Annex'!G112</f>
        <v>0</v>
      </c>
      <c r="E182" s="8">
        <f>'6-A. Proc. Sub-Annex'!H112</f>
        <v>0</v>
      </c>
      <c r="F182" s="8">
        <f>'6-A. Proc. Sub-Annex'!I112</f>
        <v>0</v>
      </c>
      <c r="G182" s="8">
        <f>'6-A. Proc. Sub-Annex'!J112</f>
        <v>0</v>
      </c>
      <c r="H182" s="8">
        <f>'6-A. Proc. Sub-Annex'!K112</f>
        <v>0</v>
      </c>
      <c r="I182" s="8">
        <f>'6-A. Proc. Sub-Annex'!L112</f>
        <v>0</v>
      </c>
      <c r="J182" s="8">
        <f>'6-A. Proc. Sub-Annex'!M112</f>
        <v>0</v>
      </c>
      <c r="K182" s="8">
        <f>'6-A. Proc. Sub-Annex'!N112</f>
        <v>0</v>
      </c>
      <c r="L182" s="8">
        <f>'6-A. Proc. Sub-Annex'!O112</f>
        <v>0</v>
      </c>
      <c r="M182" s="8">
        <f>'6-A. Proc. Sub-Annex'!P112</f>
        <v>0</v>
      </c>
      <c r="N182" s="8">
        <f>'6-A. Proc. Sub-Annex'!Q112</f>
        <v>0</v>
      </c>
      <c r="O182" s="8">
        <f>'6-A. Proc. Sub-Annex'!R112</f>
        <v>0</v>
      </c>
      <c r="P182" s="8">
        <f>'6-A. Proc. Sub-Annex'!S112</f>
        <v>0</v>
      </c>
    </row>
    <row r="183" spans="1:16" ht="25.5" x14ac:dyDescent="0.2">
      <c r="A183" s="4" t="str">
        <f>'6-A. Proc. Sub-Annex'!B113</f>
        <v>6.1.1.23</v>
      </c>
      <c r="B183" s="4">
        <f>'6-A. Proc. Sub-Annex'!C113</f>
        <v>0</v>
      </c>
      <c r="C183" s="4" t="str">
        <f>'6-A. Proc. Sub-Annex'!D113</f>
        <v>Procurement of bio-medical and other equipment: NPCDCS</v>
      </c>
      <c r="D183" s="8"/>
      <c r="E183" s="8"/>
      <c r="F183" s="8">
        <f>SUM(F184:F188)</f>
        <v>0</v>
      </c>
      <c r="G183" s="8">
        <f>SUM(G184:G188)</f>
        <v>0</v>
      </c>
      <c r="H183" s="8">
        <f>SUM(H184:H188)</f>
        <v>0</v>
      </c>
      <c r="I183" s="8"/>
      <c r="J183" s="8"/>
      <c r="K183" s="8"/>
      <c r="L183" s="8"/>
      <c r="M183" s="8">
        <f>SUM(M184:M188)</f>
        <v>0</v>
      </c>
      <c r="N183" s="8">
        <f>'6-A. Proc. Sub-Annex'!Q113</f>
        <v>0</v>
      </c>
      <c r="O183" s="8">
        <f>'6-A. Proc. Sub-Annex'!R113</f>
        <v>0</v>
      </c>
      <c r="P183" s="8">
        <f>SUM(P184:P188)</f>
        <v>0</v>
      </c>
    </row>
    <row r="184" spans="1:16" ht="25.5" x14ac:dyDescent="0.2">
      <c r="A184" s="4" t="str">
        <f>'6-A. Proc. Sub-Annex'!B114</f>
        <v>6.1.1.23.1</v>
      </c>
      <c r="B184" s="4" t="str">
        <f>'6-A. Proc. Sub-Annex'!C114</f>
        <v>O1.1.2.1</v>
      </c>
      <c r="C184" s="4" t="str">
        <f>'6-A. Proc. Sub-Annex'!D114</f>
        <v>Non-recurring: Equipping Cardiac Care Unit (CCU)/ICU</v>
      </c>
      <c r="D184" s="8">
        <f>'6-A. Proc. Sub-Annex'!G114</f>
        <v>0</v>
      </c>
      <c r="E184" s="8">
        <f>'6-A. Proc. Sub-Annex'!H114</f>
        <v>0</v>
      </c>
      <c r="F184" s="8">
        <f>'6-A. Proc. Sub-Annex'!I114</f>
        <v>0</v>
      </c>
      <c r="G184" s="8">
        <f>'6-A. Proc. Sub-Annex'!J114</f>
        <v>0</v>
      </c>
      <c r="H184" s="8">
        <f>'6-A. Proc. Sub-Annex'!K114</f>
        <v>0</v>
      </c>
      <c r="I184" s="8">
        <f>'6-A. Proc. Sub-Annex'!L114</f>
        <v>0</v>
      </c>
      <c r="J184" s="8">
        <f>'6-A. Proc. Sub-Annex'!M114</f>
        <v>0</v>
      </c>
      <c r="K184" s="8">
        <f>'6-A. Proc. Sub-Annex'!N114</f>
        <v>0</v>
      </c>
      <c r="L184" s="8">
        <f>'6-A. Proc. Sub-Annex'!O114</f>
        <v>0</v>
      </c>
      <c r="M184" s="8">
        <f>'6-A. Proc. Sub-Annex'!P114</f>
        <v>0</v>
      </c>
      <c r="N184" s="8">
        <f>'6-A. Proc. Sub-Annex'!Q114</f>
        <v>0</v>
      </c>
      <c r="O184" s="8">
        <f>'6-A. Proc. Sub-Annex'!R114</f>
        <v>0</v>
      </c>
      <c r="P184" s="8">
        <f>'6-A. Proc. Sub-Annex'!S114</f>
        <v>0</v>
      </c>
    </row>
    <row r="185" spans="1:16" ht="25.5" x14ac:dyDescent="0.2">
      <c r="A185" s="4" t="str">
        <f>'6-A. Proc. Sub-Annex'!B115</f>
        <v>6.1.1.23.2</v>
      </c>
      <c r="B185" s="4" t="str">
        <f>'6-A. Proc. Sub-Annex'!C115</f>
        <v>O1.1.2.2</v>
      </c>
      <c r="C185" s="4" t="str">
        <f>'6-A. Proc. Sub-Annex'!D115</f>
        <v>Non recurring: Equipment for Cancer  Care</v>
      </c>
      <c r="D185" s="8">
        <f>'6-A. Proc. Sub-Annex'!G115</f>
        <v>0</v>
      </c>
      <c r="E185" s="8">
        <f>'6-A. Proc. Sub-Annex'!H115</f>
        <v>0</v>
      </c>
      <c r="F185" s="8">
        <f>'6-A. Proc. Sub-Annex'!I115</f>
        <v>0</v>
      </c>
      <c r="G185" s="8">
        <f>'6-A. Proc. Sub-Annex'!J115</f>
        <v>0</v>
      </c>
      <c r="H185" s="8">
        <f>'6-A. Proc. Sub-Annex'!K115</f>
        <v>0</v>
      </c>
      <c r="I185" s="8">
        <f>'6-A. Proc. Sub-Annex'!L115</f>
        <v>0</v>
      </c>
      <c r="J185" s="8">
        <f>'6-A. Proc. Sub-Annex'!M115</f>
        <v>0</v>
      </c>
      <c r="K185" s="8">
        <f>'6-A. Proc. Sub-Annex'!N115</f>
        <v>0</v>
      </c>
      <c r="L185" s="8">
        <f>'6-A. Proc. Sub-Annex'!O115</f>
        <v>0</v>
      </c>
      <c r="M185" s="8">
        <f>'6-A. Proc. Sub-Annex'!P115</f>
        <v>0</v>
      </c>
      <c r="N185" s="8">
        <f>'6-A. Proc. Sub-Annex'!Q115</f>
        <v>0</v>
      </c>
      <c r="O185" s="8">
        <f>'6-A. Proc. Sub-Annex'!R115</f>
        <v>0</v>
      </c>
      <c r="P185" s="8">
        <f>'6-A. Proc. Sub-Annex'!S115</f>
        <v>0</v>
      </c>
    </row>
    <row r="186" spans="1:16" ht="25.5" x14ac:dyDescent="0.2">
      <c r="A186" s="4" t="str">
        <f>'6-A. Proc. Sub-Annex'!B116</f>
        <v>6.1.1.23.3</v>
      </c>
      <c r="B186" s="4" t="str">
        <f>'6-A. Proc. Sub-Annex'!C116</f>
        <v>O1.1.3.2</v>
      </c>
      <c r="C186" s="4" t="str">
        <f>'6-A. Proc. Sub-Annex'!D116</f>
        <v>Non-recurring: Equipment at District NCD clinic</v>
      </c>
      <c r="D186" s="8">
        <f>'6-A. Proc. Sub-Annex'!G116</f>
        <v>0</v>
      </c>
      <c r="E186" s="8">
        <f>'6-A. Proc. Sub-Annex'!H116</f>
        <v>0</v>
      </c>
      <c r="F186" s="8">
        <f>'6-A. Proc. Sub-Annex'!I116</f>
        <v>0</v>
      </c>
      <c r="G186" s="8">
        <f>'6-A. Proc. Sub-Annex'!J116</f>
        <v>0</v>
      </c>
      <c r="H186" s="8">
        <f>'6-A. Proc. Sub-Annex'!K116</f>
        <v>0</v>
      </c>
      <c r="I186" s="8">
        <f>'6-A. Proc. Sub-Annex'!L116</f>
        <v>0</v>
      </c>
      <c r="J186" s="8">
        <f>'6-A. Proc. Sub-Annex'!M116</f>
        <v>0</v>
      </c>
      <c r="K186" s="8">
        <f>'6-A. Proc. Sub-Annex'!N116</f>
        <v>0</v>
      </c>
      <c r="L186" s="8">
        <f>'6-A. Proc. Sub-Annex'!O116</f>
        <v>0</v>
      </c>
      <c r="M186" s="8">
        <f>'6-A. Proc. Sub-Annex'!P116</f>
        <v>0</v>
      </c>
      <c r="N186" s="8">
        <f>'6-A. Proc. Sub-Annex'!Q116</f>
        <v>0</v>
      </c>
      <c r="O186" s="8">
        <f>'6-A. Proc. Sub-Annex'!R116</f>
        <v>0</v>
      </c>
      <c r="P186" s="8">
        <f>'6-A. Proc. Sub-Annex'!S116</f>
        <v>0</v>
      </c>
    </row>
    <row r="187" spans="1:16" ht="25.5" x14ac:dyDescent="0.2">
      <c r="A187" s="4" t="str">
        <f>'6-A. Proc. Sub-Annex'!B117</f>
        <v>6.1.1.23.4</v>
      </c>
      <c r="B187" s="4" t="str">
        <f>'6-A. Proc. Sub-Annex'!C117</f>
        <v>O1.1.4.1</v>
      </c>
      <c r="C187" s="4" t="str">
        <f>'6-A. Proc. Sub-Annex'!D117</f>
        <v>Non-recurring: Equipment at CHC NCD clinic</v>
      </c>
      <c r="D187" s="8">
        <f>'6-A. Proc. Sub-Annex'!G117</f>
        <v>0</v>
      </c>
      <c r="E187" s="8">
        <f>'6-A. Proc. Sub-Annex'!H117</f>
        <v>0</v>
      </c>
      <c r="F187" s="8">
        <f>'6-A. Proc. Sub-Annex'!I117</f>
        <v>0</v>
      </c>
      <c r="G187" s="8">
        <f>'6-A. Proc. Sub-Annex'!J117</f>
        <v>0</v>
      </c>
      <c r="H187" s="8">
        <f>'6-A. Proc. Sub-Annex'!K117</f>
        <v>0</v>
      </c>
      <c r="I187" s="8">
        <f>'6-A. Proc. Sub-Annex'!L117</f>
        <v>0</v>
      </c>
      <c r="J187" s="8">
        <f>'6-A. Proc. Sub-Annex'!M117</f>
        <v>0</v>
      </c>
      <c r="K187" s="8">
        <f>'6-A. Proc. Sub-Annex'!N117</f>
        <v>0</v>
      </c>
      <c r="L187" s="8">
        <f>'6-A. Proc. Sub-Annex'!O117</f>
        <v>0</v>
      </c>
      <c r="M187" s="8">
        <f>'6-A. Proc. Sub-Annex'!P117</f>
        <v>0</v>
      </c>
      <c r="N187" s="8">
        <f>'6-A. Proc. Sub-Annex'!Q117</f>
        <v>0</v>
      </c>
      <c r="O187" s="8">
        <f>'6-A. Proc. Sub-Annex'!R117</f>
        <v>0</v>
      </c>
      <c r="P187" s="8">
        <f>'6-A. Proc. Sub-Annex'!S117</f>
        <v>0</v>
      </c>
    </row>
    <row r="188" spans="1:16" ht="25.5" x14ac:dyDescent="0.2">
      <c r="A188" s="4" t="str">
        <f>'6-A. Proc. Sub-Annex'!B119</f>
        <v>6.1.1.23.5</v>
      </c>
      <c r="B188" s="4">
        <f>'6-A. Proc. Sub-Annex'!C119</f>
        <v>0</v>
      </c>
      <c r="C188" s="4" t="str">
        <f>'6-A. Proc. Sub-Annex'!D119</f>
        <v>Any other equipment (please specify)</v>
      </c>
      <c r="D188" s="8">
        <f>'6-A. Proc. Sub-Annex'!G119</f>
        <v>0</v>
      </c>
      <c r="E188" s="8">
        <f>'6-A. Proc. Sub-Annex'!H119</f>
        <v>0</v>
      </c>
      <c r="F188" s="8">
        <f>'6-A. Proc. Sub-Annex'!I119</f>
        <v>0</v>
      </c>
      <c r="G188" s="8">
        <f>'6-A. Proc. Sub-Annex'!J119</f>
        <v>0</v>
      </c>
      <c r="H188" s="8">
        <f>'6-A. Proc. Sub-Annex'!K119</f>
        <v>0</v>
      </c>
      <c r="I188" s="8">
        <f>'6-A. Proc. Sub-Annex'!L119</f>
        <v>0</v>
      </c>
      <c r="J188" s="8">
        <f>'6-A. Proc. Sub-Annex'!M119</f>
        <v>0</v>
      </c>
      <c r="K188" s="8">
        <f>'6-A. Proc. Sub-Annex'!N119</f>
        <v>0</v>
      </c>
      <c r="L188" s="8">
        <f>'6-A. Proc. Sub-Annex'!O119</f>
        <v>0</v>
      </c>
      <c r="M188" s="8">
        <f>'6-A. Proc. Sub-Annex'!P119</f>
        <v>0</v>
      </c>
      <c r="N188" s="8">
        <f>'6-A. Proc. Sub-Annex'!Q119</f>
        <v>0</v>
      </c>
      <c r="O188" s="8">
        <f>'6-A. Proc. Sub-Annex'!R119</f>
        <v>0</v>
      </c>
      <c r="P188" s="8">
        <f>'6-A. Proc. Sub-Annex'!S119</f>
        <v>0</v>
      </c>
    </row>
    <row r="189" spans="1:16" ht="25.5" x14ac:dyDescent="0.2">
      <c r="A189" s="4" t="str">
        <f>'6-A. Proc. Sub-Annex'!B120</f>
        <v>6.1.1.24</v>
      </c>
      <c r="B189" s="4" t="str">
        <f>'6-A. Proc. Sub-Annex'!C120</f>
        <v>B.13.4</v>
      </c>
      <c r="C189" s="4" t="str">
        <f>'6-A. Proc. Sub-Annex'!D120</f>
        <v>Procurement of bio-medical and other equipment: National Dialysis Programme</v>
      </c>
      <c r="D189" s="8"/>
      <c r="E189" s="8"/>
      <c r="F189" s="8">
        <f>SUM(F190:F191)</f>
        <v>0</v>
      </c>
      <c r="G189" s="8">
        <f>SUM(G190:G191)</f>
        <v>0</v>
      </c>
      <c r="H189" s="8">
        <f>SUM(H190:H191)</f>
        <v>0</v>
      </c>
      <c r="I189" s="8"/>
      <c r="J189" s="8"/>
      <c r="K189" s="8"/>
      <c r="L189" s="8"/>
      <c r="M189" s="8">
        <f>SUM(M190:M191)</f>
        <v>0</v>
      </c>
      <c r="N189" s="8">
        <f>'6-A. Proc. Sub-Annex'!Q120</f>
        <v>0</v>
      </c>
      <c r="O189" s="8">
        <f>'6-A. Proc. Sub-Annex'!R120</f>
        <v>0</v>
      </c>
      <c r="P189" s="8">
        <f>SUM(P190:P191)</f>
        <v>0</v>
      </c>
    </row>
    <row r="190" spans="1:16" ht="25.5" x14ac:dyDescent="0.2">
      <c r="A190" s="4" t="str">
        <f>'6-A. Proc. Sub-Annex'!B121</f>
        <v>6.1.1.24.1</v>
      </c>
      <c r="B190" s="4">
        <f>'6-A. Proc. Sub-Annex'!C121</f>
        <v>0</v>
      </c>
      <c r="C190" s="4" t="str">
        <f>'6-A. Proc. Sub-Annex'!D121</f>
        <v xml:space="preserve">Medical devices as per National Dialysis Programme </v>
      </c>
      <c r="D190" s="8">
        <f>'6-A. Proc. Sub-Annex'!G121</f>
        <v>0</v>
      </c>
      <c r="E190" s="8">
        <f>'6-A. Proc. Sub-Annex'!H121</f>
        <v>0</v>
      </c>
      <c r="F190" s="8">
        <f>'6-A. Proc. Sub-Annex'!I121</f>
        <v>0</v>
      </c>
      <c r="G190" s="8">
        <f>'6-A. Proc. Sub-Annex'!J121</f>
        <v>0</v>
      </c>
      <c r="H190" s="8">
        <f>'6-A. Proc. Sub-Annex'!K121</f>
        <v>0</v>
      </c>
      <c r="I190" s="8">
        <f>'6-A. Proc. Sub-Annex'!L121</f>
        <v>0</v>
      </c>
      <c r="J190" s="8">
        <f>'6-A. Proc. Sub-Annex'!M121</f>
        <v>0</v>
      </c>
      <c r="K190" s="8">
        <f>'6-A. Proc. Sub-Annex'!N121</f>
        <v>0</v>
      </c>
      <c r="L190" s="8">
        <f>'6-A. Proc. Sub-Annex'!O121</f>
        <v>0</v>
      </c>
      <c r="M190" s="8">
        <f>'6-A. Proc. Sub-Annex'!P121</f>
        <v>0</v>
      </c>
      <c r="N190" s="8">
        <f>'6-A. Proc. Sub-Annex'!Q121</f>
        <v>0</v>
      </c>
      <c r="O190" s="8">
        <f>'6-A. Proc. Sub-Annex'!R121</f>
        <v>0</v>
      </c>
      <c r="P190" s="8">
        <f>'6-A. Proc. Sub-Annex'!S121</f>
        <v>0</v>
      </c>
    </row>
    <row r="191" spans="1:16" ht="25.5" x14ac:dyDescent="0.2">
      <c r="A191" s="4" t="str">
        <f>'6-A. Proc. Sub-Annex'!B122</f>
        <v>6.1.1.24.2</v>
      </c>
      <c r="B191" s="4">
        <f>'6-A. Proc. Sub-Annex'!C122</f>
        <v>0</v>
      </c>
      <c r="C191" s="4" t="str">
        <f>'6-A. Proc. Sub-Annex'!D122</f>
        <v>Any other equipment (please specify)</v>
      </c>
      <c r="D191" s="8">
        <f>'6-A. Proc. Sub-Annex'!G122</f>
        <v>0</v>
      </c>
      <c r="E191" s="8">
        <f>'6-A. Proc. Sub-Annex'!H122</f>
        <v>0</v>
      </c>
      <c r="F191" s="8">
        <f>'6-A. Proc. Sub-Annex'!I122</f>
        <v>0</v>
      </c>
      <c r="G191" s="8">
        <f>'6-A. Proc. Sub-Annex'!J122</f>
        <v>0</v>
      </c>
      <c r="H191" s="8">
        <f>'6-A. Proc. Sub-Annex'!K122</f>
        <v>0</v>
      </c>
      <c r="I191" s="8">
        <f>'6-A. Proc. Sub-Annex'!L122</f>
        <v>0</v>
      </c>
      <c r="J191" s="8">
        <f>'6-A. Proc. Sub-Annex'!M122</f>
        <v>0</v>
      </c>
      <c r="K191" s="8">
        <f>'6-A. Proc. Sub-Annex'!N122</f>
        <v>0</v>
      </c>
      <c r="L191" s="8">
        <f>'6-A. Proc. Sub-Annex'!O122</f>
        <v>0</v>
      </c>
      <c r="M191" s="8">
        <f>'6-A. Proc. Sub-Annex'!P122</f>
        <v>0</v>
      </c>
      <c r="N191" s="8">
        <f>'6-A. Proc. Sub-Annex'!Q122</f>
        <v>0</v>
      </c>
      <c r="O191" s="8">
        <f>'6-A. Proc. Sub-Annex'!R122</f>
        <v>0</v>
      </c>
      <c r="P191" s="8">
        <f>'6-A. Proc. Sub-Annex'!S122</f>
        <v>0</v>
      </c>
    </row>
    <row r="192" spans="1:16" x14ac:dyDescent="0.2">
      <c r="A192" s="4" t="str">
        <f>'6-A. Proc. Sub-Annex'!B55</f>
        <v>6.1.1.25</v>
      </c>
      <c r="B192" s="4">
        <f>'6-A. Proc. Sub-Annex'!C55</f>
        <v>0</v>
      </c>
      <c r="C192" s="4" t="str">
        <f>'6-A. Proc. Sub-Annex'!D55</f>
        <v>Procurement of any other equipment</v>
      </c>
      <c r="D192" s="8"/>
      <c r="E192" s="8"/>
      <c r="F192" s="8">
        <f>SUM(F193:F193)</f>
        <v>0</v>
      </c>
      <c r="G192" s="8">
        <f>SUM(G193:G193)</f>
        <v>0</v>
      </c>
      <c r="H192" s="8">
        <f>SUM(H193:H193)</f>
        <v>0</v>
      </c>
      <c r="I192" s="8"/>
      <c r="J192" s="8"/>
      <c r="K192" s="8"/>
      <c r="L192" s="8"/>
      <c r="M192" s="8">
        <f>SUM(M193:M193)</f>
        <v>128.08000000000001</v>
      </c>
      <c r="N192" s="8">
        <f>'6-A. Proc. Sub-Annex'!Q55</f>
        <v>0</v>
      </c>
      <c r="O192" s="8">
        <f>'6-A. Proc. Sub-Annex'!R55</f>
        <v>0</v>
      </c>
      <c r="P192" s="8">
        <f>SUM(P193:P193)</f>
        <v>0</v>
      </c>
    </row>
    <row r="193" spans="1:16" ht="140.25" x14ac:dyDescent="0.2">
      <c r="A193" s="4" t="str">
        <f>'6-A. Proc. Sub-Annex'!B56</f>
        <v>6.1.1.25.1</v>
      </c>
      <c r="B193" s="4">
        <f>'6-A. Proc. Sub-Annex'!C56</f>
        <v>0</v>
      </c>
      <c r="C193" s="4" t="str">
        <f>'6-A. Proc. Sub-Annex'!D56</f>
        <v>Any other equipment for hospital strengthening as per IPHS (please specify)</v>
      </c>
      <c r="D193" s="8">
        <f>'6-A. Proc. Sub-Annex'!G56</f>
        <v>0</v>
      </c>
      <c r="E193" s="8">
        <f>'6-A. Proc. Sub-Annex'!H56</f>
        <v>0</v>
      </c>
      <c r="F193" s="8">
        <f>'6-A. Proc. Sub-Annex'!I56</f>
        <v>0</v>
      </c>
      <c r="G193" s="8">
        <f>'6-A. Proc. Sub-Annex'!J56</f>
        <v>0</v>
      </c>
      <c r="H193" s="8">
        <f>'6-A. Proc. Sub-Annex'!K56</f>
        <v>0</v>
      </c>
      <c r="I193" s="8" t="str">
        <f>'6-A. Proc. Sub-Annex'!L56</f>
        <v>Cost per centre</v>
      </c>
      <c r="J193" s="8">
        <f>'6-A. Proc. Sub-Annex'!M56</f>
        <v>3202000</v>
      </c>
      <c r="K193" s="8">
        <f>'6-A. Proc. Sub-Annex'!N56</f>
        <v>32.020000000000003</v>
      </c>
      <c r="L193" s="8">
        <f>'6-A. Proc. Sub-Annex'!O56</f>
        <v>4</v>
      </c>
      <c r="M193" s="8">
        <f>'6-A. Proc. Sub-Annex'!P56</f>
        <v>128.08000000000001</v>
      </c>
      <c r="N193" s="8" t="str">
        <f>'6-A. Proc. Sub-Annex'!Q56</f>
        <v>New activity.
Proposed for ER Equipment in 4 Sub District Hospitals - 
The Govt. Hospital, Sangakiri, Salem , Govt. Hospital, Bhavani, Erode , Govt. Hospital, Mettupalayam, Coimbatore  and Govt. Hospital, Ponneri, Thiruvallur  @ Rs/ 32.02 Lakhs per District</v>
      </c>
      <c r="O193" s="8">
        <f>'6-A. Proc. Sub-Annex'!R56</f>
        <v>0</v>
      </c>
      <c r="P193" s="8">
        <f>'6-A. Proc. Sub-Annex'!S56</f>
        <v>0</v>
      </c>
    </row>
    <row r="194" spans="1:16" ht="25.5" x14ac:dyDescent="0.2">
      <c r="A194" s="4" t="str">
        <f>'6-A. Proc. Sub-Annex'!B17</f>
        <v>6.1.2.1.1</v>
      </c>
      <c r="B194" s="4">
        <f>'6-A. Proc. Sub-Annex'!C17</f>
        <v>0</v>
      </c>
      <c r="C194" s="4" t="str">
        <f>'6-A. Proc. Sub-Annex'!D17</f>
        <v>Furniture for paediatric OPD and ward</v>
      </c>
      <c r="D194" s="8">
        <f>'6-A. Proc. Sub-Annex'!G17</f>
        <v>0</v>
      </c>
      <c r="E194" s="8">
        <f>'6-A. Proc. Sub-Annex'!H17</f>
        <v>0</v>
      </c>
      <c r="F194" s="8">
        <f>'6-A. Proc. Sub-Annex'!I17</f>
        <v>0</v>
      </c>
      <c r="G194" s="8">
        <f>'6-A. Proc. Sub-Annex'!J17</f>
        <v>0</v>
      </c>
      <c r="H194" s="8">
        <f>'6-A. Proc. Sub-Annex'!K17</f>
        <v>0</v>
      </c>
      <c r="I194" s="8">
        <f>'6-A. Proc. Sub-Annex'!L17</f>
        <v>0</v>
      </c>
      <c r="J194" s="8">
        <f>'6-A. Proc. Sub-Annex'!M17</f>
        <v>0</v>
      </c>
      <c r="K194" s="8">
        <f>'6-A. Proc. Sub-Annex'!N17</f>
        <v>0</v>
      </c>
      <c r="L194" s="8">
        <f>'6-A. Proc. Sub-Annex'!O17</f>
        <v>0</v>
      </c>
      <c r="M194" s="8">
        <f>'6-A. Proc. Sub-Annex'!P17</f>
        <v>0</v>
      </c>
      <c r="N194" s="8">
        <f>'6-A. Proc. Sub-Annex'!Q17</f>
        <v>0</v>
      </c>
      <c r="O194" s="8">
        <f>'6-A. Proc. Sub-Annex'!R17</f>
        <v>0</v>
      </c>
      <c r="P194" s="8">
        <f>'6-A. Proc. Sub-Annex'!S17</f>
        <v>0</v>
      </c>
    </row>
    <row r="195" spans="1:16" ht="25.5" x14ac:dyDescent="0.2">
      <c r="A195" s="4" t="str">
        <f>'6-A. Proc. Sub-Annex'!B32</f>
        <v>6.1.2.1.2</v>
      </c>
      <c r="B195" s="4" t="str">
        <f>'6-A. Proc. Sub-Annex'!C32</f>
        <v>B16.1.6.3.3</v>
      </c>
      <c r="C195" s="4" t="str">
        <f>'6-A. Proc. Sub-Annex'!D32</f>
        <v>Laptop for mobile health teams</v>
      </c>
      <c r="D195" s="8">
        <f>'6-A. Proc. Sub-Annex'!G32</f>
        <v>0</v>
      </c>
      <c r="E195" s="8">
        <f>'6-A. Proc. Sub-Annex'!H32</f>
        <v>0</v>
      </c>
      <c r="F195" s="8">
        <f>'6-A. Proc. Sub-Annex'!I32</f>
        <v>0</v>
      </c>
      <c r="G195" s="8">
        <f>'6-A. Proc. Sub-Annex'!J32</f>
        <v>0</v>
      </c>
      <c r="H195" s="8">
        <f>'6-A. Proc. Sub-Annex'!K32</f>
        <v>0</v>
      </c>
      <c r="I195" s="8">
        <f>'6-A. Proc. Sub-Annex'!L32</f>
        <v>0</v>
      </c>
      <c r="J195" s="8">
        <f>'6-A. Proc. Sub-Annex'!M32</f>
        <v>0</v>
      </c>
      <c r="K195" s="8">
        <f>'6-A. Proc. Sub-Annex'!N32</f>
        <v>0</v>
      </c>
      <c r="L195" s="8">
        <f>'6-A. Proc. Sub-Annex'!O32</f>
        <v>0</v>
      </c>
      <c r="M195" s="8">
        <f>'6-A. Proc. Sub-Annex'!P32</f>
        <v>0</v>
      </c>
      <c r="N195" s="8">
        <f>'6-A. Proc. Sub-Annex'!Q32</f>
        <v>0</v>
      </c>
      <c r="O195" s="8">
        <f>'6-A. Proc. Sub-Annex'!R32</f>
        <v>0</v>
      </c>
      <c r="P195" s="8">
        <f>'6-A. Proc. Sub-Annex'!S32</f>
        <v>0</v>
      </c>
    </row>
    <row r="196" spans="1:16" ht="25.5" x14ac:dyDescent="0.2">
      <c r="A196" s="4" t="str">
        <f>'6-A. Proc. Sub-Annex'!B33</f>
        <v>6.1.2.1.3</v>
      </c>
      <c r="B196" s="4" t="str">
        <f>'6-A. Proc. Sub-Annex'!C33</f>
        <v>B16.1.6.3.4</v>
      </c>
      <c r="C196" s="4" t="str">
        <f>'6-A. Proc. Sub-Annex'!D33</f>
        <v>Desktop for DEIC</v>
      </c>
      <c r="D196" s="8">
        <f>'6-A. Proc. Sub-Annex'!G33</f>
        <v>0</v>
      </c>
      <c r="E196" s="8">
        <f>'6-A. Proc. Sub-Annex'!H33</f>
        <v>0</v>
      </c>
      <c r="F196" s="8">
        <f>'6-A. Proc. Sub-Annex'!I33</f>
        <v>0</v>
      </c>
      <c r="G196" s="8">
        <f>'6-A. Proc. Sub-Annex'!J33</f>
        <v>0</v>
      </c>
      <c r="H196" s="8">
        <f>'6-A. Proc. Sub-Annex'!K33</f>
        <v>0</v>
      </c>
      <c r="I196" s="8">
        <f>'6-A. Proc. Sub-Annex'!L33</f>
        <v>0</v>
      </c>
      <c r="J196" s="8">
        <f>'6-A. Proc. Sub-Annex'!M33</f>
        <v>0</v>
      </c>
      <c r="K196" s="8">
        <f>'6-A. Proc. Sub-Annex'!N33</f>
        <v>0</v>
      </c>
      <c r="L196" s="8">
        <f>'6-A. Proc. Sub-Annex'!O33</f>
        <v>0</v>
      </c>
      <c r="M196" s="8">
        <f>'6-A. Proc. Sub-Annex'!P33</f>
        <v>0</v>
      </c>
      <c r="N196" s="8">
        <f>'6-A. Proc. Sub-Annex'!Q33</f>
        <v>0</v>
      </c>
      <c r="O196" s="8">
        <f>'6-A. Proc. Sub-Annex'!R33</f>
        <v>0</v>
      </c>
      <c r="P196" s="8">
        <f>'6-A. Proc. Sub-Annex'!S33</f>
        <v>0</v>
      </c>
    </row>
    <row r="197" spans="1:16" ht="25.5" x14ac:dyDescent="0.2">
      <c r="A197" s="4" t="str">
        <f>'6-A. Proc. Sub-Annex'!B78</f>
        <v>6.1.2.2.1</v>
      </c>
      <c r="B197" s="4" t="str">
        <f>'6-A. Proc. Sub-Annex'!C78</f>
        <v>F.1.3.f</v>
      </c>
      <c r="C197" s="4" t="str">
        <f>'6-A. Proc. Sub-Annex'!D78</f>
        <v>Fogging Machine</v>
      </c>
      <c r="D197" s="8">
        <f>'6-A. Proc. Sub-Annex'!G78</f>
        <v>0</v>
      </c>
      <c r="E197" s="8">
        <f>'6-A. Proc. Sub-Annex'!H78</f>
        <v>0</v>
      </c>
      <c r="F197" s="8">
        <f>'6-A. Proc. Sub-Annex'!I78</f>
        <v>0</v>
      </c>
      <c r="G197" s="8">
        <f>'6-A. Proc. Sub-Annex'!J78</f>
        <v>0</v>
      </c>
      <c r="H197" s="8">
        <f>'6-A. Proc. Sub-Annex'!K78</f>
        <v>0</v>
      </c>
      <c r="I197" s="8">
        <f>'6-A. Proc. Sub-Annex'!L78</f>
        <v>0</v>
      </c>
      <c r="J197" s="8">
        <f>'6-A. Proc. Sub-Annex'!M78</f>
        <v>0</v>
      </c>
      <c r="K197" s="8">
        <f>'6-A. Proc. Sub-Annex'!N78</f>
        <v>0</v>
      </c>
      <c r="L197" s="8">
        <f>'6-A. Proc. Sub-Annex'!O78</f>
        <v>0</v>
      </c>
      <c r="M197" s="8">
        <f>'6-A. Proc. Sub-Annex'!P78</f>
        <v>0</v>
      </c>
      <c r="N197" s="8">
        <f>'6-A. Proc. Sub-Annex'!Q78</f>
        <v>0</v>
      </c>
      <c r="O197" s="8">
        <f>'6-A. Proc. Sub-Annex'!R78</f>
        <v>0</v>
      </c>
      <c r="P197" s="8">
        <f>'6-A. Proc. Sub-Annex'!S78</f>
        <v>0</v>
      </c>
    </row>
    <row r="198" spans="1:16" ht="25.5" x14ac:dyDescent="0.2">
      <c r="A198" s="4" t="str">
        <f>'6-A. Proc. Sub-Annex'!B79</f>
        <v>6.1.2.2.2</v>
      </c>
      <c r="B198" s="4" t="str">
        <f>'6-A. Proc. Sub-Annex'!C79</f>
        <v>F.1.5.a</v>
      </c>
      <c r="C198" s="4" t="str">
        <f>'6-A. Proc. Sub-Annex'!D79</f>
        <v>Spray Pumps &amp; accessories</v>
      </c>
      <c r="D198" s="8">
        <f>'6-A. Proc. Sub-Annex'!G79</f>
        <v>0</v>
      </c>
      <c r="E198" s="8">
        <f>'6-A. Proc. Sub-Annex'!H79</f>
        <v>0</v>
      </c>
      <c r="F198" s="8">
        <f>'6-A. Proc. Sub-Annex'!I79</f>
        <v>0</v>
      </c>
      <c r="G198" s="8">
        <f>'6-A. Proc. Sub-Annex'!J79</f>
        <v>0</v>
      </c>
      <c r="H198" s="8">
        <f>'6-A. Proc. Sub-Annex'!K79</f>
        <v>0</v>
      </c>
      <c r="I198" s="8">
        <f>'6-A. Proc. Sub-Annex'!L79</f>
        <v>0</v>
      </c>
      <c r="J198" s="8">
        <f>'6-A. Proc. Sub-Annex'!M79</f>
        <v>0</v>
      </c>
      <c r="K198" s="8">
        <f>'6-A. Proc. Sub-Annex'!N79</f>
        <v>0</v>
      </c>
      <c r="L198" s="8">
        <f>'6-A. Proc. Sub-Annex'!O79</f>
        <v>0</v>
      </c>
      <c r="M198" s="8">
        <f>'6-A. Proc. Sub-Annex'!P79</f>
        <v>0</v>
      </c>
      <c r="N198" s="8">
        <f>'6-A. Proc. Sub-Annex'!Q79</f>
        <v>0</v>
      </c>
      <c r="O198" s="8">
        <f>'6-A. Proc. Sub-Annex'!R79</f>
        <v>0</v>
      </c>
      <c r="P198" s="8">
        <f>'6-A. Proc. Sub-Annex'!S79</f>
        <v>0</v>
      </c>
    </row>
    <row r="199" spans="1:16" ht="25.5" x14ac:dyDescent="0.2">
      <c r="A199" s="4" t="str">
        <f>'6-A. Proc. Sub-Annex'!B80</f>
        <v>6.1.2.2.3</v>
      </c>
      <c r="B199" s="4" t="str">
        <f>'6-A. Proc. Sub-Annex'!C80</f>
        <v>F.2.1.f</v>
      </c>
      <c r="C199" s="4" t="str">
        <f>'6-A. Proc. Sub-Annex'!D80</f>
        <v>Non-Health Equipment (NHP) - GFATM</v>
      </c>
      <c r="D199" s="8">
        <f>'6-A. Proc. Sub-Annex'!G80</f>
        <v>0</v>
      </c>
      <c r="E199" s="8">
        <f>'6-A. Proc. Sub-Annex'!H80</f>
        <v>0</v>
      </c>
      <c r="F199" s="8">
        <f>'6-A. Proc. Sub-Annex'!I80</f>
        <v>0</v>
      </c>
      <c r="G199" s="8">
        <f>'6-A. Proc. Sub-Annex'!J80</f>
        <v>0</v>
      </c>
      <c r="H199" s="8">
        <f>'6-A. Proc. Sub-Annex'!K80</f>
        <v>0</v>
      </c>
      <c r="I199" s="8">
        <f>'6-A. Proc. Sub-Annex'!L80</f>
        <v>0</v>
      </c>
      <c r="J199" s="8">
        <f>'6-A. Proc. Sub-Annex'!M80</f>
        <v>0</v>
      </c>
      <c r="K199" s="8">
        <f>'6-A. Proc. Sub-Annex'!N80</f>
        <v>0</v>
      </c>
      <c r="L199" s="8">
        <f>'6-A. Proc. Sub-Annex'!O80</f>
        <v>0</v>
      </c>
      <c r="M199" s="8">
        <f>'6-A. Proc. Sub-Annex'!P80</f>
        <v>0</v>
      </c>
      <c r="N199" s="8">
        <f>'6-A. Proc. Sub-Annex'!Q80</f>
        <v>0</v>
      </c>
      <c r="O199" s="8">
        <f>'6-A. Proc. Sub-Annex'!R80</f>
        <v>0</v>
      </c>
      <c r="P199" s="8">
        <f>'6-A. Proc. Sub-Annex'!S80</f>
        <v>0</v>
      </c>
    </row>
    <row r="200" spans="1:16" ht="25.5" x14ac:dyDescent="0.2">
      <c r="A200" s="4" t="str">
        <f>'6-A. Proc. Sub-Annex'!B81</f>
        <v>6.1.2.2.4</v>
      </c>
      <c r="B200" s="4">
        <f>'6-A. Proc. Sub-Annex'!C81</f>
        <v>0</v>
      </c>
      <c r="C200" s="4" t="str">
        <f>'6-A. Proc. Sub-Annex'!D81</f>
        <v>Logistic for Entomological Lab Strengthening and others under MVCR</v>
      </c>
      <c r="D200" s="8">
        <f>'6-A. Proc. Sub-Annex'!G81</f>
        <v>0</v>
      </c>
      <c r="E200" s="8">
        <f>'6-A. Proc. Sub-Annex'!H81</f>
        <v>0</v>
      </c>
      <c r="F200" s="8">
        <f>'6-A. Proc. Sub-Annex'!I81</f>
        <v>0</v>
      </c>
      <c r="G200" s="8">
        <f>'6-A. Proc. Sub-Annex'!J81</f>
        <v>0</v>
      </c>
      <c r="H200" s="8">
        <f>'6-A. Proc. Sub-Annex'!K81</f>
        <v>0</v>
      </c>
      <c r="I200" s="8">
        <f>'6-A. Proc. Sub-Annex'!L81</f>
        <v>0</v>
      </c>
      <c r="J200" s="8">
        <f>'6-A. Proc. Sub-Annex'!M81</f>
        <v>0</v>
      </c>
      <c r="K200" s="8">
        <f>'6-A. Proc. Sub-Annex'!N81</f>
        <v>0</v>
      </c>
      <c r="L200" s="8">
        <f>'6-A. Proc. Sub-Annex'!O81</f>
        <v>0</v>
      </c>
      <c r="M200" s="8">
        <f>'6-A. Proc. Sub-Annex'!P81</f>
        <v>0</v>
      </c>
      <c r="N200" s="8">
        <f>'6-A. Proc. Sub-Annex'!Q81</f>
        <v>0</v>
      </c>
      <c r="O200" s="8">
        <f>'6-A. Proc. Sub-Annex'!R81</f>
        <v>0</v>
      </c>
      <c r="P200" s="8">
        <f>'6-A. Proc. Sub-Annex'!S81</f>
        <v>0</v>
      </c>
    </row>
    <row r="201" spans="1:16" ht="51" x14ac:dyDescent="0.2">
      <c r="A201" s="4" t="str">
        <f>'6-A. Proc. Sub-Annex'!B82</f>
        <v>6.1.1.16.2/ 6.1.2.2.5</v>
      </c>
      <c r="B201" s="4">
        <f>'6-A. Proc. Sub-Annex'!C82</f>
        <v>0</v>
      </c>
      <c r="C201" s="4" t="str">
        <f>'6-A. Proc. Sub-Annex'!D82</f>
        <v>Any other equipment (please specify)</v>
      </c>
      <c r="D201" s="8">
        <f>'6-A. Proc. Sub-Annex'!G82</f>
        <v>0</v>
      </c>
      <c r="E201" s="8">
        <f>'6-A. Proc. Sub-Annex'!H82</f>
        <v>0</v>
      </c>
      <c r="F201" s="8">
        <f>'6-A. Proc. Sub-Annex'!I82</f>
        <v>0</v>
      </c>
      <c r="G201" s="8">
        <f>'6-A. Proc. Sub-Annex'!J82</f>
        <v>0</v>
      </c>
      <c r="H201" s="8">
        <f>'6-A. Proc. Sub-Annex'!K82</f>
        <v>0</v>
      </c>
      <c r="I201" s="8">
        <f>'6-A. Proc. Sub-Annex'!L82</f>
        <v>0</v>
      </c>
      <c r="J201" s="8">
        <f>'6-A. Proc. Sub-Annex'!M82</f>
        <v>0</v>
      </c>
      <c r="K201" s="8">
        <f>'6-A. Proc. Sub-Annex'!N82</f>
        <v>0</v>
      </c>
      <c r="L201" s="8">
        <f>'6-A. Proc. Sub-Annex'!O82</f>
        <v>0</v>
      </c>
      <c r="M201" s="8">
        <f>'6-A. Proc. Sub-Annex'!P82</f>
        <v>0</v>
      </c>
      <c r="N201" s="8">
        <f>'6-A. Proc. Sub-Annex'!Q82</f>
        <v>0</v>
      </c>
      <c r="O201" s="8">
        <f>'6-A. Proc. Sub-Annex'!R82</f>
        <v>0</v>
      </c>
      <c r="P201" s="8">
        <f>'6-A. Proc. Sub-Annex'!S82</f>
        <v>0</v>
      </c>
    </row>
    <row r="202" spans="1:16" ht="25.5" x14ac:dyDescent="0.2">
      <c r="A202" s="4" t="str">
        <f>'6-A. Proc. Sub-Annex'!B85</f>
        <v>6.1.2.3.1</v>
      </c>
      <c r="B202" s="4" t="str">
        <f>'6-A. Proc. Sub-Annex'!C85</f>
        <v>G.2.1</v>
      </c>
      <c r="C202" s="4" t="str">
        <f>'6-A. Proc. Sub-Annex'!D85</f>
        <v>MCR</v>
      </c>
      <c r="D202" s="8">
        <f>'6-A. Proc. Sub-Annex'!G85</f>
        <v>0</v>
      </c>
      <c r="E202" s="8">
        <f>'6-A. Proc. Sub-Annex'!H85</f>
        <v>0</v>
      </c>
      <c r="F202" s="8">
        <f>'6-A. Proc. Sub-Annex'!I85</f>
        <v>0</v>
      </c>
      <c r="G202" s="8">
        <f>'6-A. Proc. Sub-Annex'!J85</f>
        <v>0</v>
      </c>
      <c r="H202" s="8">
        <f>'6-A. Proc. Sub-Annex'!K85</f>
        <v>0</v>
      </c>
      <c r="I202" s="8">
        <f>'6-A. Proc. Sub-Annex'!L85</f>
        <v>0</v>
      </c>
      <c r="J202" s="8">
        <f>'6-A. Proc. Sub-Annex'!M85</f>
        <v>0</v>
      </c>
      <c r="K202" s="8">
        <f>'6-A. Proc. Sub-Annex'!N85</f>
        <v>0</v>
      </c>
      <c r="L202" s="8">
        <f>'6-A. Proc. Sub-Annex'!O85</f>
        <v>0</v>
      </c>
      <c r="M202" s="8">
        <f>'6-A. Proc. Sub-Annex'!P85</f>
        <v>0</v>
      </c>
      <c r="N202" s="8">
        <f>'6-A. Proc. Sub-Annex'!Q85</f>
        <v>0</v>
      </c>
      <c r="O202" s="8">
        <f>'6-A. Proc. Sub-Annex'!R85</f>
        <v>0</v>
      </c>
      <c r="P202" s="8">
        <f>'6-A. Proc. Sub-Annex'!S85</f>
        <v>0</v>
      </c>
    </row>
    <row r="203" spans="1:16" ht="25.5" x14ac:dyDescent="0.2">
      <c r="A203" s="4" t="str">
        <f>'6-A. Proc. Sub-Annex'!B86</f>
        <v>6.1.2.3.2</v>
      </c>
      <c r="B203" s="4" t="str">
        <f>'6-A. Proc. Sub-Annex'!C86</f>
        <v>G.2.2</v>
      </c>
      <c r="C203" s="4" t="str">
        <f>'6-A. Proc. Sub-Annex'!D86</f>
        <v>Aids/Appliance</v>
      </c>
      <c r="D203" s="8">
        <f>'6-A. Proc. Sub-Annex'!G86</f>
        <v>0</v>
      </c>
      <c r="E203" s="8">
        <f>'6-A. Proc. Sub-Annex'!H86</f>
        <v>0</v>
      </c>
      <c r="F203" s="8">
        <f>'6-A. Proc. Sub-Annex'!I86</f>
        <v>0</v>
      </c>
      <c r="G203" s="8">
        <f>'6-A. Proc. Sub-Annex'!J86</f>
        <v>0</v>
      </c>
      <c r="H203" s="8">
        <f>'6-A. Proc. Sub-Annex'!K86</f>
        <v>0</v>
      </c>
      <c r="I203" s="8">
        <f>'6-A. Proc. Sub-Annex'!L86</f>
        <v>0</v>
      </c>
      <c r="J203" s="8">
        <f>'6-A. Proc. Sub-Annex'!M86</f>
        <v>0</v>
      </c>
      <c r="K203" s="8">
        <f>'6-A. Proc. Sub-Annex'!N86</f>
        <v>0</v>
      </c>
      <c r="L203" s="8">
        <f>'6-A. Proc. Sub-Annex'!O86</f>
        <v>0</v>
      </c>
      <c r="M203" s="8">
        <f>'6-A. Proc. Sub-Annex'!P86</f>
        <v>0</v>
      </c>
      <c r="N203" s="8">
        <f>'6-A. Proc. Sub-Annex'!Q86</f>
        <v>0</v>
      </c>
      <c r="O203" s="8">
        <f>'6-A. Proc. Sub-Annex'!R86</f>
        <v>0</v>
      </c>
      <c r="P203" s="8">
        <f>'6-A. Proc. Sub-Annex'!S86</f>
        <v>0</v>
      </c>
    </row>
    <row r="204" spans="1:16" ht="25.5" x14ac:dyDescent="0.2">
      <c r="A204" s="4" t="str">
        <f>'6-A. Proc. Sub-Annex'!B87</f>
        <v>6.1.2.3.3</v>
      </c>
      <c r="B204" s="4">
        <f>'6-A. Proc. Sub-Annex'!C87</f>
        <v>0</v>
      </c>
      <c r="C204" s="4" t="str">
        <f>'6-A. Proc. Sub-Annex'!D87</f>
        <v>Any other equipment (please specify)</v>
      </c>
      <c r="D204" s="8">
        <f>'6-A. Proc. Sub-Annex'!G87</f>
        <v>0</v>
      </c>
      <c r="E204" s="8">
        <f>'6-A. Proc. Sub-Annex'!H87</f>
        <v>0</v>
      </c>
      <c r="F204" s="8">
        <f>'6-A. Proc. Sub-Annex'!I87</f>
        <v>0</v>
      </c>
      <c r="G204" s="8">
        <f>'6-A. Proc. Sub-Annex'!J87</f>
        <v>0</v>
      </c>
      <c r="H204" s="8">
        <f>'6-A. Proc. Sub-Annex'!K87</f>
        <v>0</v>
      </c>
      <c r="I204" s="8">
        <f>'6-A. Proc. Sub-Annex'!L87</f>
        <v>0</v>
      </c>
      <c r="J204" s="8">
        <f>'6-A. Proc. Sub-Annex'!M87</f>
        <v>0</v>
      </c>
      <c r="K204" s="8">
        <f>'6-A. Proc. Sub-Annex'!N87</f>
        <v>0</v>
      </c>
      <c r="L204" s="8">
        <f>'6-A. Proc. Sub-Annex'!O87</f>
        <v>0</v>
      </c>
      <c r="M204" s="8">
        <f>'6-A. Proc. Sub-Annex'!P87</f>
        <v>0</v>
      </c>
      <c r="N204" s="8">
        <f>'6-A. Proc. Sub-Annex'!Q87</f>
        <v>0</v>
      </c>
      <c r="O204" s="8">
        <f>'6-A. Proc. Sub-Annex'!R87</f>
        <v>0</v>
      </c>
      <c r="P204" s="8">
        <f>'6-A. Proc. Sub-Annex'!S87</f>
        <v>0</v>
      </c>
    </row>
    <row r="205" spans="1:16" ht="38.25" x14ac:dyDescent="0.2">
      <c r="A205" s="4" t="str">
        <f>'6-A. Proc. Sub-Annex'!B107</f>
        <v>6.1.2.4.1</v>
      </c>
      <c r="B205" s="4" t="str">
        <f>'6-A. Proc. Sub-Annex'!C107</f>
        <v>K.2.1.1</v>
      </c>
      <c r="C205" s="4" t="str">
        <f>'6-A. Proc. Sub-Annex'!D107</f>
        <v>Non-recurring GIA: Furniture of Geriatrics Unit with 10 beds and OPD facilities at DH</v>
      </c>
      <c r="D205" s="8">
        <f>'6-A. Proc. Sub-Annex'!G107</f>
        <v>0</v>
      </c>
      <c r="E205" s="8">
        <f>'6-A. Proc. Sub-Annex'!H107</f>
        <v>0</v>
      </c>
      <c r="F205" s="8">
        <f>'6-A. Proc. Sub-Annex'!I107</f>
        <v>0</v>
      </c>
      <c r="G205" s="8">
        <f>'6-A. Proc. Sub-Annex'!J107</f>
        <v>0</v>
      </c>
      <c r="H205" s="8">
        <f>'6-A. Proc. Sub-Annex'!K107</f>
        <v>0</v>
      </c>
      <c r="I205" s="8">
        <f>'6-A. Proc. Sub-Annex'!L107</f>
        <v>0</v>
      </c>
      <c r="J205" s="8">
        <f>'6-A. Proc. Sub-Annex'!M107</f>
        <v>0</v>
      </c>
      <c r="K205" s="8">
        <f>'6-A. Proc. Sub-Annex'!N107</f>
        <v>0</v>
      </c>
      <c r="L205" s="8">
        <f>'6-A. Proc. Sub-Annex'!O107</f>
        <v>0</v>
      </c>
      <c r="M205" s="8">
        <f>'6-A. Proc. Sub-Annex'!P107</f>
        <v>0</v>
      </c>
      <c r="N205" s="8">
        <f>'6-A. Proc. Sub-Annex'!Q107</f>
        <v>0</v>
      </c>
      <c r="O205" s="8">
        <f>'6-A. Proc. Sub-Annex'!R107</f>
        <v>0</v>
      </c>
      <c r="P205" s="8">
        <f>'6-A. Proc. Sub-Annex'!S107</f>
        <v>0</v>
      </c>
    </row>
    <row r="206" spans="1:16" ht="25.5" x14ac:dyDescent="0.2">
      <c r="A206" s="4" t="str">
        <f>'6-A. Proc. Sub-Annex'!B108</f>
        <v>6.1.2.4.2</v>
      </c>
      <c r="B206" s="4">
        <f>'6-A. Proc. Sub-Annex'!C108</f>
        <v>0</v>
      </c>
      <c r="C206" s="4" t="str">
        <f>'6-A. Proc. Sub-Annex'!D108</f>
        <v>Any other equipment (please specify)</v>
      </c>
      <c r="D206" s="8">
        <f>'6-A. Proc. Sub-Annex'!G108</f>
        <v>0</v>
      </c>
      <c r="E206" s="8">
        <f>'6-A. Proc. Sub-Annex'!H108</f>
        <v>0</v>
      </c>
      <c r="F206" s="8">
        <f>'6-A. Proc. Sub-Annex'!I108</f>
        <v>0</v>
      </c>
      <c r="G206" s="8">
        <f>'6-A. Proc. Sub-Annex'!J108</f>
        <v>0</v>
      </c>
      <c r="H206" s="8">
        <f>'6-A. Proc. Sub-Annex'!K108</f>
        <v>0</v>
      </c>
      <c r="I206" s="8">
        <f>'6-A. Proc. Sub-Annex'!L108</f>
        <v>0</v>
      </c>
      <c r="J206" s="8">
        <f>'6-A. Proc. Sub-Annex'!M108</f>
        <v>0</v>
      </c>
      <c r="K206" s="8">
        <f>'6-A. Proc. Sub-Annex'!N108</f>
        <v>0</v>
      </c>
      <c r="L206" s="8">
        <f>'6-A. Proc. Sub-Annex'!O108</f>
        <v>0</v>
      </c>
      <c r="M206" s="8">
        <f>'6-A. Proc. Sub-Annex'!P108</f>
        <v>0</v>
      </c>
      <c r="N206" s="8">
        <f>'6-A. Proc. Sub-Annex'!Q108</f>
        <v>0</v>
      </c>
      <c r="O206" s="8">
        <f>'6-A. Proc. Sub-Annex'!R108</f>
        <v>0</v>
      </c>
      <c r="P206" s="8">
        <f>'6-A. Proc. Sub-Annex'!S108</f>
        <v>0</v>
      </c>
    </row>
    <row r="207" spans="1:16" x14ac:dyDescent="0.2">
      <c r="A207" s="4" t="str">
        <f>'6-A. Proc. Sub-Annex'!B59</f>
        <v>6.1.2.5</v>
      </c>
      <c r="B207" s="4">
        <f>'6-A. Proc. Sub-Annex'!C59</f>
        <v>0</v>
      </c>
      <c r="C207" s="4" t="str">
        <f>'6-A. Proc. Sub-Annex'!D59</f>
        <v>IT Equipment for HWC</v>
      </c>
      <c r="D207" s="8"/>
      <c r="E207" s="8"/>
      <c r="F207" s="8">
        <f>SUM(F208:F209)</f>
        <v>0</v>
      </c>
      <c r="G207" s="8">
        <f>SUM(G208:G209)</f>
        <v>0</v>
      </c>
      <c r="H207" s="8">
        <f>SUM(H208:H209)</f>
        <v>0</v>
      </c>
      <c r="I207" s="8"/>
      <c r="J207" s="8"/>
      <c r="K207" s="8"/>
      <c r="L207" s="8"/>
      <c r="M207" s="8">
        <f>SUM(M208:M209)</f>
        <v>0</v>
      </c>
      <c r="N207" s="8">
        <f>'6-A. Proc. Sub-Annex'!Q59</f>
        <v>0</v>
      </c>
      <c r="O207" s="8">
        <f>'6-A. Proc. Sub-Annex'!R59</f>
        <v>0</v>
      </c>
      <c r="P207" s="8">
        <f>SUM(P208:P209)</f>
        <v>0</v>
      </c>
    </row>
    <row r="208" spans="1:16" ht="25.5" x14ac:dyDescent="0.2">
      <c r="A208" s="4" t="str">
        <f>'6-A. Proc. Sub-Annex'!B60</f>
        <v>6.1.2.5.1</v>
      </c>
      <c r="B208" s="4">
        <f>'6-A. Proc. Sub-Annex'!C60</f>
        <v>0</v>
      </c>
      <c r="C208" s="4" t="str">
        <f>'6-A. Proc. Sub-Annex'!D60</f>
        <v xml:space="preserve">IT equipment for HWCs (PHC and SHCS) </v>
      </c>
      <c r="D208" s="8">
        <f>'6-A. Proc. Sub-Annex'!G60</f>
        <v>0</v>
      </c>
      <c r="E208" s="8">
        <f>'6-A. Proc. Sub-Annex'!H60</f>
        <v>0</v>
      </c>
      <c r="F208" s="8">
        <f>'6-A. Proc. Sub-Annex'!I60</f>
        <v>0</v>
      </c>
      <c r="G208" s="8">
        <f>'6-A. Proc. Sub-Annex'!J60</f>
        <v>0</v>
      </c>
      <c r="H208" s="8">
        <f>'6-A. Proc. Sub-Annex'!K60</f>
        <v>0</v>
      </c>
      <c r="I208" s="8">
        <f>'6-A. Proc. Sub-Annex'!L60</f>
        <v>0</v>
      </c>
      <c r="J208" s="8">
        <f>'6-A. Proc. Sub-Annex'!M60</f>
        <v>0</v>
      </c>
      <c r="K208" s="8">
        <f>'6-A. Proc. Sub-Annex'!N60</f>
        <v>0</v>
      </c>
      <c r="L208" s="8">
        <f>'6-A. Proc. Sub-Annex'!O60</f>
        <v>0</v>
      </c>
      <c r="M208" s="8">
        <f>'6-A. Proc. Sub-Annex'!P60</f>
        <v>0</v>
      </c>
      <c r="N208" s="8">
        <f>'6-A. Proc. Sub-Annex'!Q60</f>
        <v>0</v>
      </c>
      <c r="O208" s="8">
        <f>'6-A. Proc. Sub-Annex'!R60</f>
        <v>0</v>
      </c>
      <c r="P208" s="8">
        <f>'6-A. Proc. Sub-Annex'!S60</f>
        <v>0</v>
      </c>
    </row>
    <row r="209" spans="1:16" ht="25.5" x14ac:dyDescent="0.2">
      <c r="A209" s="4" t="str">
        <f>'6-A. Proc. Sub-Annex'!B62</f>
        <v>6.1.2.5.2</v>
      </c>
      <c r="B209" s="4">
        <f>'6-A. Proc. Sub-Annex'!C62</f>
        <v>0</v>
      </c>
      <c r="C209" s="4" t="str">
        <f>'6-A. Proc. Sub-Annex'!D62</f>
        <v>Tablets; software for implementation of ANMOL</v>
      </c>
      <c r="D209" s="8">
        <f>'6-A. Proc. Sub-Annex'!G62</f>
        <v>0</v>
      </c>
      <c r="E209" s="8">
        <f>'6-A. Proc. Sub-Annex'!H62</f>
        <v>0</v>
      </c>
      <c r="F209" s="8">
        <f>'6-A. Proc. Sub-Annex'!I62</f>
        <v>0</v>
      </c>
      <c r="G209" s="8">
        <f>'6-A. Proc. Sub-Annex'!J62</f>
        <v>0</v>
      </c>
      <c r="H209" s="8">
        <f>'6-A. Proc. Sub-Annex'!K62</f>
        <v>0</v>
      </c>
      <c r="I209" s="8">
        <f>'6-A. Proc. Sub-Annex'!L62</f>
        <v>0</v>
      </c>
      <c r="J209" s="8">
        <f>'6-A. Proc. Sub-Annex'!M62</f>
        <v>0</v>
      </c>
      <c r="K209" s="8">
        <f>'6-A. Proc. Sub-Annex'!N62</f>
        <v>0</v>
      </c>
      <c r="L209" s="8">
        <f>'6-A. Proc. Sub-Annex'!O62</f>
        <v>0</v>
      </c>
      <c r="M209" s="8">
        <f>'6-A. Proc. Sub-Annex'!P62</f>
        <v>0</v>
      </c>
      <c r="N209" s="8">
        <f>'6-A. Proc. Sub-Annex'!Q62</f>
        <v>0</v>
      </c>
      <c r="O209" s="8">
        <f>'6-A. Proc. Sub-Annex'!R62</f>
        <v>0</v>
      </c>
      <c r="P209" s="8">
        <f>'6-A. Proc. Sub-Annex'!S62</f>
        <v>0</v>
      </c>
    </row>
    <row r="210" spans="1:16" ht="25.5" x14ac:dyDescent="0.2">
      <c r="A210" s="4" t="str">
        <f>'6-A. Proc. Sub-Annex'!B118</f>
        <v>6.1.2.6.1</v>
      </c>
      <c r="B210" s="4" t="str">
        <f>'6-A. Proc. Sub-Annex'!C118</f>
        <v>B.18.2</v>
      </c>
      <c r="C210" s="4" t="str">
        <f>'6-A. Proc. Sub-Annex'!D118</f>
        <v>Procurement for Universal Screening of NCDs</v>
      </c>
      <c r="D210" s="8">
        <f>'6-A. Proc. Sub-Annex'!G118</f>
        <v>0</v>
      </c>
      <c r="E210" s="8">
        <f>'6-A. Proc. Sub-Annex'!H118</f>
        <v>0</v>
      </c>
      <c r="F210" s="8">
        <f>'6-A. Proc. Sub-Annex'!I118</f>
        <v>0</v>
      </c>
      <c r="G210" s="8">
        <f>'6-A. Proc. Sub-Annex'!J118</f>
        <v>0</v>
      </c>
      <c r="H210" s="8">
        <f>'6-A. Proc. Sub-Annex'!K118</f>
        <v>0</v>
      </c>
      <c r="I210" s="8">
        <f>'6-A. Proc. Sub-Annex'!L118</f>
        <v>0</v>
      </c>
      <c r="J210" s="8">
        <f>'6-A. Proc. Sub-Annex'!M118</f>
        <v>0</v>
      </c>
      <c r="K210" s="8">
        <f>'6-A. Proc. Sub-Annex'!N118</f>
        <v>0</v>
      </c>
      <c r="L210" s="8">
        <f>'6-A. Proc. Sub-Annex'!O118</f>
        <v>0</v>
      </c>
      <c r="M210" s="8">
        <f>'6-A. Proc. Sub-Annex'!P118</f>
        <v>0</v>
      </c>
      <c r="N210" s="8">
        <f>'6-A. Proc. Sub-Annex'!Q118</f>
        <v>0</v>
      </c>
      <c r="O210" s="8">
        <f>'6-A. Proc. Sub-Annex'!R118</f>
        <v>0</v>
      </c>
      <c r="P210" s="8">
        <f>'6-A. Proc. Sub-Annex'!S118</f>
        <v>0</v>
      </c>
    </row>
    <row r="211" spans="1:16" ht="25.5" x14ac:dyDescent="0.2">
      <c r="A211" s="4" t="str">
        <f>'6-A. Proc. Sub-Annex'!B63</f>
        <v>6.1.2.6.2</v>
      </c>
      <c r="B211" s="4">
        <f>'6-A. Proc. Sub-Annex'!C63</f>
        <v>0</v>
      </c>
      <c r="C211" s="4" t="str">
        <f>'6-A. Proc. Sub-Annex'!D63</f>
        <v>Any other (please specify)</v>
      </c>
      <c r="D211" s="8">
        <f>'6-A. Proc. Sub-Annex'!G63</f>
        <v>0</v>
      </c>
      <c r="E211" s="8">
        <f>'6-A. Proc. Sub-Annex'!H63</f>
        <v>0</v>
      </c>
      <c r="F211" s="8">
        <f>'6-A. Proc. Sub-Annex'!I63</f>
        <v>0</v>
      </c>
      <c r="G211" s="8">
        <f>'6-A. Proc. Sub-Annex'!J63</f>
        <v>0</v>
      </c>
      <c r="H211" s="8">
        <f>'6-A. Proc. Sub-Annex'!K63</f>
        <v>0</v>
      </c>
      <c r="I211" s="8">
        <f>'6-A. Proc. Sub-Annex'!L63</f>
        <v>0</v>
      </c>
      <c r="J211" s="8">
        <f>'6-A. Proc. Sub-Annex'!M63</f>
        <v>0</v>
      </c>
      <c r="K211" s="8">
        <f>'6-A. Proc. Sub-Annex'!N63</f>
        <v>0</v>
      </c>
      <c r="L211" s="8">
        <f>'6-A. Proc. Sub-Annex'!O63</f>
        <v>0</v>
      </c>
      <c r="M211" s="8">
        <f>'6-A. Proc. Sub-Annex'!P63</f>
        <v>0</v>
      </c>
      <c r="N211" s="8">
        <f>'6-A. Proc. Sub-Annex'!Q63</f>
        <v>0</v>
      </c>
      <c r="O211" s="8">
        <f>'6-A. Proc. Sub-Annex'!R63</f>
        <v>0</v>
      </c>
      <c r="P211" s="8">
        <f>'6-A. Proc. Sub-Annex'!S63</f>
        <v>0</v>
      </c>
    </row>
    <row r="212" spans="1:16" x14ac:dyDescent="0.2">
      <c r="A212" s="32">
        <f>'6-A. Proc. Sub-Annex'!B277</f>
        <v>6.5</v>
      </c>
      <c r="B212" s="32">
        <f>'6-A. Proc. Sub-Annex'!C277</f>
        <v>0</v>
      </c>
      <c r="C212" s="32" t="str">
        <f>'6-A. Proc. Sub-Annex'!D277</f>
        <v>Procurement (Others)</v>
      </c>
      <c r="D212" s="39"/>
      <c r="E212" s="39"/>
      <c r="F212" s="39">
        <f>F213</f>
        <v>0</v>
      </c>
      <c r="G212" s="39">
        <f>G213</f>
        <v>0</v>
      </c>
      <c r="H212" s="39">
        <f>H213</f>
        <v>0</v>
      </c>
      <c r="I212" s="39"/>
      <c r="J212" s="39"/>
      <c r="K212" s="39"/>
      <c r="L212" s="39"/>
      <c r="M212" s="39">
        <f>M213</f>
        <v>0</v>
      </c>
      <c r="N212" s="39"/>
      <c r="O212" s="39"/>
      <c r="P212" s="39">
        <f>P213</f>
        <v>0</v>
      </c>
    </row>
    <row r="213" spans="1:16" x14ac:dyDescent="0.2">
      <c r="A213" s="4" t="str">
        <f>'6-A. Proc. Sub-Annex'!B278</f>
        <v>6.5.1</v>
      </c>
      <c r="B213" s="4" t="str">
        <f>'6-A. Proc. Sub-Annex'!C278</f>
        <v>H.16</v>
      </c>
      <c r="C213" s="4" t="str">
        <f>'6-A. Proc. Sub-Annex'!D278</f>
        <v>Replacement of Vehicles under NTEP</v>
      </c>
      <c r="D213" s="8">
        <f>'6-A. Proc. Sub-Annex'!G278</f>
        <v>0</v>
      </c>
      <c r="E213" s="8">
        <f>'6-A. Proc. Sub-Annex'!H278</f>
        <v>0</v>
      </c>
      <c r="F213" s="8">
        <f>'6-A. Proc. Sub-Annex'!I278</f>
        <v>0</v>
      </c>
      <c r="G213" s="8">
        <f>'6-A. Proc. Sub-Annex'!J278</f>
        <v>0</v>
      </c>
      <c r="H213" s="8">
        <f>'6-A. Proc. Sub-Annex'!K278</f>
        <v>0</v>
      </c>
      <c r="I213" s="8">
        <f>'6-A. Proc. Sub-Annex'!L278</f>
        <v>0</v>
      </c>
      <c r="J213" s="8">
        <f>'6-A. Proc. Sub-Annex'!M278</f>
        <v>0</v>
      </c>
      <c r="K213" s="8">
        <f>'6-A. Proc. Sub-Annex'!N278</f>
        <v>0</v>
      </c>
      <c r="L213" s="8">
        <f>'6-A. Proc. Sub-Annex'!O278</f>
        <v>0</v>
      </c>
      <c r="M213" s="8">
        <f>'6-A. Proc. Sub-Annex'!P278</f>
        <v>0</v>
      </c>
      <c r="N213" s="8">
        <f>'6-A. Proc. Sub-Annex'!Q278</f>
        <v>0</v>
      </c>
      <c r="O213" s="8">
        <f>'6-A. Proc. Sub-Annex'!R278</f>
        <v>0</v>
      </c>
      <c r="P213" s="8">
        <f>'6-A. Proc. Sub-Annex'!S278</f>
        <v>0</v>
      </c>
    </row>
    <row r="214" spans="1:16" x14ac:dyDescent="0.2">
      <c r="A214" s="31">
        <f>'7.Referral Transport Annex'!A7</f>
        <v>7</v>
      </c>
      <c r="B214" s="31">
        <f>'7.Referral Transport Annex'!B7</f>
        <v>0</v>
      </c>
      <c r="C214" s="31" t="str">
        <f>'7.Referral Transport Annex'!C7</f>
        <v>Referral Transport</v>
      </c>
      <c r="D214" s="38"/>
      <c r="E214" s="38"/>
      <c r="F214" s="38">
        <f>F215</f>
        <v>0</v>
      </c>
      <c r="G214" s="38">
        <f>G215</f>
        <v>0</v>
      </c>
      <c r="H214" s="38">
        <f>H215</f>
        <v>0</v>
      </c>
      <c r="I214" s="38"/>
      <c r="J214" s="38"/>
      <c r="K214" s="38"/>
      <c r="L214" s="38"/>
      <c r="M214" s="38">
        <f>M215</f>
        <v>0</v>
      </c>
      <c r="N214" s="38"/>
      <c r="O214" s="38"/>
      <c r="P214" s="38">
        <f>P215</f>
        <v>0</v>
      </c>
    </row>
    <row r="215" spans="1:16" x14ac:dyDescent="0.2">
      <c r="A215" s="32">
        <f>'7.Referral Transport Annex'!A11</f>
        <v>7.4</v>
      </c>
      <c r="B215" s="32" t="str">
        <f>'7.Referral Transport Annex'!B11</f>
        <v>B12</v>
      </c>
      <c r="C215" s="32" t="str">
        <f>'7.Referral Transport Annex'!C11</f>
        <v>National Ambulance Service</v>
      </c>
      <c r="D215" s="39"/>
      <c r="E215" s="39"/>
      <c r="F215" s="39">
        <f>SUM(F216:F216)</f>
        <v>0</v>
      </c>
      <c r="G215" s="39">
        <f>SUM(G216:G216)</f>
        <v>0</v>
      </c>
      <c r="H215" s="39">
        <f>SUM(H216:H216)</f>
        <v>0</v>
      </c>
      <c r="I215" s="39"/>
      <c r="J215" s="39"/>
      <c r="K215" s="39"/>
      <c r="L215" s="39"/>
      <c r="M215" s="39">
        <f>SUM(M216:M216)</f>
        <v>0</v>
      </c>
      <c r="N215" s="39"/>
      <c r="O215" s="39"/>
      <c r="P215" s="39">
        <f>SUM(P216:P216)</f>
        <v>0</v>
      </c>
    </row>
    <row r="216" spans="1:16" ht="51" x14ac:dyDescent="0.2">
      <c r="A216" s="4" t="str">
        <f>'7.Referral Transport Annex'!A21</f>
        <v>7.4.3</v>
      </c>
      <c r="B216" s="4">
        <f>'7.Referral Transport Annex'!B21</f>
        <v>0</v>
      </c>
      <c r="C216" s="4" t="str">
        <f>'7.Referral Transport Annex'!C21</f>
        <v>Support for replacement of equipments (for meeting obligations of existing contract- signed before FY 2020-21, till tenancy of the same)</v>
      </c>
      <c r="D216" s="10">
        <f>'7.Referral Transport Annex'!F21</f>
        <v>0</v>
      </c>
      <c r="E216" s="10">
        <f>'7.Referral Transport Annex'!G21</f>
        <v>0</v>
      </c>
      <c r="F216" s="10">
        <f>'7.Referral Transport Annex'!H21</f>
        <v>0</v>
      </c>
      <c r="G216" s="10">
        <f>'7.Referral Transport Annex'!I21</f>
        <v>0</v>
      </c>
      <c r="H216" s="10">
        <f>'7.Referral Transport Annex'!J21</f>
        <v>0</v>
      </c>
      <c r="I216" s="10">
        <f>'7.Referral Transport Annex'!K21</f>
        <v>0</v>
      </c>
      <c r="J216" s="10">
        <f>'7.Referral Transport Annex'!L21</f>
        <v>0</v>
      </c>
      <c r="K216" s="10">
        <f>'7.Referral Transport Annex'!M21</f>
        <v>0</v>
      </c>
      <c r="L216" s="10">
        <f>'7.Referral Transport Annex'!N21</f>
        <v>0</v>
      </c>
      <c r="M216" s="10">
        <f>'7.Referral Transport Annex'!O21</f>
        <v>0</v>
      </c>
      <c r="N216" s="10">
        <f>'7.Referral Transport Annex'!P21</f>
        <v>0</v>
      </c>
      <c r="O216" s="10">
        <f>'7.Referral Transport Annex'!Q21</f>
        <v>0</v>
      </c>
      <c r="P216" s="10">
        <f>'7.Referral Transport Annex'!R21</f>
        <v>0</v>
      </c>
    </row>
    <row r="217" spans="1:16" ht="63.75" x14ac:dyDescent="0.2">
      <c r="A217" s="32">
        <f>'9-A.Training Sub-Annex'!B5</f>
        <v>9.1</v>
      </c>
      <c r="B217" s="32">
        <f>'9-A.Training Sub-Annex'!C5</f>
        <v>0</v>
      </c>
      <c r="C217" s="32" t="str">
        <f>'9-A.Training Sub-Annex'!D5</f>
        <v>Setting Up &amp; Strengthening of Skill Lab/ Other Training Centres or institutes including medical (DNB/CPS)/paramedical/nursing courses</v>
      </c>
      <c r="D217" s="39"/>
      <c r="E217" s="39"/>
      <c r="F217" s="39">
        <f>SUM(F218:F222)</f>
        <v>0</v>
      </c>
      <c r="G217" s="39">
        <f>SUM(G218:G222)</f>
        <v>0</v>
      </c>
      <c r="H217" s="39">
        <f>SUM(H218:H222)</f>
        <v>0</v>
      </c>
      <c r="I217" s="39"/>
      <c r="J217" s="39"/>
      <c r="K217" s="39"/>
      <c r="L217" s="39"/>
      <c r="M217" s="39">
        <f>SUM(M218:M222)</f>
        <v>0</v>
      </c>
      <c r="N217" s="39"/>
      <c r="O217" s="39"/>
      <c r="P217" s="39">
        <f>SUM(P218:P222)</f>
        <v>0</v>
      </c>
    </row>
    <row r="218" spans="1:16" x14ac:dyDescent="0.2">
      <c r="A218" s="4" t="str">
        <f>'9-A.Training Sub-Annex'!B7</f>
        <v>9.1.1</v>
      </c>
      <c r="B218" s="4" t="str">
        <f>'9-A.Training Sub-Annex'!C7</f>
        <v>A.9.1.2.2</v>
      </c>
      <c r="C218" s="4" t="str">
        <f>'9-A.Training Sub-Annex'!D7</f>
        <v>Setting up of Skill Lab</v>
      </c>
      <c r="D218" s="8">
        <f>'9-A.Training Sub-Annex'!G7</f>
        <v>0</v>
      </c>
      <c r="E218" s="8">
        <f>'9-A.Training Sub-Annex'!H7</f>
        <v>0</v>
      </c>
      <c r="F218" s="8">
        <f>'9-A.Training Sub-Annex'!I7</f>
        <v>0</v>
      </c>
      <c r="G218" s="8">
        <f>'9-A.Training Sub-Annex'!J7</f>
        <v>0</v>
      </c>
      <c r="H218" s="8">
        <f>'9-A.Training Sub-Annex'!K7</f>
        <v>0</v>
      </c>
      <c r="I218" s="8">
        <f>'9-A.Training Sub-Annex'!L7</f>
        <v>0</v>
      </c>
      <c r="J218" s="8">
        <f>'9-A.Training Sub-Annex'!M7</f>
        <v>0</v>
      </c>
      <c r="K218" s="8">
        <f>'9-A.Training Sub-Annex'!N7</f>
        <v>0</v>
      </c>
      <c r="L218" s="8">
        <f>'9-A.Training Sub-Annex'!O7</f>
        <v>0</v>
      </c>
      <c r="M218" s="8">
        <f>'9-A.Training Sub-Annex'!P7</f>
        <v>0</v>
      </c>
      <c r="N218" s="8">
        <f>'9-A.Training Sub-Annex'!Q7</f>
        <v>0</v>
      </c>
      <c r="O218" s="8">
        <f>'9-A.Training Sub-Annex'!R7</f>
        <v>0</v>
      </c>
      <c r="P218" s="8">
        <f>'9-A.Training Sub-Annex'!S7</f>
        <v>0</v>
      </c>
    </row>
    <row r="219" spans="1:16" x14ac:dyDescent="0.2">
      <c r="A219" s="4" t="str">
        <f>'9-A.Training Sub-Annex'!B8</f>
        <v>9.1.2</v>
      </c>
      <c r="B219" s="4" t="str">
        <f>'9-A.Training Sub-Annex'!C8</f>
        <v>A.9.3.1.1</v>
      </c>
      <c r="C219" s="4" t="str">
        <f>'9-A.Training Sub-Annex'!D8</f>
        <v>Setting up of SBA Training Centres</v>
      </c>
      <c r="D219" s="8">
        <f>'9-A.Training Sub-Annex'!G8</f>
        <v>0</v>
      </c>
      <c r="E219" s="8">
        <f>'9-A.Training Sub-Annex'!H8</f>
        <v>0</v>
      </c>
      <c r="F219" s="8">
        <f>'9-A.Training Sub-Annex'!I8</f>
        <v>0</v>
      </c>
      <c r="G219" s="8">
        <f>'9-A.Training Sub-Annex'!J8</f>
        <v>0</v>
      </c>
      <c r="H219" s="8">
        <f>'9-A.Training Sub-Annex'!K8</f>
        <v>0</v>
      </c>
      <c r="I219" s="8">
        <f>'9-A.Training Sub-Annex'!L8</f>
        <v>0</v>
      </c>
      <c r="J219" s="8">
        <f>'9-A.Training Sub-Annex'!M8</f>
        <v>0</v>
      </c>
      <c r="K219" s="8">
        <f>'9-A.Training Sub-Annex'!N8</f>
        <v>0</v>
      </c>
      <c r="L219" s="8">
        <f>'9-A.Training Sub-Annex'!O8</f>
        <v>0</v>
      </c>
      <c r="M219" s="8">
        <f>'9-A.Training Sub-Annex'!P8</f>
        <v>0</v>
      </c>
      <c r="N219" s="8">
        <f>'9-A.Training Sub-Annex'!Q8</f>
        <v>0</v>
      </c>
      <c r="O219" s="8">
        <f>'9-A.Training Sub-Annex'!R8</f>
        <v>0</v>
      </c>
      <c r="P219" s="8">
        <f>'9-A.Training Sub-Annex'!S8</f>
        <v>0</v>
      </c>
    </row>
    <row r="220" spans="1:16" x14ac:dyDescent="0.2">
      <c r="A220" s="4" t="str">
        <f>'9-A.Training Sub-Annex'!B9</f>
        <v>9.1.3</v>
      </c>
      <c r="B220" s="4" t="str">
        <f>'9-A.Training Sub-Annex'!C9</f>
        <v>A.9.3.2.1</v>
      </c>
      <c r="C220" s="4" t="str">
        <f>'9-A.Training Sub-Annex'!D9</f>
        <v>Setting up of EmOC Training Centres</v>
      </c>
      <c r="D220" s="8">
        <f>'9-A.Training Sub-Annex'!G9</f>
        <v>0</v>
      </c>
      <c r="E220" s="8">
        <f>'9-A.Training Sub-Annex'!H9</f>
        <v>0</v>
      </c>
      <c r="F220" s="8">
        <f>'9-A.Training Sub-Annex'!I9</f>
        <v>0</v>
      </c>
      <c r="G220" s="8">
        <f>'9-A.Training Sub-Annex'!J9</f>
        <v>0</v>
      </c>
      <c r="H220" s="8">
        <f>'9-A.Training Sub-Annex'!K9</f>
        <v>0</v>
      </c>
      <c r="I220" s="8">
        <f>'9-A.Training Sub-Annex'!L9</f>
        <v>0</v>
      </c>
      <c r="J220" s="8">
        <f>'9-A.Training Sub-Annex'!M9</f>
        <v>0</v>
      </c>
      <c r="K220" s="8">
        <f>'9-A.Training Sub-Annex'!N9</f>
        <v>0</v>
      </c>
      <c r="L220" s="8">
        <f>'9-A.Training Sub-Annex'!O9</f>
        <v>0</v>
      </c>
      <c r="M220" s="8">
        <f>'9-A.Training Sub-Annex'!P9</f>
        <v>0</v>
      </c>
      <c r="N220" s="8">
        <f>'9-A.Training Sub-Annex'!Q9</f>
        <v>0</v>
      </c>
      <c r="O220" s="8">
        <f>'9-A.Training Sub-Annex'!R9</f>
        <v>0</v>
      </c>
      <c r="P220" s="8">
        <f>'9-A.Training Sub-Annex'!S9</f>
        <v>0</v>
      </c>
    </row>
    <row r="221" spans="1:16" ht="25.5" x14ac:dyDescent="0.2">
      <c r="A221" s="4" t="str">
        <f>'9-A.Training Sub-Annex'!B10</f>
        <v>9.1.4</v>
      </c>
      <c r="B221" s="4" t="str">
        <f>'9-A.Training Sub-Annex'!C10</f>
        <v>A.9.3.3.1</v>
      </c>
      <c r="C221" s="4" t="str">
        <f>'9-A.Training Sub-Annex'!D10</f>
        <v>Setting up of Life saving Anaesthesia skills Training Centres</v>
      </c>
      <c r="D221" s="8">
        <f>'9-A.Training Sub-Annex'!G10</f>
        <v>0</v>
      </c>
      <c r="E221" s="8">
        <f>'9-A.Training Sub-Annex'!H10</f>
        <v>0</v>
      </c>
      <c r="F221" s="8">
        <f>'9-A.Training Sub-Annex'!I10</f>
        <v>0</v>
      </c>
      <c r="G221" s="8">
        <f>'9-A.Training Sub-Annex'!J10</f>
        <v>0</v>
      </c>
      <c r="H221" s="8">
        <f>'9-A.Training Sub-Annex'!K10</f>
        <v>0</v>
      </c>
      <c r="I221" s="8">
        <f>'9-A.Training Sub-Annex'!L10</f>
        <v>0</v>
      </c>
      <c r="J221" s="8">
        <f>'9-A.Training Sub-Annex'!M10</f>
        <v>0</v>
      </c>
      <c r="K221" s="8">
        <f>'9-A.Training Sub-Annex'!N10</f>
        <v>0</v>
      </c>
      <c r="L221" s="8">
        <f>'9-A.Training Sub-Annex'!O10</f>
        <v>0</v>
      </c>
      <c r="M221" s="8">
        <f>'9-A.Training Sub-Annex'!P10</f>
        <v>0</v>
      </c>
      <c r="N221" s="8">
        <f>'9-A.Training Sub-Annex'!Q10</f>
        <v>0</v>
      </c>
      <c r="O221" s="8">
        <f>'9-A.Training Sub-Annex'!R10</f>
        <v>0</v>
      </c>
      <c r="P221" s="8">
        <f>'9-A.Training Sub-Annex'!S10</f>
        <v>0</v>
      </c>
    </row>
    <row r="222" spans="1:16" ht="38.25" x14ac:dyDescent="0.2">
      <c r="A222" s="4" t="str">
        <f>'9-A.Training Sub-Annex'!B11</f>
        <v>9.1.5</v>
      </c>
      <c r="B222" s="4" t="str">
        <f>'9-A.Training Sub-Annex'!C11</f>
        <v>A.9.10.1</v>
      </c>
      <c r="C222" s="4" t="str">
        <f>'9-A.Training Sub-Annex'!D11</f>
        <v>Strengthening of Existing Training Institutions/Nursing School (excluding infrastructure and HR)</v>
      </c>
      <c r="D222" s="8">
        <f>'9-A.Training Sub-Annex'!G11</f>
        <v>0</v>
      </c>
      <c r="E222" s="8">
        <f>'9-A.Training Sub-Annex'!H11</f>
        <v>0</v>
      </c>
      <c r="F222" s="8">
        <f>'9-A.Training Sub-Annex'!I11</f>
        <v>0</v>
      </c>
      <c r="G222" s="8">
        <f>'9-A.Training Sub-Annex'!J11</f>
        <v>0</v>
      </c>
      <c r="H222" s="8">
        <f>'9-A.Training Sub-Annex'!K11</f>
        <v>0</v>
      </c>
      <c r="I222" s="8">
        <f>'9-A.Training Sub-Annex'!L11</f>
        <v>0</v>
      </c>
      <c r="J222" s="8">
        <f>'9-A.Training Sub-Annex'!M11</f>
        <v>0</v>
      </c>
      <c r="K222" s="8">
        <f>'9-A.Training Sub-Annex'!N11</f>
        <v>0</v>
      </c>
      <c r="L222" s="8">
        <f>'9-A.Training Sub-Annex'!O11</f>
        <v>0</v>
      </c>
      <c r="M222" s="8">
        <f>'9-A.Training Sub-Annex'!P11</f>
        <v>0</v>
      </c>
      <c r="N222" s="8">
        <f>'9-A.Training Sub-Annex'!Q11</f>
        <v>0</v>
      </c>
      <c r="O222" s="8">
        <f>'9-A.Training Sub-Annex'!R11</f>
        <v>0</v>
      </c>
      <c r="P222" s="8">
        <f>'9-A.Training Sub-Annex'!S11</f>
        <v>0</v>
      </c>
    </row>
    <row r="223" spans="1:16" x14ac:dyDescent="0.2">
      <c r="A223" s="31">
        <f>'16.PM Annex'!A7</f>
        <v>16</v>
      </c>
      <c r="B223" s="31">
        <f>'16.PM Annex'!B7</f>
        <v>0</v>
      </c>
      <c r="C223" s="31" t="str">
        <f>'16.PM Annex'!C7</f>
        <v>Programme Management</v>
      </c>
      <c r="D223" s="38"/>
      <c r="E223" s="38"/>
      <c r="F223" s="38">
        <f t="shared" ref="F223:H224" si="0">F224</f>
        <v>0</v>
      </c>
      <c r="G223" s="38">
        <f t="shared" si="0"/>
        <v>0</v>
      </c>
      <c r="H223" s="38">
        <f t="shared" si="0"/>
        <v>0</v>
      </c>
      <c r="I223" s="38"/>
      <c r="J223" s="38"/>
      <c r="K223" s="38"/>
      <c r="L223" s="38"/>
      <c r="M223" s="38">
        <f>M224</f>
        <v>0</v>
      </c>
      <c r="N223" s="38"/>
      <c r="O223" s="38"/>
      <c r="P223" s="38">
        <f>P224</f>
        <v>0</v>
      </c>
    </row>
    <row r="224" spans="1:16" x14ac:dyDescent="0.2">
      <c r="A224" s="32">
        <f>'16.PM Annex'!A17</f>
        <v>16.3</v>
      </c>
      <c r="B224" s="32">
        <f>'16.PM Annex'!B17</f>
        <v>0</v>
      </c>
      <c r="C224" s="32" t="str">
        <f>'16.PM Annex'!C17</f>
        <v>HMIS &amp; MCTS</v>
      </c>
      <c r="D224" s="39"/>
      <c r="E224" s="39"/>
      <c r="F224" s="39">
        <f t="shared" si="0"/>
        <v>0</v>
      </c>
      <c r="G224" s="39">
        <f t="shared" si="0"/>
        <v>0</v>
      </c>
      <c r="H224" s="39">
        <f t="shared" si="0"/>
        <v>0</v>
      </c>
      <c r="I224" s="39"/>
      <c r="J224" s="39"/>
      <c r="K224" s="39"/>
      <c r="L224" s="39"/>
      <c r="M224" s="39">
        <f>M225</f>
        <v>0</v>
      </c>
      <c r="N224" s="39"/>
      <c r="O224" s="39"/>
      <c r="P224" s="39">
        <f>P225</f>
        <v>0</v>
      </c>
    </row>
    <row r="225" spans="1:16" ht="51" x14ac:dyDescent="0.2">
      <c r="A225" s="4" t="str">
        <f>'16.PM Annex'!A21</f>
        <v>16.3.4</v>
      </c>
      <c r="B225" s="4" t="str">
        <f>'16.PM Annex'!B21</f>
        <v>B15.3.2.3/ B15.3.2.4/ B15.3.2.7/ B15.3.2.8</v>
      </c>
      <c r="C225" s="4" t="str">
        <f>'16.PM Annex'!C21</f>
        <v>Procurement of Computer/Printer/UPS/ Laptop/ VSAT</v>
      </c>
      <c r="D225" s="8">
        <f>'16.PM Annex'!E21</f>
        <v>0</v>
      </c>
      <c r="E225" s="8">
        <f>'16.PM Annex'!F21</f>
        <v>0</v>
      </c>
      <c r="F225" s="8">
        <f>'16.PM Annex'!G21</f>
        <v>0</v>
      </c>
      <c r="G225" s="8">
        <f>'16.PM Annex'!H21</f>
        <v>0</v>
      </c>
      <c r="H225" s="8">
        <f>'16.PM Annex'!I21</f>
        <v>0</v>
      </c>
      <c r="I225" s="8">
        <f>'16.PM Annex'!J21</f>
        <v>0</v>
      </c>
      <c r="J225" s="8">
        <f>'16.PM Annex'!K21</f>
        <v>0</v>
      </c>
      <c r="K225" s="8">
        <f>'16.PM Annex'!L21</f>
        <v>0</v>
      </c>
      <c r="L225" s="8">
        <f>'16.PM Annex'!M21</f>
        <v>0</v>
      </c>
      <c r="M225" s="8">
        <f>'16.PM Annex'!N21</f>
        <v>0</v>
      </c>
      <c r="N225" s="8">
        <f>'16.PM Annex'!O21</f>
        <v>0</v>
      </c>
      <c r="O225" s="8">
        <f>'16.PM Annex'!P21</f>
        <v>0</v>
      </c>
      <c r="P225" s="8">
        <f>'16.PM Annex'!Q21</f>
        <v>0</v>
      </c>
    </row>
    <row r="226" spans="1:16" ht="25.5" x14ac:dyDescent="0.2">
      <c r="A226" s="31">
        <f>'17.IT Initiatives_SD'!A7</f>
        <v>17</v>
      </c>
      <c r="B226" s="31">
        <f>'17.IT Initiatives_SD'!B7</f>
        <v>0</v>
      </c>
      <c r="C226" s="31" t="str">
        <f>'17.IT Initiatives_SD'!C7</f>
        <v>IT Initiatives for strengthening Service Delivery</v>
      </c>
      <c r="D226" s="38"/>
      <c r="E226" s="38"/>
      <c r="F226" s="38">
        <f>F227+F228+F231+F232+F233+F234+F235+F236</f>
        <v>0</v>
      </c>
      <c r="G226" s="38">
        <f>G227+G228+G231+G232+G233+G234+G235+G236</f>
        <v>0</v>
      </c>
      <c r="H226" s="38">
        <f>H227+H228+H231+H232+H233+H234+H235+H236</f>
        <v>0</v>
      </c>
      <c r="I226" s="38"/>
      <c r="J226" s="38"/>
      <c r="K226" s="38"/>
      <c r="L226" s="38"/>
      <c r="M226" s="38">
        <f>M227+M228+M231+M232+M233+M234+M235+M236</f>
        <v>0</v>
      </c>
      <c r="N226" s="38"/>
      <c r="O226" s="38"/>
      <c r="P226" s="38">
        <f>P227+P228+P231+P232+P233+P234+P235+P236</f>
        <v>0</v>
      </c>
    </row>
    <row r="227" spans="1:16" ht="38.25" x14ac:dyDescent="0.2">
      <c r="A227" s="4">
        <f>'17.IT Initiatives_SD'!A8</f>
        <v>17.100000000000001</v>
      </c>
      <c r="B227" s="4" t="str">
        <f>'17.IT Initiatives_SD'!B8</f>
        <v>I.2.9</v>
      </c>
      <c r="C227" s="4" t="str">
        <f>'17.IT Initiatives_SD'!C8</f>
        <v>Fixed tele- ophthalmic network unit in Got. Set up/ internet based ophthalmic consultation unit)</v>
      </c>
      <c r="D227" s="8">
        <f>'17.IT Initiatives_SD'!F8</f>
        <v>0</v>
      </c>
      <c r="E227" s="8">
        <f>'17.IT Initiatives_SD'!G8</f>
        <v>0</v>
      </c>
      <c r="F227" s="8">
        <f>'17.IT Initiatives_SD'!H8</f>
        <v>0</v>
      </c>
      <c r="G227" s="8">
        <f>'17.IT Initiatives_SD'!I8</f>
        <v>0</v>
      </c>
      <c r="H227" s="8">
        <f>'17.IT Initiatives_SD'!J8</f>
        <v>0</v>
      </c>
      <c r="I227" s="8">
        <f>'17.IT Initiatives_SD'!K8</f>
        <v>0</v>
      </c>
      <c r="J227" s="8">
        <f>'17.IT Initiatives_SD'!L8</f>
        <v>0</v>
      </c>
      <c r="K227" s="8">
        <f>'17.IT Initiatives_SD'!M8</f>
        <v>0</v>
      </c>
      <c r="L227" s="8">
        <f>'17.IT Initiatives_SD'!N8</f>
        <v>0</v>
      </c>
      <c r="M227" s="8">
        <f>'17.IT Initiatives_SD'!O8</f>
        <v>0</v>
      </c>
      <c r="N227" s="8">
        <f>'17.IT Initiatives_SD'!P8</f>
        <v>0</v>
      </c>
      <c r="O227" s="8">
        <f>'17.IT Initiatives_SD'!Q8</f>
        <v>0</v>
      </c>
      <c r="P227" s="8">
        <f>'17.IT Initiatives_SD'!R8</f>
        <v>0</v>
      </c>
    </row>
    <row r="228" spans="1:16" ht="25.5" x14ac:dyDescent="0.2">
      <c r="A228" s="4">
        <f>'17.IT Initiatives_SD'!A9</f>
        <v>17.2</v>
      </c>
      <c r="B228" s="4" t="str">
        <f>'17.IT Initiatives_SD'!B9</f>
        <v>B18.3</v>
      </c>
      <c r="C228" s="4" t="str">
        <f>'17.IT Initiatives_SD'!C9</f>
        <v>IT Initiatives under Ayushman Bharat H&amp;WC</v>
      </c>
      <c r="D228" s="8"/>
      <c r="E228" s="8"/>
      <c r="F228" s="8">
        <f>SUM(F229:F230)</f>
        <v>0</v>
      </c>
      <c r="G228" s="8">
        <f>SUM(G229:G230)</f>
        <v>0</v>
      </c>
      <c r="H228" s="8">
        <f>SUM(H229:H230)</f>
        <v>0</v>
      </c>
      <c r="I228" s="8"/>
      <c r="J228" s="8"/>
      <c r="K228" s="8"/>
      <c r="L228" s="8"/>
      <c r="M228" s="8">
        <f>SUM(M229:M230)</f>
        <v>0</v>
      </c>
      <c r="N228" s="8"/>
      <c r="O228" s="8"/>
      <c r="P228" s="8">
        <f>SUM(P229:P230)</f>
        <v>0</v>
      </c>
    </row>
    <row r="229" spans="1:16" ht="25.5" x14ac:dyDescent="0.2">
      <c r="A229" s="4" t="str">
        <f>'17.IT Initiatives_SD'!A10</f>
        <v>17.2.1</v>
      </c>
      <c r="B229" s="4">
        <f>'17.IT Initiatives_SD'!B10</f>
        <v>0</v>
      </c>
      <c r="C229" s="4" t="str">
        <f>'17.IT Initiatives_SD'!C10</f>
        <v>Telemedicine/ teleconsultation facility under Ayushman Bharat H&amp;WC</v>
      </c>
      <c r="D229" s="8">
        <f>'17.IT Initiatives_SD'!F10</f>
        <v>0</v>
      </c>
      <c r="E229" s="8">
        <f>'17.IT Initiatives_SD'!G10</f>
        <v>0</v>
      </c>
      <c r="F229" s="8">
        <f>'17.IT Initiatives_SD'!H10</f>
        <v>0</v>
      </c>
      <c r="G229" s="8">
        <f>'17.IT Initiatives_SD'!I10</f>
        <v>0</v>
      </c>
      <c r="H229" s="8">
        <f>'17.IT Initiatives_SD'!J10</f>
        <v>0</v>
      </c>
      <c r="I229" s="8">
        <f>'17.IT Initiatives_SD'!K10</f>
        <v>0</v>
      </c>
      <c r="J229" s="8">
        <f>'17.IT Initiatives_SD'!L10</f>
        <v>0</v>
      </c>
      <c r="K229" s="8">
        <f>'17.IT Initiatives_SD'!M10</f>
        <v>0</v>
      </c>
      <c r="L229" s="8">
        <f>'17.IT Initiatives_SD'!N10</f>
        <v>0</v>
      </c>
      <c r="M229" s="8">
        <f>'17.IT Initiatives_SD'!O10</f>
        <v>0</v>
      </c>
      <c r="N229" s="8">
        <f>'17.IT Initiatives_SD'!P10</f>
        <v>0</v>
      </c>
      <c r="O229" s="8">
        <f>'17.IT Initiatives_SD'!Q10</f>
        <v>0</v>
      </c>
      <c r="P229" s="8">
        <f>'17.IT Initiatives_SD'!R10</f>
        <v>0</v>
      </c>
    </row>
    <row r="230" spans="1:16" x14ac:dyDescent="0.2">
      <c r="A230" s="4" t="str">
        <f>'17.IT Initiatives_SD'!A11</f>
        <v>17.2.2</v>
      </c>
      <c r="B230" s="4">
        <f>'17.IT Initiatives_SD'!B11</f>
        <v>0</v>
      </c>
      <c r="C230" s="4" t="str">
        <f>'17.IT Initiatives_SD'!C11</f>
        <v>Other IT Initiatives (please specify)</v>
      </c>
      <c r="D230" s="8">
        <f>'17.IT Initiatives_SD'!F11</f>
        <v>0</v>
      </c>
      <c r="E230" s="8">
        <f>'17.IT Initiatives_SD'!G11</f>
        <v>0</v>
      </c>
      <c r="F230" s="8">
        <f>'17.IT Initiatives_SD'!H11</f>
        <v>0</v>
      </c>
      <c r="G230" s="8">
        <f>'17.IT Initiatives_SD'!I11</f>
        <v>0</v>
      </c>
      <c r="H230" s="8">
        <f>'17.IT Initiatives_SD'!J11</f>
        <v>0</v>
      </c>
      <c r="I230" s="8">
        <f>'17.IT Initiatives_SD'!K11</f>
        <v>0</v>
      </c>
      <c r="J230" s="8">
        <f>'17.IT Initiatives_SD'!L11</f>
        <v>0</v>
      </c>
      <c r="K230" s="8">
        <f>'17.IT Initiatives_SD'!M11</f>
        <v>0</v>
      </c>
      <c r="L230" s="8">
        <f>'17.IT Initiatives_SD'!N11</f>
        <v>0</v>
      </c>
      <c r="M230" s="8">
        <f>'17.IT Initiatives_SD'!O11</f>
        <v>0</v>
      </c>
      <c r="N230" s="8">
        <f>'17.IT Initiatives_SD'!P11</f>
        <v>0</v>
      </c>
      <c r="O230" s="8">
        <f>'17.IT Initiatives_SD'!Q11</f>
        <v>0</v>
      </c>
      <c r="P230" s="8">
        <f>'17.IT Initiatives_SD'!R11</f>
        <v>0</v>
      </c>
    </row>
    <row r="231" spans="1:16" ht="25.5" x14ac:dyDescent="0.2">
      <c r="A231" s="4">
        <f>'17.IT Initiatives_SD'!A12</f>
        <v>17.3</v>
      </c>
      <c r="B231" s="4">
        <f>'17.IT Initiatives_SD'!B12</f>
        <v>0</v>
      </c>
      <c r="C231" s="4" t="str">
        <f>'17.IT Initiatives_SD'!C12</f>
        <v>Implementation of ANMOL (Excel Procurement)</v>
      </c>
      <c r="D231" s="8">
        <f>'17.IT Initiatives_SD'!F12</f>
        <v>0</v>
      </c>
      <c r="E231" s="8">
        <f>'17.IT Initiatives_SD'!G12</f>
        <v>0</v>
      </c>
      <c r="F231" s="8">
        <f>'17.IT Initiatives_SD'!H12</f>
        <v>0</v>
      </c>
      <c r="G231" s="8">
        <f>'17.IT Initiatives_SD'!I12</f>
        <v>0</v>
      </c>
      <c r="H231" s="8">
        <f>'17.IT Initiatives_SD'!J12</f>
        <v>0</v>
      </c>
      <c r="I231" s="8">
        <f>'17.IT Initiatives_SD'!K12</f>
        <v>0</v>
      </c>
      <c r="J231" s="8">
        <f>'17.IT Initiatives_SD'!L12</f>
        <v>0</v>
      </c>
      <c r="K231" s="8">
        <f>'17.IT Initiatives_SD'!M12</f>
        <v>0</v>
      </c>
      <c r="L231" s="8">
        <f>'17.IT Initiatives_SD'!N12</f>
        <v>0</v>
      </c>
      <c r="M231" s="8">
        <f>'17.IT Initiatives_SD'!O12</f>
        <v>0</v>
      </c>
      <c r="N231" s="8">
        <f>'17.IT Initiatives_SD'!P12</f>
        <v>0</v>
      </c>
      <c r="O231" s="8">
        <f>'17.IT Initiatives_SD'!Q12</f>
        <v>0</v>
      </c>
      <c r="P231" s="8">
        <f>'17.IT Initiatives_SD'!R12</f>
        <v>0</v>
      </c>
    </row>
    <row r="232" spans="1:16" ht="38.25" x14ac:dyDescent="0.2">
      <c r="A232" s="4">
        <f>'17.IT Initiatives_SD'!A13</f>
        <v>17.399999999999999</v>
      </c>
      <c r="B232" s="4" t="str">
        <f>'17.IT Initiatives_SD'!B13</f>
        <v>B14.2</v>
      </c>
      <c r="C232" s="4" t="str">
        <f>'17.IT Initiatives_SD'!C13</f>
        <v xml:space="preserve">E-rakt kosh- refer to strengthening of blood services guidelines &amp; Software for hemoglobinopathies &amp; Haemophilia </v>
      </c>
      <c r="D232" s="8">
        <f>'17.IT Initiatives_SD'!F13</f>
        <v>0</v>
      </c>
      <c r="E232" s="8">
        <f>'17.IT Initiatives_SD'!G13</f>
        <v>0</v>
      </c>
      <c r="F232" s="8">
        <f>'17.IT Initiatives_SD'!H13</f>
        <v>0</v>
      </c>
      <c r="G232" s="8">
        <f>'17.IT Initiatives_SD'!I13</f>
        <v>0</v>
      </c>
      <c r="H232" s="8">
        <f>'17.IT Initiatives_SD'!J13</f>
        <v>0</v>
      </c>
      <c r="I232" s="8">
        <f>'17.IT Initiatives_SD'!K13</f>
        <v>0</v>
      </c>
      <c r="J232" s="8">
        <f>'17.IT Initiatives_SD'!L13</f>
        <v>0</v>
      </c>
      <c r="K232" s="8">
        <f>'17.IT Initiatives_SD'!M13</f>
        <v>0</v>
      </c>
      <c r="L232" s="8">
        <f>'17.IT Initiatives_SD'!N13</f>
        <v>0</v>
      </c>
      <c r="M232" s="8">
        <f>'17.IT Initiatives_SD'!O13</f>
        <v>0</v>
      </c>
      <c r="N232" s="8">
        <f>'17.IT Initiatives_SD'!P13</f>
        <v>0</v>
      </c>
      <c r="O232" s="8">
        <f>'17.IT Initiatives_SD'!Q13</f>
        <v>0</v>
      </c>
      <c r="P232" s="8">
        <f>'17.IT Initiatives_SD'!R13</f>
        <v>0</v>
      </c>
    </row>
    <row r="233" spans="1:16" x14ac:dyDescent="0.2">
      <c r="A233" s="4">
        <f>'17.IT Initiatives_SD'!A14</f>
        <v>17.5</v>
      </c>
      <c r="B233" s="4" t="str">
        <f>'17.IT Initiatives_SD'!B14</f>
        <v>B15.2.6</v>
      </c>
      <c r="C233" s="4" t="str">
        <f>'17.IT Initiatives_SD'!C14</f>
        <v>QAC Misc. (IT Based application  etc.)</v>
      </c>
      <c r="D233" s="8">
        <f>'17.IT Initiatives_SD'!F14</f>
        <v>0</v>
      </c>
      <c r="E233" s="8">
        <f>'17.IT Initiatives_SD'!G14</f>
        <v>0</v>
      </c>
      <c r="F233" s="8">
        <f>'17.IT Initiatives_SD'!H14</f>
        <v>0</v>
      </c>
      <c r="G233" s="8">
        <f>'17.IT Initiatives_SD'!I14</f>
        <v>0</v>
      </c>
      <c r="H233" s="8">
        <f>'17.IT Initiatives_SD'!J14</f>
        <v>0</v>
      </c>
      <c r="I233" s="8">
        <f>'17.IT Initiatives_SD'!K14</f>
        <v>0</v>
      </c>
      <c r="J233" s="8">
        <f>'17.IT Initiatives_SD'!L14</f>
        <v>0</v>
      </c>
      <c r="K233" s="8">
        <f>'17.IT Initiatives_SD'!M14</f>
        <v>0</v>
      </c>
      <c r="L233" s="8">
        <f>'17.IT Initiatives_SD'!N14</f>
        <v>0</v>
      </c>
      <c r="M233" s="8">
        <f>'17.IT Initiatives_SD'!O14</f>
        <v>0</v>
      </c>
      <c r="N233" s="8">
        <f>'17.IT Initiatives_SD'!P14</f>
        <v>0</v>
      </c>
      <c r="O233" s="8">
        <f>'17.IT Initiatives_SD'!Q14</f>
        <v>0</v>
      </c>
      <c r="P233" s="8">
        <f>'17.IT Initiatives_SD'!R14</f>
        <v>0</v>
      </c>
    </row>
    <row r="234" spans="1:16" ht="25.5" x14ac:dyDescent="0.2">
      <c r="A234" s="4">
        <f>'17.IT Initiatives_SD'!A15</f>
        <v>17.600000000000001</v>
      </c>
      <c r="B234" s="4" t="str">
        <f>'17.IT Initiatives_SD'!B15</f>
        <v>B15.3.4.1</v>
      </c>
      <c r="C234" s="4" t="str">
        <f>'17.IT Initiatives_SD'!C15</f>
        <v xml:space="preserve">Implementation of Hospital Management System </v>
      </c>
      <c r="D234" s="8">
        <f>'17.IT Initiatives_SD'!F15</f>
        <v>0</v>
      </c>
      <c r="E234" s="8">
        <f>'17.IT Initiatives_SD'!G15</f>
        <v>0</v>
      </c>
      <c r="F234" s="8">
        <f>'17.IT Initiatives_SD'!H15</f>
        <v>0</v>
      </c>
      <c r="G234" s="8">
        <f>'17.IT Initiatives_SD'!I15</f>
        <v>0</v>
      </c>
      <c r="H234" s="8">
        <f>'17.IT Initiatives_SD'!J15</f>
        <v>0</v>
      </c>
      <c r="I234" s="8">
        <f>'17.IT Initiatives_SD'!K15</f>
        <v>0</v>
      </c>
      <c r="J234" s="8">
        <f>'17.IT Initiatives_SD'!L15</f>
        <v>0</v>
      </c>
      <c r="K234" s="8">
        <f>'17.IT Initiatives_SD'!M15</f>
        <v>0</v>
      </c>
      <c r="L234" s="8">
        <f>'17.IT Initiatives_SD'!N15</f>
        <v>0</v>
      </c>
      <c r="M234" s="8">
        <f>'17.IT Initiatives_SD'!O15</f>
        <v>0</v>
      </c>
      <c r="N234" s="8">
        <f>'17.IT Initiatives_SD'!P15</f>
        <v>0</v>
      </c>
      <c r="O234" s="8">
        <f>'17.IT Initiatives_SD'!Q15</f>
        <v>0</v>
      </c>
      <c r="P234" s="8">
        <f>'17.IT Initiatives_SD'!R15</f>
        <v>0</v>
      </c>
    </row>
    <row r="235" spans="1:16" ht="25.5" x14ac:dyDescent="0.2">
      <c r="A235" s="4">
        <f>'17.IT Initiatives_SD'!A16</f>
        <v>17.7</v>
      </c>
      <c r="B235" s="4">
        <f>'17.IT Initiatives_SD'!B16</f>
        <v>0</v>
      </c>
      <c r="C235" s="4" t="str">
        <f>'17.IT Initiatives_SD'!C16</f>
        <v>Implementation of Human Resource Information System (HRIS)</v>
      </c>
      <c r="D235" s="8">
        <f>'17.IT Initiatives_SD'!F16</f>
        <v>0</v>
      </c>
      <c r="E235" s="8">
        <f>'17.IT Initiatives_SD'!G16</f>
        <v>0</v>
      </c>
      <c r="F235" s="8">
        <f>'17.IT Initiatives_SD'!H16</f>
        <v>0</v>
      </c>
      <c r="G235" s="8">
        <f>'17.IT Initiatives_SD'!I16</f>
        <v>0</v>
      </c>
      <c r="H235" s="8">
        <f>'17.IT Initiatives_SD'!J16</f>
        <v>0</v>
      </c>
      <c r="I235" s="8">
        <f>'17.IT Initiatives_SD'!K16</f>
        <v>0</v>
      </c>
      <c r="J235" s="8">
        <f>'17.IT Initiatives_SD'!L16</f>
        <v>0</v>
      </c>
      <c r="K235" s="8">
        <f>'17.IT Initiatives_SD'!M16</f>
        <v>0</v>
      </c>
      <c r="L235" s="8">
        <f>'17.IT Initiatives_SD'!N16</f>
        <v>0</v>
      </c>
      <c r="M235" s="8">
        <f>'17.IT Initiatives_SD'!O16</f>
        <v>0</v>
      </c>
      <c r="N235" s="8">
        <f>'17.IT Initiatives_SD'!P16</f>
        <v>0</v>
      </c>
      <c r="O235" s="8">
        <f>'17.IT Initiatives_SD'!Q16</f>
        <v>0</v>
      </c>
      <c r="P235" s="8">
        <f>'17.IT Initiatives_SD'!R16</f>
        <v>0</v>
      </c>
    </row>
    <row r="236" spans="1:16" ht="25.5" x14ac:dyDescent="0.2">
      <c r="A236" s="4">
        <f>'17.IT Initiatives_SD'!A17</f>
        <v>17.8</v>
      </c>
      <c r="B236" s="4">
        <f>'17.IT Initiatives_SD'!B17</f>
        <v>0</v>
      </c>
      <c r="C236" s="4" t="str">
        <f>'17.IT Initiatives_SD'!C17</f>
        <v>Other IT Initiatives for Service Delivery (please specify)</v>
      </c>
      <c r="D236" s="8">
        <f>'17.IT Initiatives_SD'!F17</f>
        <v>0</v>
      </c>
      <c r="E236" s="8">
        <f>'17.IT Initiatives_SD'!G17</f>
        <v>0</v>
      </c>
      <c r="F236" s="8">
        <f>'17.IT Initiatives_SD'!H17</f>
        <v>0</v>
      </c>
      <c r="G236" s="8">
        <f>'17.IT Initiatives_SD'!I17</f>
        <v>0</v>
      </c>
      <c r="H236" s="8">
        <f>'17.IT Initiatives_SD'!J17</f>
        <v>0</v>
      </c>
      <c r="I236" s="8">
        <f>'17.IT Initiatives_SD'!K17</f>
        <v>0</v>
      </c>
      <c r="J236" s="8">
        <f>'17.IT Initiatives_SD'!L17</f>
        <v>0</v>
      </c>
      <c r="K236" s="8">
        <f>'17.IT Initiatives_SD'!M17</f>
        <v>0</v>
      </c>
      <c r="L236" s="8">
        <f>'17.IT Initiatives_SD'!N17</f>
        <v>0</v>
      </c>
      <c r="M236" s="8">
        <f>'17.IT Initiatives_SD'!O17</f>
        <v>0</v>
      </c>
      <c r="N236" s="8">
        <f>'17.IT Initiatives_SD'!P17</f>
        <v>0</v>
      </c>
      <c r="O236" s="8">
        <f>'17.IT Initiatives_SD'!Q17</f>
        <v>0</v>
      </c>
      <c r="P236" s="8">
        <f>'17.IT Initiatives_SD'!R17</f>
        <v>0</v>
      </c>
    </row>
    <row r="237" spans="1:16" x14ac:dyDescent="0.2">
      <c r="A237" s="33"/>
      <c r="B237" s="33"/>
      <c r="C237" s="33" t="str">
        <f>'NUHM-Non Metro Abst'!C7</f>
        <v>Non-Metro Sub Total</v>
      </c>
      <c r="D237" s="41"/>
      <c r="E237" s="41"/>
      <c r="F237" s="41">
        <f>F238+F252+F260</f>
        <v>0</v>
      </c>
      <c r="G237" s="41">
        <f>G238+G252+G260</f>
        <v>0</v>
      </c>
      <c r="H237" s="41">
        <f>H238+H252+H260</f>
        <v>400000</v>
      </c>
      <c r="I237" s="41"/>
      <c r="J237" s="41"/>
      <c r="K237" s="41"/>
      <c r="L237" s="41"/>
      <c r="M237" s="41">
        <f>M238+M252+M260</f>
        <v>0</v>
      </c>
      <c r="N237" s="41"/>
      <c r="O237" s="41"/>
      <c r="P237" s="41">
        <f>P238+P252+P260</f>
        <v>0</v>
      </c>
    </row>
    <row r="238" spans="1:16" x14ac:dyDescent="0.2">
      <c r="A238" s="31" t="str">
        <f>'NUHM-Non Metro Abst'!A77</f>
        <v>U.5</v>
      </c>
      <c r="B238" s="31">
        <f>'NUHM-Non Metro Abst'!B77</f>
        <v>0</v>
      </c>
      <c r="C238" s="31" t="str">
        <f>'NUHM-Non Metro Abst'!C77</f>
        <v>Infrastructure</v>
      </c>
      <c r="D238" s="38"/>
      <c r="E238" s="38"/>
      <c r="F238" s="38">
        <f>F239+F245+F249</f>
        <v>0</v>
      </c>
      <c r="G238" s="38">
        <f>G239+G245+G249</f>
        <v>0</v>
      </c>
      <c r="H238" s="38">
        <f>H239+H245+H249</f>
        <v>400000</v>
      </c>
      <c r="I238" s="38"/>
      <c r="J238" s="38"/>
      <c r="K238" s="38"/>
      <c r="L238" s="38"/>
      <c r="M238" s="38">
        <f>M239+M245+M249</f>
        <v>0</v>
      </c>
      <c r="N238" s="38"/>
      <c r="O238" s="38"/>
      <c r="P238" s="38">
        <f>P239+P245+P249</f>
        <v>0</v>
      </c>
    </row>
    <row r="239" spans="1:16" x14ac:dyDescent="0.2">
      <c r="A239" s="32" t="str">
        <f>'NUHM-Non Metro Abst'!A78</f>
        <v>U.5.1</v>
      </c>
      <c r="B239" s="32">
        <f>'NUHM-Non Metro Abst'!B78</f>
        <v>0</v>
      </c>
      <c r="C239" s="32" t="str">
        <f>'NUHM-Non Metro Abst'!C78</f>
        <v>Upgradation of existing facilities</v>
      </c>
      <c r="D239" s="39"/>
      <c r="E239" s="39"/>
      <c r="F239" s="39">
        <f>SUM(F240:F242)</f>
        <v>0</v>
      </c>
      <c r="G239" s="39">
        <f>SUM(G240:G242)</f>
        <v>0</v>
      </c>
      <c r="H239" s="39">
        <f>SUM(H240:H242)</f>
        <v>400000</v>
      </c>
      <c r="I239" s="39"/>
      <c r="J239" s="39"/>
      <c r="K239" s="39"/>
      <c r="L239" s="39"/>
      <c r="M239" s="39">
        <f>SUM(M240:M242)</f>
        <v>0</v>
      </c>
      <c r="N239" s="39"/>
      <c r="O239" s="39"/>
      <c r="P239" s="39">
        <f>SUM(P240:P242)</f>
        <v>0</v>
      </c>
    </row>
    <row r="240" spans="1:16" ht="242.25" x14ac:dyDescent="0.2">
      <c r="A240" s="4" t="str">
        <f>'NUHM-Non Metro Abst'!A79</f>
        <v>U.5.1.1</v>
      </c>
      <c r="B240" s="4" t="str">
        <f>'NUHM-Non Metro Abst'!B79</f>
        <v>P.4.2.2.1</v>
      </c>
      <c r="C240" s="4" t="str">
        <f>'NUHM-Non Metro Abst'!C79</f>
        <v>UPHC</v>
      </c>
      <c r="D240" s="8">
        <f>'NUHM-Non Metro Abst'!G79</f>
        <v>0</v>
      </c>
      <c r="E240" s="8">
        <f>'NUHM-Non Metro Abst'!H79</f>
        <v>0</v>
      </c>
      <c r="F240" s="8">
        <f>'NUHM-Non Metro Abst'!I79</f>
        <v>0</v>
      </c>
      <c r="G240" s="8" t="str">
        <f>'NUHM-Non Metro Abst'!J79</f>
        <v>Cost per Centre</v>
      </c>
      <c r="H240" s="8">
        <f>'NUHM-Non Metro Abst'!K79</f>
        <v>400000</v>
      </c>
      <c r="I240" s="8">
        <f>'NUHM-Non Metro Abst'!L79</f>
        <v>4</v>
      </c>
      <c r="J240" s="8">
        <f>'NUHM-Non Metro Abst'!M79</f>
        <v>2</v>
      </c>
      <c r="K240" s="8">
        <f>'NUHM-Non Metro Abst'!N79</f>
        <v>8</v>
      </c>
      <c r="L240" s="8" t="str">
        <f>'NUHM-Non Metro Abst'!O79</f>
        <v>New activity.
Proposed for construction of UPHCs in Karur district @ Rs.80 lakhs each.  Total cost Rs.160 lakhs.  5% of the cost Rs.8 lakhs proposed this year and balance will be proposed in PIP 2022-23</v>
      </c>
      <c r="M240" s="8">
        <f>'NUHM-Non Metro Abst'!P79</f>
        <v>0</v>
      </c>
      <c r="N240" s="8">
        <f>'NUHM-Non Metro Abst'!Q79</f>
        <v>0</v>
      </c>
      <c r="O240" s="8">
        <f>'NUHM-Non Metro Abst'!R79</f>
        <v>0</v>
      </c>
      <c r="P240" s="8">
        <f>'NUHM-Non Metro Abst'!S79</f>
        <v>0</v>
      </c>
    </row>
    <row r="241" spans="1:16" x14ac:dyDescent="0.2">
      <c r="A241" s="4" t="str">
        <f>'NUHM-Non Metro Abst'!A80</f>
        <v>U.5.1.2</v>
      </c>
      <c r="B241" s="4" t="str">
        <f>'NUHM-Non Metro Abst'!B80</f>
        <v>P.4.2.2.2</v>
      </c>
      <c r="C241" s="4" t="str">
        <f>'NUHM-Non Metro Abst'!C80</f>
        <v>UCHC</v>
      </c>
      <c r="D241" s="8">
        <f>'NUHM-Non Metro Abst'!G80</f>
        <v>0</v>
      </c>
      <c r="E241" s="8">
        <f>'NUHM-Non Metro Abst'!H80</f>
        <v>0</v>
      </c>
      <c r="F241" s="8">
        <f>'NUHM-Non Metro Abst'!I80</f>
        <v>0</v>
      </c>
      <c r="G241" s="8">
        <f>'NUHM-Non Metro Abst'!J80</f>
        <v>0</v>
      </c>
      <c r="H241" s="8">
        <f>'NUHM-Non Metro Abst'!K80</f>
        <v>0</v>
      </c>
      <c r="I241" s="8">
        <f>'NUHM-Non Metro Abst'!L80</f>
        <v>0</v>
      </c>
      <c r="J241" s="8">
        <f>'NUHM-Non Metro Abst'!M80</f>
        <v>0</v>
      </c>
      <c r="K241" s="8">
        <f>'NUHM-Non Metro Abst'!N80</f>
        <v>0</v>
      </c>
      <c r="L241" s="8">
        <f>'NUHM-Non Metro Abst'!O80</f>
        <v>0</v>
      </c>
      <c r="M241" s="8">
        <f>'NUHM-Non Metro Abst'!P80</f>
        <v>0</v>
      </c>
      <c r="N241" s="8">
        <f>'NUHM-Non Metro Abst'!Q80</f>
        <v>0</v>
      </c>
      <c r="O241" s="8">
        <f>'NUHM-Non Metro Abst'!R80</f>
        <v>0</v>
      </c>
      <c r="P241" s="8">
        <f>'NUHM-Non Metro Abst'!S80</f>
        <v>0</v>
      </c>
    </row>
    <row r="242" spans="1:16" x14ac:dyDescent="0.2">
      <c r="A242" s="4" t="str">
        <f>'NUHM-Non Metro Abst'!A81</f>
        <v>U.5.1.3</v>
      </c>
      <c r="B242" s="4" t="str">
        <f>'NUHM-Non Metro Abst'!B81</f>
        <v>P.4.2.2.2</v>
      </c>
      <c r="C242" s="4" t="str">
        <f>'NUHM-Non Metro Abst'!C81</f>
        <v>Maternity Homes</v>
      </c>
      <c r="D242" s="8">
        <f>'NUHM-Non Metro Abst'!G81</f>
        <v>0</v>
      </c>
      <c r="E242" s="8">
        <f>'NUHM-Non Metro Abst'!H81</f>
        <v>0</v>
      </c>
      <c r="F242" s="8">
        <f>'NUHM-Non Metro Abst'!I81</f>
        <v>0</v>
      </c>
      <c r="G242" s="8">
        <f>'NUHM-Non Metro Abst'!J81</f>
        <v>0</v>
      </c>
      <c r="H242" s="8">
        <f>'NUHM-Non Metro Abst'!K81</f>
        <v>0</v>
      </c>
      <c r="I242" s="8">
        <f>'NUHM-Non Metro Abst'!L81</f>
        <v>0</v>
      </c>
      <c r="J242" s="8">
        <f>'NUHM-Non Metro Abst'!M81</f>
        <v>0</v>
      </c>
      <c r="K242" s="8">
        <f>'NUHM-Non Metro Abst'!N81</f>
        <v>0</v>
      </c>
      <c r="L242" s="8">
        <f>'NUHM-Non Metro Abst'!O81</f>
        <v>0</v>
      </c>
      <c r="M242" s="8">
        <f>'NUHM-Non Metro Abst'!P81</f>
        <v>0</v>
      </c>
      <c r="N242" s="8">
        <f>'NUHM-Non Metro Abst'!Q81</f>
        <v>0</v>
      </c>
      <c r="O242" s="8">
        <f>'NUHM-Non Metro Abst'!R81</f>
        <v>0</v>
      </c>
      <c r="P242" s="8">
        <f>'NUHM-Non Metro Abst'!S81</f>
        <v>0</v>
      </c>
    </row>
    <row r="243" spans="1:16" x14ac:dyDescent="0.2">
      <c r="A243" s="4" t="str">
        <f>'NUHM-Non Metro Abst'!A82</f>
        <v>U.5.1.4</v>
      </c>
      <c r="B243" s="4" t="str">
        <f>'NUHM-Non Metro Abst'!B82</f>
        <v>P.4.2.3.1</v>
      </c>
      <c r="C243" s="4" t="str">
        <f>'NUHM-Non Metro Abst'!C82</f>
        <v>Rent for UPHC</v>
      </c>
      <c r="D243" s="8">
        <f>'NUHM-Non Metro Abst'!G82</f>
        <v>0</v>
      </c>
      <c r="E243" s="8">
        <f>'NUHM-Non Metro Abst'!H82</f>
        <v>0</v>
      </c>
      <c r="F243" s="8">
        <f>'NUHM-Non Metro Abst'!I82</f>
        <v>0</v>
      </c>
      <c r="G243" s="8">
        <f>'NUHM-Non Metro Abst'!J82</f>
        <v>0</v>
      </c>
      <c r="H243" s="8">
        <f>'NUHM-Non Metro Abst'!K82</f>
        <v>0</v>
      </c>
      <c r="I243" s="8">
        <f>'NUHM-Non Metro Abst'!L82</f>
        <v>0</v>
      </c>
      <c r="J243" s="8">
        <f>'NUHM-Non Metro Abst'!M82</f>
        <v>0</v>
      </c>
      <c r="K243" s="8">
        <f>'NUHM-Non Metro Abst'!N82</f>
        <v>0</v>
      </c>
      <c r="L243" s="8">
        <f>'NUHM-Non Metro Abst'!O82</f>
        <v>0</v>
      </c>
      <c r="M243" s="8">
        <f>'NUHM-Non Metro Abst'!P82</f>
        <v>0</v>
      </c>
      <c r="N243" s="8">
        <f>'NUHM-Non Metro Abst'!Q82</f>
        <v>0</v>
      </c>
      <c r="O243" s="8">
        <f>'NUHM-Non Metro Abst'!R82</f>
        <v>0</v>
      </c>
      <c r="P243" s="8">
        <f>'NUHM-Non Metro Abst'!S82</f>
        <v>0</v>
      </c>
    </row>
    <row r="244" spans="1:16" x14ac:dyDescent="0.2">
      <c r="A244" s="4" t="str">
        <f>'NUHM-Non Metro Abst'!A83</f>
        <v>U.5.1.5</v>
      </c>
      <c r="B244" s="4">
        <f>'NUHM-Non Metro Abst'!B83</f>
        <v>0</v>
      </c>
      <c r="C244" s="4" t="str">
        <f>'NUHM-Non Metro Abst'!C83</f>
        <v>Any other (please specify)</v>
      </c>
      <c r="D244" s="8">
        <f>'NUHM-Non Metro Abst'!G83</f>
        <v>0</v>
      </c>
      <c r="E244" s="8">
        <f>'NUHM-Non Metro Abst'!H83</f>
        <v>0</v>
      </c>
      <c r="F244" s="8">
        <f>'NUHM-Non Metro Abst'!I83</f>
        <v>0</v>
      </c>
      <c r="G244" s="8">
        <f>'NUHM-Non Metro Abst'!J83</f>
        <v>0</v>
      </c>
      <c r="H244" s="8">
        <f>'NUHM-Non Metro Abst'!K83</f>
        <v>0</v>
      </c>
      <c r="I244" s="8">
        <f>'NUHM-Non Metro Abst'!L83</f>
        <v>0</v>
      </c>
      <c r="J244" s="8">
        <f>'NUHM-Non Metro Abst'!M83</f>
        <v>0</v>
      </c>
      <c r="K244" s="8">
        <f>'NUHM-Non Metro Abst'!N83</f>
        <v>0</v>
      </c>
      <c r="L244" s="8">
        <f>'NUHM-Non Metro Abst'!O83</f>
        <v>0</v>
      </c>
      <c r="M244" s="8">
        <f>'NUHM-Non Metro Abst'!P83</f>
        <v>0</v>
      </c>
      <c r="N244" s="8">
        <f>'NUHM-Non Metro Abst'!Q83</f>
        <v>0</v>
      </c>
      <c r="O244" s="8">
        <f>'NUHM-Non Metro Abst'!R83</f>
        <v>0</v>
      </c>
      <c r="P244" s="8">
        <f>'NUHM-Non Metro Abst'!S83</f>
        <v>0</v>
      </c>
    </row>
    <row r="245" spans="1:16" x14ac:dyDescent="0.2">
      <c r="A245" s="32" t="str">
        <f>'NUHM-Non Metro Abst'!A84</f>
        <v>U.5.2</v>
      </c>
      <c r="B245" s="32">
        <f>'NUHM-Non Metro Abst'!B84</f>
        <v>0</v>
      </c>
      <c r="C245" s="32" t="str">
        <f>'NUHM-Non Metro Abst'!C84</f>
        <v xml:space="preserve">New Constructions </v>
      </c>
      <c r="D245" s="39"/>
      <c r="E245" s="39"/>
      <c r="F245" s="39">
        <f>SUM(F246:F248)</f>
        <v>0</v>
      </c>
      <c r="G245" s="39">
        <f>SUM(G246:G248)</f>
        <v>0</v>
      </c>
      <c r="H245" s="39">
        <f>SUM(H246:H248)</f>
        <v>0</v>
      </c>
      <c r="I245" s="39"/>
      <c r="J245" s="39"/>
      <c r="K245" s="39"/>
      <c r="L245" s="39"/>
      <c r="M245" s="39">
        <f>SUM(M246:M248)</f>
        <v>0</v>
      </c>
      <c r="N245" s="39"/>
      <c r="O245" s="39"/>
      <c r="P245" s="39">
        <f>SUM(P246:P248)</f>
        <v>0</v>
      </c>
    </row>
    <row r="246" spans="1:16" x14ac:dyDescent="0.2">
      <c r="A246" s="4" t="str">
        <f>'NUHM-Non Metro Abst'!A85</f>
        <v>U.5.2.1</v>
      </c>
      <c r="B246" s="4" t="str">
        <f>'NUHM-Non Metro Abst'!B85</f>
        <v>P.4.2.1.1</v>
      </c>
      <c r="C246" s="4" t="str">
        <f>'NUHM-Non Metro Abst'!C85</f>
        <v>UPHC</v>
      </c>
      <c r="D246" s="10">
        <f>'NUHM-Non Metro Abst'!E85</f>
        <v>0</v>
      </c>
      <c r="E246" s="10">
        <f>'NUHM-Non Metro Abst'!F85</f>
        <v>0</v>
      </c>
      <c r="F246" s="10">
        <f>'NUHM-Non Metro Abst'!G85</f>
        <v>0</v>
      </c>
      <c r="G246" s="10">
        <f>'NUHM-Non Metro Abst'!H85</f>
        <v>0</v>
      </c>
      <c r="H246" s="10">
        <f>'NUHM-Non Metro Abst'!I85</f>
        <v>0</v>
      </c>
      <c r="I246" s="10">
        <f>'NUHM-Non Metro Abst'!J85</f>
        <v>0</v>
      </c>
      <c r="J246" s="10">
        <f>'NUHM-Non Metro Abst'!K85</f>
        <v>0</v>
      </c>
      <c r="K246" s="9">
        <f>'NUHM-Non Metro Abst'!L85</f>
        <v>0</v>
      </c>
      <c r="L246" s="10">
        <f>'NUHM-Non Metro Abst'!M85</f>
        <v>0</v>
      </c>
      <c r="M246" s="9">
        <f>'NUHM-Non Metro Abst'!N85</f>
        <v>0</v>
      </c>
      <c r="N246" s="10">
        <f>'NUHM-Non Metro Abst'!O85</f>
        <v>0</v>
      </c>
      <c r="O246" s="10">
        <f>'NUHM-Non Metro Abst'!P85</f>
        <v>0</v>
      </c>
      <c r="P246" s="10">
        <f>'NUHM-Non Metro Abst'!Q85</f>
        <v>0</v>
      </c>
    </row>
    <row r="247" spans="1:16" x14ac:dyDescent="0.2">
      <c r="A247" s="4" t="str">
        <f>'NUHM-Non Metro Abst'!A86</f>
        <v>U.5.2.2</v>
      </c>
      <c r="B247" s="4" t="str">
        <f>'NUHM-Non Metro Abst'!B86</f>
        <v>P.4.2.1.2</v>
      </c>
      <c r="C247" s="4" t="str">
        <f>'NUHM-Non Metro Abst'!C86</f>
        <v>UCHC</v>
      </c>
      <c r="D247" s="10">
        <f>'NUHM-Non Metro Abst'!E86</f>
        <v>0</v>
      </c>
      <c r="E247" s="10">
        <f>'NUHM-Non Metro Abst'!F86</f>
        <v>0</v>
      </c>
      <c r="F247" s="10">
        <f>'NUHM-Non Metro Abst'!G86</f>
        <v>0</v>
      </c>
      <c r="G247" s="10">
        <f>'NUHM-Non Metro Abst'!H86</f>
        <v>0</v>
      </c>
      <c r="H247" s="10">
        <f>'NUHM-Non Metro Abst'!I86</f>
        <v>0</v>
      </c>
      <c r="I247" s="10">
        <f>'NUHM-Non Metro Abst'!J86</f>
        <v>0</v>
      </c>
      <c r="J247" s="10">
        <f>'NUHM-Non Metro Abst'!K86</f>
        <v>0</v>
      </c>
      <c r="K247" s="9">
        <f>'NUHM-Non Metro Abst'!L86</f>
        <v>0</v>
      </c>
      <c r="L247" s="10">
        <f>'NUHM-Non Metro Abst'!M86</f>
        <v>0</v>
      </c>
      <c r="M247" s="9">
        <f>'NUHM-Non Metro Abst'!N86</f>
        <v>0</v>
      </c>
      <c r="N247" s="10">
        <f>'NUHM-Non Metro Abst'!O86</f>
        <v>0</v>
      </c>
      <c r="O247" s="10">
        <f>'NUHM-Non Metro Abst'!P86</f>
        <v>0</v>
      </c>
      <c r="P247" s="10">
        <f>'NUHM-Non Metro Abst'!Q86</f>
        <v>0</v>
      </c>
    </row>
    <row r="248" spans="1:16" x14ac:dyDescent="0.2">
      <c r="A248" s="4" t="str">
        <f>'NUHM-Non Metro Abst'!A87</f>
        <v>U.5.2.3</v>
      </c>
      <c r="B248" s="4" t="str">
        <f>'NUHM-Non Metro Abst'!B87</f>
        <v>P.4.2.1.3</v>
      </c>
      <c r="C248" s="4" t="str">
        <f>'NUHM-Non Metro Abst'!C87</f>
        <v>Health Kiosk (for establishment)</v>
      </c>
      <c r="D248" s="10">
        <f>'NUHM-Non Metro Abst'!E87</f>
        <v>0</v>
      </c>
      <c r="E248" s="10">
        <f>'NUHM-Non Metro Abst'!F87</f>
        <v>0</v>
      </c>
      <c r="F248" s="10">
        <f>'NUHM-Non Metro Abst'!G87</f>
        <v>0</v>
      </c>
      <c r="G248" s="10">
        <f>'NUHM-Non Metro Abst'!H87</f>
        <v>0</v>
      </c>
      <c r="H248" s="10">
        <f>'NUHM-Non Metro Abst'!I87</f>
        <v>0</v>
      </c>
      <c r="I248" s="10">
        <f>'NUHM-Non Metro Abst'!J87</f>
        <v>0</v>
      </c>
      <c r="J248" s="10">
        <f>'NUHM-Non Metro Abst'!K87</f>
        <v>0</v>
      </c>
      <c r="K248" s="9">
        <f>'NUHM-Non Metro Abst'!L87</f>
        <v>0</v>
      </c>
      <c r="L248" s="10">
        <f>'NUHM-Non Metro Abst'!M87</f>
        <v>0</v>
      </c>
      <c r="M248" s="9">
        <f>'NUHM-Non Metro Abst'!N87</f>
        <v>0</v>
      </c>
      <c r="N248" s="10">
        <f>'NUHM-Non Metro Abst'!O87</f>
        <v>0</v>
      </c>
      <c r="O248" s="10">
        <f>'NUHM-Non Metro Abst'!P87</f>
        <v>0</v>
      </c>
      <c r="P248" s="10">
        <f>'NUHM-Non Metro Abst'!Q87</f>
        <v>0</v>
      </c>
    </row>
    <row r="249" spans="1:16" x14ac:dyDescent="0.2">
      <c r="A249" s="32" t="str">
        <f>'NUHM-Non Metro Abst'!A88</f>
        <v>U.5.3</v>
      </c>
      <c r="B249" s="32">
        <f>'NUHM-Non Metro Abst'!B88</f>
        <v>0</v>
      </c>
      <c r="C249" s="32" t="str">
        <f>'NUHM-Non Metro Abst'!C88</f>
        <v>Other construction/ Civil works</v>
      </c>
      <c r="D249" s="39"/>
      <c r="E249" s="39"/>
      <c r="F249" s="39">
        <f>SUM(F250:F251)</f>
        <v>0</v>
      </c>
      <c r="G249" s="39">
        <f>SUM(G250:G251)</f>
        <v>0</v>
      </c>
      <c r="H249" s="39">
        <f>SUM(H250:H251)</f>
        <v>0</v>
      </c>
      <c r="I249" s="39"/>
      <c r="J249" s="39"/>
      <c r="K249" s="48"/>
      <c r="L249" s="39"/>
      <c r="M249" s="48">
        <f>SUM(M250:M251)</f>
        <v>0</v>
      </c>
      <c r="N249" s="39"/>
      <c r="O249" s="39"/>
      <c r="P249" s="39">
        <f>SUM(P250:P251)</f>
        <v>0</v>
      </c>
    </row>
    <row r="250" spans="1:16" ht="25.5" x14ac:dyDescent="0.2">
      <c r="A250" s="4" t="str">
        <f>'NUHM-Non Metro Abst'!A89</f>
        <v>U.5.3.1</v>
      </c>
      <c r="B250" s="4">
        <f>'NUHM-Non Metro Abst'!B89</f>
        <v>0</v>
      </c>
      <c r="C250" s="4" t="str">
        <f>'NUHM-Non Metro Abst'!C89</f>
        <v>Infrastructure strengthening of UPHC to H&amp;WC</v>
      </c>
      <c r="D250" s="4">
        <f>'NUHM-Non Metro Abst'!E89</f>
        <v>0</v>
      </c>
      <c r="E250" s="4">
        <f>'NUHM-Non Metro Abst'!F89</f>
        <v>0</v>
      </c>
      <c r="F250" s="4">
        <f>'NUHM-Non Metro Abst'!G89</f>
        <v>0</v>
      </c>
      <c r="G250" s="4">
        <f>'NUHM-Non Metro Abst'!H89</f>
        <v>0</v>
      </c>
      <c r="H250" s="4">
        <f>'NUHM-Non Metro Abst'!I89</f>
        <v>0</v>
      </c>
      <c r="I250" s="4">
        <f>'NUHM-Non Metro Abst'!J89</f>
        <v>0</v>
      </c>
      <c r="J250" s="4">
        <f>'NUHM-Non Metro Abst'!K89</f>
        <v>0</v>
      </c>
      <c r="K250" s="9">
        <f>'NUHM-Non Metro Abst'!L89</f>
        <v>0</v>
      </c>
      <c r="L250" s="4">
        <f>'NUHM-Non Metro Abst'!M89</f>
        <v>0</v>
      </c>
      <c r="M250" s="9">
        <f>'NUHM-Non Metro Abst'!N89</f>
        <v>0</v>
      </c>
      <c r="N250" s="4">
        <f>'NUHM-Non Metro Abst'!O89</f>
        <v>0</v>
      </c>
      <c r="O250" s="8">
        <f>'NUHM-Non Metro Abst'!R89</f>
        <v>0</v>
      </c>
      <c r="P250" s="8">
        <f>'NUHM-Non Metro Abst'!S89</f>
        <v>0</v>
      </c>
    </row>
    <row r="251" spans="1:16" x14ac:dyDescent="0.2">
      <c r="A251" s="4" t="str">
        <f>'NUHM-Non Metro Abst'!A90</f>
        <v>U.5.3.2</v>
      </c>
      <c r="B251" s="4">
        <f>'NUHM-Non Metro Abst'!B90</f>
        <v>0</v>
      </c>
      <c r="C251" s="4" t="str">
        <f>'NUHM-Non Metro Abst'!C90</f>
        <v>Any Other (please specify)</v>
      </c>
      <c r="D251" s="4">
        <f>'NUHM-Non Metro Abst'!E90</f>
        <v>0</v>
      </c>
      <c r="E251" s="4">
        <f>'NUHM-Non Metro Abst'!F90</f>
        <v>0</v>
      </c>
      <c r="F251" s="4">
        <f>'NUHM-Non Metro Abst'!G90</f>
        <v>0</v>
      </c>
      <c r="G251" s="4">
        <f>'NUHM-Non Metro Abst'!H90</f>
        <v>0</v>
      </c>
      <c r="H251" s="4">
        <f>'NUHM-Non Metro Abst'!I90</f>
        <v>0</v>
      </c>
      <c r="I251" s="4">
        <f>'NUHM-Non Metro Abst'!J90</f>
        <v>0</v>
      </c>
      <c r="J251" s="4">
        <f>'NUHM-Non Metro Abst'!K90</f>
        <v>0</v>
      </c>
      <c r="K251" s="9">
        <f>'NUHM-Non Metro Abst'!L90</f>
        <v>0</v>
      </c>
      <c r="L251" s="4">
        <f>'NUHM-Non Metro Abst'!M90</f>
        <v>0</v>
      </c>
      <c r="M251" s="9">
        <f>'NUHM-Non Metro Abst'!N90</f>
        <v>0</v>
      </c>
      <c r="N251" s="4">
        <f>'NUHM-Non Metro Abst'!O90</f>
        <v>0</v>
      </c>
      <c r="O251" s="8">
        <f>'NUHM-Non Metro Abst'!R90</f>
        <v>0</v>
      </c>
      <c r="P251" s="8">
        <f>'NUHM-Non Metro Abst'!S90</f>
        <v>0</v>
      </c>
    </row>
    <row r="252" spans="1:16" x14ac:dyDescent="0.2">
      <c r="A252" s="31" t="str">
        <f>'NUHM-Non Metro Abst'!A91</f>
        <v>U.6</v>
      </c>
      <c r="B252" s="31">
        <f>'NUHM-Non Metro Abst'!B91</f>
        <v>0</v>
      </c>
      <c r="C252" s="31" t="str">
        <f>'NUHM-Non Metro Abst'!C91</f>
        <v>Procurement</v>
      </c>
      <c r="D252" s="38"/>
      <c r="E252" s="38"/>
      <c r="F252" s="38">
        <f>F253+F258</f>
        <v>0</v>
      </c>
      <c r="G252" s="38">
        <f>G253+G258</f>
        <v>0</v>
      </c>
      <c r="H252" s="38">
        <f>H253+H258</f>
        <v>0</v>
      </c>
      <c r="I252" s="38"/>
      <c r="J252" s="38"/>
      <c r="K252" s="38"/>
      <c r="L252" s="38"/>
      <c r="M252" s="38">
        <f>M253+M258</f>
        <v>0</v>
      </c>
      <c r="N252" s="38"/>
      <c r="O252" s="38"/>
      <c r="P252" s="38">
        <f>P253+P258</f>
        <v>0</v>
      </c>
    </row>
    <row r="253" spans="1:16" x14ac:dyDescent="0.2">
      <c r="A253" s="34" t="str">
        <f>'NUHM-Non Metro Abst'!A92</f>
        <v>U.6.1</v>
      </c>
      <c r="B253" s="34">
        <f>'NUHM-Non Metro Abst'!B92</f>
        <v>0</v>
      </c>
      <c r="C253" s="34" t="str">
        <f>'NUHM-Non Metro Abst'!C92</f>
        <v>Procurement of Equipment</v>
      </c>
      <c r="D253" s="42">
        <f>SUM(D254:D257)</f>
        <v>0</v>
      </c>
      <c r="E253" s="42">
        <f t="shared" ref="E253:M253" si="1">SUM(E254:E257)</f>
        <v>0</v>
      </c>
      <c r="F253" s="42">
        <f t="shared" si="1"/>
        <v>0</v>
      </c>
      <c r="G253" s="42">
        <f t="shared" si="1"/>
        <v>0</v>
      </c>
      <c r="H253" s="42">
        <f t="shared" si="1"/>
        <v>0</v>
      </c>
      <c r="I253" s="42">
        <f t="shared" si="1"/>
        <v>0</v>
      </c>
      <c r="J253" s="42">
        <f t="shared" si="1"/>
        <v>0</v>
      </c>
      <c r="K253" s="42">
        <f t="shared" si="1"/>
        <v>0</v>
      </c>
      <c r="L253" s="42">
        <f t="shared" si="1"/>
        <v>0</v>
      </c>
      <c r="M253" s="42">
        <f t="shared" si="1"/>
        <v>0</v>
      </c>
      <c r="N253" s="42">
        <f>'NUHM-Non Metro Abst'!Q92</f>
        <v>0</v>
      </c>
      <c r="O253" s="42">
        <f>'NUHM-Non Metro Abst'!R92</f>
        <v>0</v>
      </c>
      <c r="P253" s="42">
        <f>SUM(P254:P257)</f>
        <v>0</v>
      </c>
    </row>
    <row r="254" spans="1:16" x14ac:dyDescent="0.2">
      <c r="A254" s="4" t="str">
        <f>'NUHM-Non Metro Abst'!A93</f>
        <v>U.6.1.1</v>
      </c>
      <c r="B254" s="4">
        <f>'NUHM-Non Metro Abst'!B93</f>
        <v>0</v>
      </c>
      <c r="C254" s="4" t="str">
        <f>'NUHM-Non Metro Abst'!C93</f>
        <v>Equipment for AB-HWCs</v>
      </c>
      <c r="D254" s="4">
        <f>'NUHM-Non Metro Abst'!E93</f>
        <v>0</v>
      </c>
      <c r="E254" s="4">
        <f>'NUHM-Non Metro Abst'!F93</f>
        <v>0</v>
      </c>
      <c r="F254" s="4">
        <f>'NUHM-Non Metro Abst'!G93</f>
        <v>0</v>
      </c>
      <c r="G254" s="4">
        <f>'NUHM-Non Metro Abst'!H93</f>
        <v>0</v>
      </c>
      <c r="H254" s="4">
        <f>'NUHM-Non Metro Abst'!I93</f>
        <v>0</v>
      </c>
      <c r="I254" s="4">
        <f>'NUHM-Non Metro Abst'!J104</f>
        <v>0</v>
      </c>
      <c r="J254" s="4">
        <f>'NUHM-Non Metro Abst'!K104</f>
        <v>0</v>
      </c>
      <c r="K254" s="4">
        <f>'NUHM-Non Metro Abst'!L104</f>
        <v>0</v>
      </c>
      <c r="L254" s="4">
        <f>'NUHM-Non Metro Abst'!M104</f>
        <v>0</v>
      </c>
      <c r="M254" s="4">
        <f>'NUHM-Non Metro Abst'!N104</f>
        <v>0</v>
      </c>
      <c r="N254" s="4">
        <f>'NUHM-Non Metro Abst'!O104</f>
        <v>0</v>
      </c>
      <c r="O254" s="4">
        <f>'NUHM-Non Metro Abst'!P104</f>
        <v>0</v>
      </c>
      <c r="P254" s="4">
        <f>'NUHM-Non Metro Abst'!Q104</f>
        <v>0</v>
      </c>
    </row>
    <row r="255" spans="1:16" x14ac:dyDescent="0.2">
      <c r="A255" s="4" t="str">
        <f>'NUHM-Non Metro Abst'!A94</f>
        <v>U.6.1.2</v>
      </c>
      <c r="B255" s="4" t="str">
        <f>'NUHM-Non Metro Abst'!B94</f>
        <v>P.4.4.2.1</v>
      </c>
      <c r="C255" s="4" t="str">
        <f>'NUHM-Non Metro Abst'!C94</f>
        <v>Equipment for UPHC</v>
      </c>
      <c r="D255" s="4">
        <f>'NUHM-Non Metro Abst'!E94</f>
        <v>0</v>
      </c>
      <c r="E255" s="4">
        <f>'NUHM-Non Metro Abst'!F94</f>
        <v>0</v>
      </c>
      <c r="F255" s="4">
        <f>'NUHM-Non Metro Abst'!G94</f>
        <v>0</v>
      </c>
      <c r="G255" s="4">
        <f>'NUHM-Non Metro Abst'!H94</f>
        <v>0</v>
      </c>
      <c r="H255" s="4">
        <f>'NUHM-Non Metro Abst'!I94</f>
        <v>0</v>
      </c>
      <c r="I255" s="4">
        <f>'NUHM-Non Metro Abst'!J105</f>
        <v>0</v>
      </c>
      <c r="J255" s="4">
        <f>'NUHM-Non Metro Abst'!K105</f>
        <v>0</v>
      </c>
      <c r="K255" s="4">
        <f>'NUHM-Non Metro Abst'!L105</f>
        <v>0</v>
      </c>
      <c r="L255" s="4">
        <f>'NUHM-Non Metro Abst'!M105</f>
        <v>0</v>
      </c>
      <c r="M255" s="4">
        <f>'NUHM-Non Metro Abst'!N105</f>
        <v>0</v>
      </c>
      <c r="N255" s="4">
        <f>'NUHM-Non Metro Abst'!O105</f>
        <v>0</v>
      </c>
      <c r="O255" s="4">
        <f>'NUHM-Non Metro Abst'!P105</f>
        <v>0</v>
      </c>
      <c r="P255" s="4">
        <f>'NUHM-Non Metro Abst'!Q105</f>
        <v>0</v>
      </c>
    </row>
    <row r="256" spans="1:16" x14ac:dyDescent="0.2">
      <c r="A256" s="4" t="str">
        <f>'NUHM-Non Metro Abst'!A95</f>
        <v>U.6.1.3</v>
      </c>
      <c r="B256" s="4" t="str">
        <f>'NUHM-Non Metro Abst'!B95</f>
        <v>P.4.4.2.2</v>
      </c>
      <c r="C256" s="4" t="str">
        <f>'NUHM-Non Metro Abst'!C95</f>
        <v>Equipment for UCHC</v>
      </c>
      <c r="D256" s="4">
        <f>'NUHM-Non Metro Abst'!E95</f>
        <v>0</v>
      </c>
      <c r="E256" s="4">
        <f>'NUHM-Non Metro Abst'!F95</f>
        <v>0</v>
      </c>
      <c r="F256" s="4">
        <f>'NUHM-Non Metro Abst'!G95</f>
        <v>0</v>
      </c>
      <c r="G256" s="4">
        <f>'NUHM-Non Metro Abst'!H95</f>
        <v>0</v>
      </c>
      <c r="H256" s="4">
        <f>'NUHM-Non Metro Abst'!I95</f>
        <v>0</v>
      </c>
      <c r="I256" s="4">
        <f>'NUHM-Non Metro Abst'!J106</f>
        <v>0</v>
      </c>
      <c r="J256" s="4">
        <f>'NUHM-Non Metro Abst'!K106</f>
        <v>0</v>
      </c>
      <c r="K256" s="4">
        <f>'NUHM-Non Metro Abst'!L106</f>
        <v>0</v>
      </c>
      <c r="L256" s="4">
        <f>'NUHM-Non Metro Abst'!M106</f>
        <v>0</v>
      </c>
      <c r="M256" s="4">
        <f>'NUHM-Non Metro Abst'!N106</f>
        <v>0</v>
      </c>
      <c r="N256" s="4">
        <f>'NUHM-Non Metro Abst'!O106</f>
        <v>0</v>
      </c>
      <c r="O256" s="4">
        <f>'NUHM-Non Metro Abst'!P106</f>
        <v>0</v>
      </c>
      <c r="P256" s="4">
        <f>'NUHM-Non Metro Abst'!Q106</f>
        <v>0</v>
      </c>
    </row>
    <row r="257" spans="1:16" x14ac:dyDescent="0.2">
      <c r="A257" s="4" t="str">
        <f>'NUHM-Non Metro Abst'!A96</f>
        <v>U.6.1.4</v>
      </c>
      <c r="B257" s="4" t="str">
        <f>'NUHM-Non Metro Abst'!B96</f>
        <v>P.4.4.2.3</v>
      </c>
      <c r="C257" s="4" t="str">
        <f>'NUHM-Non Metro Abst'!C96</f>
        <v>Equipment for Maternity Homes</v>
      </c>
      <c r="D257" s="4">
        <f>'NUHM-Non Metro Abst'!E96</f>
        <v>0</v>
      </c>
      <c r="E257" s="4">
        <f>'NUHM-Non Metro Abst'!F96</f>
        <v>0</v>
      </c>
      <c r="F257" s="4">
        <f>'NUHM-Non Metro Abst'!G96</f>
        <v>0</v>
      </c>
      <c r="G257" s="4">
        <f>'NUHM-Non Metro Abst'!H96</f>
        <v>0</v>
      </c>
      <c r="H257" s="4">
        <f>'NUHM-Non Metro Abst'!I96</f>
        <v>0</v>
      </c>
      <c r="I257" s="4">
        <f>'NUHM-Non Metro Abst'!J108</f>
        <v>0</v>
      </c>
      <c r="J257" s="4">
        <f>'NUHM-Non Metro Abst'!K108</f>
        <v>0</v>
      </c>
      <c r="K257" s="4">
        <f>'NUHM-Non Metro Abst'!L108</f>
        <v>0</v>
      </c>
      <c r="L257" s="4">
        <f>'NUHM-Non Metro Abst'!M108</f>
        <v>0</v>
      </c>
      <c r="M257" s="4">
        <f>'NUHM-Non Metro Abst'!N108</f>
        <v>0</v>
      </c>
      <c r="N257" s="4">
        <f>'NUHM-Non Metro Abst'!O108</f>
        <v>0</v>
      </c>
      <c r="O257" s="4">
        <f>'NUHM-Non Metro Abst'!P108</f>
        <v>0</v>
      </c>
      <c r="P257" s="4">
        <f>'NUHM-Non Metro Abst'!Q108</f>
        <v>0</v>
      </c>
    </row>
    <row r="258" spans="1:16" x14ac:dyDescent="0.2">
      <c r="A258" s="32" t="str">
        <f>'NUHM-Non Metro Abst'!A115</f>
        <v>U.6.3</v>
      </c>
      <c r="B258" s="32" t="str">
        <f>'NUHM-Non Metro Abst'!B115</f>
        <v>U.6.5</v>
      </c>
      <c r="C258" s="32" t="str">
        <f>'NUHM-Non Metro Abst'!C115</f>
        <v>Other Procurement</v>
      </c>
      <c r="D258" s="32">
        <f>'NUHM-Non Metro Abst'!E115</f>
        <v>0</v>
      </c>
      <c r="E258" s="32">
        <f>'NUHM-Non Metro Abst'!F115</f>
        <v>0</v>
      </c>
      <c r="F258" s="32">
        <f>'NUHM-Non Metro Abst'!G115</f>
        <v>0</v>
      </c>
      <c r="G258" s="32">
        <f>'NUHM-Non Metro Abst'!H115</f>
        <v>0</v>
      </c>
      <c r="H258" s="32">
        <f>'NUHM-Non Metro Abst'!I115</f>
        <v>0</v>
      </c>
      <c r="I258" s="32">
        <f>'NUHM-Non Metro Abst'!J115</f>
        <v>0</v>
      </c>
      <c r="J258" s="32">
        <f>'NUHM-Non Metro Abst'!K115</f>
        <v>0</v>
      </c>
      <c r="K258" s="32">
        <f>'NUHM-Non Metro Abst'!L115</f>
        <v>0</v>
      </c>
      <c r="L258" s="32">
        <f>'NUHM-Non Metro Abst'!M115</f>
        <v>0</v>
      </c>
      <c r="M258" s="32">
        <f>'NUHM-Non Metro Abst'!N115</f>
        <v>0</v>
      </c>
      <c r="N258" s="39">
        <f>'NUHM-Non Metro Abst'!Q115</f>
        <v>0</v>
      </c>
      <c r="O258" s="39">
        <f>'NUHM-Non Metro Abst'!R115</f>
        <v>0</v>
      </c>
      <c r="P258" s="39">
        <f>P259</f>
        <v>0</v>
      </c>
    </row>
    <row r="259" spans="1:16" ht="25.5" x14ac:dyDescent="0.2">
      <c r="A259" s="4" t="str">
        <f>'NUHM-Non Metro Abst'!A116</f>
        <v>U.6.3.1</v>
      </c>
      <c r="B259" s="4" t="str">
        <f>'NUHM-Non Metro Abst'!B116</f>
        <v>U.6.5.1</v>
      </c>
      <c r="C259" s="4" t="str">
        <f>'NUHM-Non Metro Abst'!C116</f>
        <v>Tablets/ software for IT support of Ayushman Bharat H&amp;WC</v>
      </c>
      <c r="D259" s="8">
        <f>'NUHM-Non Metro Abst'!G116</f>
        <v>0</v>
      </c>
      <c r="E259" s="8">
        <f>'NUHM-Non Metro Abst'!H116</f>
        <v>0</v>
      </c>
      <c r="F259" s="8">
        <f>'NUHM-Non Metro Abst'!I116</f>
        <v>0</v>
      </c>
      <c r="G259" s="8">
        <f>'NUHM-Non Metro Abst'!J116</f>
        <v>0</v>
      </c>
      <c r="H259" s="8">
        <f>'NUHM-Non Metro Abst'!K116</f>
        <v>0</v>
      </c>
      <c r="I259" s="8">
        <f>'NUHM-Non Metro Abst'!L116</f>
        <v>0</v>
      </c>
      <c r="J259" s="8">
        <f>'NUHM-Non Metro Abst'!M116</f>
        <v>0</v>
      </c>
      <c r="K259" s="8">
        <f>'NUHM-Non Metro Abst'!N116</f>
        <v>0</v>
      </c>
      <c r="L259" s="8">
        <f>'NUHM-Non Metro Abst'!O116</f>
        <v>0</v>
      </c>
      <c r="M259" s="8">
        <f>'NUHM-Non Metro Abst'!P116</f>
        <v>0</v>
      </c>
      <c r="N259" s="12">
        <f>'NUHM-Non Metro Abst'!Q116</f>
        <v>0</v>
      </c>
      <c r="O259" s="8">
        <f>'NUHM-Non Metro Abst'!R116</f>
        <v>0</v>
      </c>
      <c r="P259" s="8">
        <f>'NUHM-Non Metro Abst'!S116</f>
        <v>0</v>
      </c>
    </row>
    <row r="260" spans="1:16" s="44" customFormat="1" x14ac:dyDescent="0.2">
      <c r="A260" s="31" t="str">
        <f>'NUHM-Non Metro Abst'!A230</f>
        <v>U.16</v>
      </c>
      <c r="B260" s="31">
        <f>'NUHM-Non Metro Abst'!B230</f>
        <v>0</v>
      </c>
      <c r="C260" s="31" t="str">
        <f>'NUHM-Non Metro Abst'!C230</f>
        <v>Programme Management</v>
      </c>
      <c r="D260" s="38"/>
      <c r="E260" s="38"/>
      <c r="F260" s="38">
        <f t="shared" ref="F260:H262" si="2">F261</f>
        <v>0</v>
      </c>
      <c r="G260" s="38">
        <f t="shared" si="2"/>
        <v>0</v>
      </c>
      <c r="H260" s="38">
        <f t="shared" si="2"/>
        <v>0</v>
      </c>
      <c r="I260" s="38"/>
      <c r="J260" s="38"/>
      <c r="K260" s="38"/>
      <c r="L260" s="38"/>
      <c r="M260" s="38">
        <f>M261</f>
        <v>0</v>
      </c>
      <c r="N260" s="38"/>
      <c r="O260" s="38"/>
      <c r="P260" s="38">
        <f>P261</f>
        <v>0</v>
      </c>
    </row>
    <row r="261" spans="1:16" x14ac:dyDescent="0.2">
      <c r="A261" s="32" t="str">
        <f>'NUHM-Non Metro Abst'!A231</f>
        <v>U.16.1</v>
      </c>
      <c r="B261" s="32">
        <f>'NUHM-Non Metro Abst'!B231</f>
        <v>0</v>
      </c>
      <c r="C261" s="32" t="str">
        <f>'NUHM-Non Metro Abst'!C231</f>
        <v>Programme Management Activities</v>
      </c>
      <c r="D261" s="39"/>
      <c r="E261" s="39"/>
      <c r="F261" s="39">
        <f t="shared" si="2"/>
        <v>0</v>
      </c>
      <c r="G261" s="39">
        <f t="shared" si="2"/>
        <v>0</v>
      </c>
      <c r="H261" s="39">
        <f t="shared" si="2"/>
        <v>0</v>
      </c>
      <c r="I261" s="39"/>
      <c r="J261" s="39"/>
      <c r="K261" s="39"/>
      <c r="L261" s="39"/>
      <c r="M261" s="39">
        <f>M262</f>
        <v>0</v>
      </c>
      <c r="N261" s="39"/>
      <c r="O261" s="39"/>
      <c r="P261" s="39">
        <f>P262</f>
        <v>0</v>
      </c>
    </row>
    <row r="262" spans="1:16" ht="25.5" x14ac:dyDescent="0.2">
      <c r="A262" s="35" t="str">
        <f>'NUHM-Non Metro Abst'!A250</f>
        <v>U.16.1.5</v>
      </c>
      <c r="B262" s="35">
        <f>'NUHM-Non Metro Abst'!B250</f>
        <v>0</v>
      </c>
      <c r="C262" s="35" t="str">
        <f>'NUHM-Non Metro Abst'!C250</f>
        <v>Any Other Programme Management Cost</v>
      </c>
      <c r="D262" s="43"/>
      <c r="E262" s="43"/>
      <c r="F262" s="43">
        <f t="shared" si="2"/>
        <v>0</v>
      </c>
      <c r="G262" s="43">
        <f t="shared" si="2"/>
        <v>0</v>
      </c>
      <c r="H262" s="43">
        <f t="shared" si="2"/>
        <v>0</v>
      </c>
      <c r="I262" s="43"/>
      <c r="J262" s="43"/>
      <c r="K262" s="43"/>
      <c r="L262" s="43"/>
      <c r="M262" s="43">
        <f>M263</f>
        <v>0</v>
      </c>
      <c r="N262" s="43"/>
      <c r="O262" s="43"/>
      <c r="P262" s="43">
        <f>P263</f>
        <v>0</v>
      </c>
    </row>
    <row r="263" spans="1:16" ht="25.5" x14ac:dyDescent="0.2">
      <c r="A263" s="4" t="str">
        <f>'NUHM-Non Metro Abst'!A252</f>
        <v>U.16.1.5.1.1</v>
      </c>
      <c r="B263" s="4" t="str">
        <f>'NUHM-Non Metro Abst'!B252</f>
        <v>P.8.3.1</v>
      </c>
      <c r="C263" s="4" t="str">
        <f>'NUHM-Non Metro Abst'!C252</f>
        <v>Hardware &amp; Connectivity</v>
      </c>
      <c r="D263" s="4">
        <f>'NUHM-Non Metro Abst'!E252</f>
        <v>0</v>
      </c>
      <c r="E263" s="4">
        <f>'NUHM-Non Metro Abst'!F252</f>
        <v>0</v>
      </c>
      <c r="F263" s="4">
        <f>'NUHM-Non Metro Abst'!G252</f>
        <v>0</v>
      </c>
      <c r="G263" s="4">
        <f>'NUHM-Non Metro Abst'!H252</f>
        <v>0</v>
      </c>
      <c r="H263" s="4">
        <f>'NUHM-Non Metro Abst'!I252</f>
        <v>0</v>
      </c>
      <c r="I263" s="4">
        <f>'NUHM-Non Metro Abst'!J252</f>
        <v>0</v>
      </c>
      <c r="J263" s="4">
        <f>'NUHM-Non Metro Abst'!K252</f>
        <v>0</v>
      </c>
      <c r="K263" s="4">
        <f>'NUHM-Non Metro Abst'!L252</f>
        <v>0</v>
      </c>
      <c r="L263" s="4">
        <f>'NUHM-Non Metro Abst'!M252</f>
        <v>0</v>
      </c>
      <c r="M263" s="4">
        <f>'NUHM-Non Metro Abst'!N252</f>
        <v>0</v>
      </c>
      <c r="N263" s="8">
        <f>'NUHM-Non Metro Abst'!Q252</f>
        <v>0</v>
      </c>
      <c r="O263" s="8">
        <f>'NUHM-Non Metro Abst'!R252</f>
        <v>0</v>
      </c>
      <c r="P263" s="8">
        <f>'NUHM-Non Metro Abst'!S252</f>
        <v>0</v>
      </c>
    </row>
    <row r="264" spans="1:16" x14ac:dyDescent="0.2">
      <c r="A264" s="33"/>
      <c r="B264" s="33"/>
      <c r="C264" s="33" t="str">
        <f>'NUHM Metro Abst'!C7</f>
        <v>Non-Metro Sub Total</v>
      </c>
      <c r="D264" s="41"/>
      <c r="E264" s="41"/>
      <c r="F264" s="41">
        <f>F265+F280+F288</f>
        <v>280</v>
      </c>
      <c r="G264" s="41">
        <f>G265+G280+G288</f>
        <v>0</v>
      </c>
      <c r="H264" s="41">
        <f>H265+H280+H288</f>
        <v>0</v>
      </c>
      <c r="I264" s="41"/>
      <c r="J264" s="41"/>
      <c r="K264" s="41"/>
      <c r="L264" s="41"/>
      <c r="M264" s="41">
        <f>M265+M280+M288</f>
        <v>0</v>
      </c>
      <c r="N264" s="41"/>
      <c r="O264" s="41"/>
      <c r="P264" s="41">
        <f>P265+P280+P288</f>
        <v>0</v>
      </c>
    </row>
    <row r="265" spans="1:16" x14ac:dyDescent="0.2">
      <c r="A265" s="31" t="str">
        <f>'NUHM Metro Abst'!A70</f>
        <v>U.4</v>
      </c>
      <c r="B265" s="31">
        <f>'NUHM Metro Abst'!B70</f>
        <v>0</v>
      </c>
      <c r="C265" s="31" t="str">
        <f>'NUHM Metro Abst'!C70</f>
        <v>Untied grants</v>
      </c>
      <c r="D265" s="38"/>
      <c r="E265" s="38"/>
      <c r="F265" s="38">
        <f>F266+F273+F277</f>
        <v>0</v>
      </c>
      <c r="G265" s="38">
        <f>G266+G273+G277</f>
        <v>0</v>
      </c>
      <c r="H265" s="38">
        <f>H266+H273+H277</f>
        <v>0</v>
      </c>
      <c r="I265" s="38"/>
      <c r="J265" s="38"/>
      <c r="K265" s="38"/>
      <c r="L265" s="38"/>
      <c r="M265" s="38">
        <f>M266+M273+M277</f>
        <v>0</v>
      </c>
      <c r="N265" s="38"/>
      <c r="O265" s="38"/>
      <c r="P265" s="38">
        <f>P266+P273+P277</f>
        <v>0</v>
      </c>
    </row>
    <row r="266" spans="1:16" x14ac:dyDescent="0.2">
      <c r="A266" s="32" t="str">
        <f>'NUHM Metro Abst'!A71</f>
        <v>U.4.1.1</v>
      </c>
      <c r="B266" s="32" t="str">
        <f>'NUHM Metro Abst'!B71</f>
        <v>P.4.3.1</v>
      </c>
      <c r="C266" s="32" t="str">
        <f>'NUHM Metro Abst'!C71</f>
        <v xml:space="preserve">Untied grants to UPHCs </v>
      </c>
      <c r="D266" s="39"/>
      <c r="E266" s="39"/>
      <c r="F266" s="39">
        <f>SUM(F267:F270)</f>
        <v>0</v>
      </c>
      <c r="G266" s="39">
        <f>SUM(G267:G270)</f>
        <v>0</v>
      </c>
      <c r="H266" s="39">
        <f>SUM(H267:H270)</f>
        <v>0</v>
      </c>
      <c r="I266" s="39"/>
      <c r="J266" s="39"/>
      <c r="K266" s="39"/>
      <c r="L266" s="39"/>
      <c r="M266" s="39">
        <f>SUM(M267:M270)</f>
        <v>0</v>
      </c>
      <c r="N266" s="39"/>
      <c r="O266" s="39"/>
      <c r="P266" s="39">
        <f>SUM(P267:P270)</f>
        <v>0</v>
      </c>
    </row>
    <row r="267" spans="1:16" ht="25.5" x14ac:dyDescent="0.2">
      <c r="A267" s="10" t="str">
        <f>'NUHM Metro Abst'!A72</f>
        <v>U.4.1.1.1</v>
      </c>
      <c r="B267" s="10" t="str">
        <f>'NUHM Metro Abst'!B72</f>
        <v>P.4.3.1.a</v>
      </c>
      <c r="C267" s="4" t="str">
        <f>'NUHM Metro Abst'!C72</f>
        <v>Government Building</v>
      </c>
      <c r="D267" s="10">
        <f>'NUHM Metro Abst'!E72</f>
        <v>0</v>
      </c>
      <c r="E267" s="10">
        <f>'NUHM Metro Abst'!F72</f>
        <v>0</v>
      </c>
      <c r="F267" s="10">
        <f>'NUHM Metro Abst'!G72</f>
        <v>0</v>
      </c>
      <c r="G267" s="10">
        <f>'NUHM Metro Abst'!H72</f>
        <v>0</v>
      </c>
      <c r="H267" s="10">
        <f>'NUHM Metro Abst'!I72</f>
        <v>0</v>
      </c>
      <c r="I267" s="10">
        <f>'NUHM Metro Abst'!J72</f>
        <v>0</v>
      </c>
      <c r="J267" s="10">
        <f>'NUHM Metro Abst'!K72</f>
        <v>0</v>
      </c>
      <c r="K267" s="10">
        <f>'NUHM Metro Abst'!L72</f>
        <v>0</v>
      </c>
      <c r="L267" s="10">
        <f>'NUHM Metro Abst'!M72</f>
        <v>0</v>
      </c>
      <c r="M267" s="10">
        <f>'NUHM Metro Abst'!N72</f>
        <v>0</v>
      </c>
      <c r="N267" s="8">
        <f>'NUHM Metro Abst'!Q72</f>
        <v>0</v>
      </c>
      <c r="O267" s="8">
        <f>'NUHM Metro Abst'!R72</f>
        <v>0</v>
      </c>
      <c r="P267" s="8">
        <f>'NUHM Metro Abst'!S72</f>
        <v>0</v>
      </c>
    </row>
    <row r="268" spans="1:16" ht="25.5" x14ac:dyDescent="0.2">
      <c r="A268" s="10" t="str">
        <f>'NUHM Metro Abst'!A73</f>
        <v>U.4.1.1.2</v>
      </c>
      <c r="B268" s="10" t="str">
        <f>'NUHM Metro Abst'!B73</f>
        <v>P.4.3.1.b</v>
      </c>
      <c r="C268" s="4" t="str">
        <f>'NUHM Metro Abst'!C73</f>
        <v>Rented Building</v>
      </c>
      <c r="D268" s="10">
        <f>'NUHM Metro Abst'!E73</f>
        <v>0</v>
      </c>
      <c r="E268" s="10">
        <f>'NUHM Metro Abst'!F73</f>
        <v>0</v>
      </c>
      <c r="F268" s="10">
        <f>'NUHM Metro Abst'!G73</f>
        <v>0</v>
      </c>
      <c r="G268" s="10">
        <f>'NUHM Metro Abst'!H73</f>
        <v>0</v>
      </c>
      <c r="H268" s="10">
        <f>'NUHM Metro Abst'!I73</f>
        <v>0</v>
      </c>
      <c r="I268" s="10">
        <f>'NUHM Metro Abst'!J73</f>
        <v>0</v>
      </c>
      <c r="J268" s="10">
        <f>'NUHM Metro Abst'!K73</f>
        <v>0</v>
      </c>
      <c r="K268" s="10">
        <f>'NUHM Metro Abst'!L73</f>
        <v>0</v>
      </c>
      <c r="L268" s="10">
        <f>'NUHM Metro Abst'!M73</f>
        <v>0</v>
      </c>
      <c r="M268" s="10">
        <f>'NUHM Metro Abst'!N73</f>
        <v>0</v>
      </c>
      <c r="N268" s="8">
        <f>'NUHM Metro Abst'!Q73</f>
        <v>0</v>
      </c>
      <c r="O268" s="8">
        <f>'NUHM Metro Abst'!R73</f>
        <v>0</v>
      </c>
      <c r="P268" s="8">
        <f>'NUHM Metro Abst'!S73</f>
        <v>0</v>
      </c>
    </row>
    <row r="269" spans="1:16" x14ac:dyDescent="0.2">
      <c r="A269" s="10" t="str">
        <f>'NUHM Metro Abst'!A74</f>
        <v>U.4.1.2</v>
      </c>
      <c r="B269" s="10" t="str">
        <f>'NUHM Metro Abst'!B74</f>
        <v>P.4.3.2</v>
      </c>
      <c r="C269" s="4" t="str">
        <f>'NUHM Metro Abst'!C74</f>
        <v>Untied grants to UCHCs</v>
      </c>
      <c r="D269" s="10">
        <f>'NUHM Metro Abst'!E74</f>
        <v>0</v>
      </c>
      <c r="E269" s="10">
        <f>'NUHM Metro Abst'!F74</f>
        <v>0</v>
      </c>
      <c r="F269" s="10">
        <f>'NUHM Metro Abst'!G74</f>
        <v>0</v>
      </c>
      <c r="G269" s="10">
        <f>'NUHM Metro Abst'!H74</f>
        <v>0</v>
      </c>
      <c r="H269" s="10">
        <f>'NUHM Metro Abst'!I74</f>
        <v>0</v>
      </c>
      <c r="I269" s="10">
        <f>'NUHM Metro Abst'!J74</f>
        <v>0</v>
      </c>
      <c r="J269" s="10">
        <f>'NUHM Metro Abst'!K74</f>
        <v>0</v>
      </c>
      <c r="K269" s="10">
        <f>'NUHM Metro Abst'!L74</f>
        <v>0</v>
      </c>
      <c r="L269" s="10">
        <f>'NUHM Metro Abst'!M74</f>
        <v>0</v>
      </c>
      <c r="M269" s="10">
        <f>'NUHM Metro Abst'!N74</f>
        <v>0</v>
      </c>
      <c r="N269" s="8">
        <f>'NUHM Metro Abst'!Q74</f>
        <v>0</v>
      </c>
      <c r="O269" s="8">
        <f>'NUHM Metro Abst'!R74</f>
        <v>0</v>
      </c>
      <c r="P269" s="8">
        <f>'NUHM Metro Abst'!S74</f>
        <v>0</v>
      </c>
    </row>
    <row r="270" spans="1:16" x14ac:dyDescent="0.2">
      <c r="A270" s="10" t="str">
        <f>'NUHM Metro Abst'!A75</f>
        <v>U.4.1.3</v>
      </c>
      <c r="B270" s="10" t="str">
        <f>'NUHM Metro Abst'!B75</f>
        <v>P.4.3.3</v>
      </c>
      <c r="C270" s="4" t="str">
        <f>'NUHM Metro Abst'!C75</f>
        <v>Untied grants to Maternity Homes</v>
      </c>
      <c r="D270" s="10">
        <f>'NUHM Metro Abst'!E75</f>
        <v>0</v>
      </c>
      <c r="E270" s="10">
        <f>'NUHM Metro Abst'!F75</f>
        <v>0</v>
      </c>
      <c r="F270" s="10">
        <f>'NUHM Metro Abst'!G75</f>
        <v>0</v>
      </c>
      <c r="G270" s="10">
        <f>'NUHM Metro Abst'!H75</f>
        <v>0</v>
      </c>
      <c r="H270" s="10">
        <f>'NUHM Metro Abst'!I75</f>
        <v>0</v>
      </c>
      <c r="I270" s="10">
        <f>'NUHM Metro Abst'!J75</f>
        <v>0</v>
      </c>
      <c r="J270" s="10">
        <f>'NUHM Metro Abst'!K75</f>
        <v>0</v>
      </c>
      <c r="K270" s="10">
        <f>'NUHM Metro Abst'!L75</f>
        <v>0</v>
      </c>
      <c r="L270" s="10">
        <f>'NUHM Metro Abst'!M75</f>
        <v>0</v>
      </c>
      <c r="M270" s="10">
        <f>'NUHM Metro Abst'!N75</f>
        <v>0</v>
      </c>
      <c r="N270" s="8"/>
      <c r="O270" s="8"/>
      <c r="P270" s="8">
        <f>SUM(P271:P272)</f>
        <v>0</v>
      </c>
    </row>
    <row r="271" spans="1:16" x14ac:dyDescent="0.2">
      <c r="A271" s="10" t="str">
        <f>'NUHM Metro Abst'!A76</f>
        <v>U.4.1.4</v>
      </c>
      <c r="B271" s="10" t="str">
        <f>'NUHM Metro Abst'!B76</f>
        <v>P.6.2.1</v>
      </c>
      <c r="C271" s="4" t="str">
        <f>'NUHM Metro Abst'!C76</f>
        <v>Untied grants to MAS</v>
      </c>
      <c r="D271" s="10">
        <f>'NUHM Metro Abst'!E76</f>
        <v>0</v>
      </c>
      <c r="E271" s="10">
        <f>'NUHM Metro Abst'!F76</f>
        <v>0</v>
      </c>
      <c r="F271" s="10">
        <f>'NUHM Metro Abst'!G76</f>
        <v>0</v>
      </c>
      <c r="G271" s="10">
        <f>'NUHM Metro Abst'!H76</f>
        <v>0</v>
      </c>
      <c r="H271" s="10">
        <f>'NUHM Metro Abst'!I76</f>
        <v>0</v>
      </c>
      <c r="I271" s="10">
        <f>'NUHM Metro Abst'!J76</f>
        <v>0</v>
      </c>
      <c r="J271" s="10">
        <f>'NUHM Metro Abst'!K76</f>
        <v>0</v>
      </c>
      <c r="K271" s="10">
        <f>'NUHM Metro Abst'!L76</f>
        <v>0</v>
      </c>
      <c r="L271" s="10">
        <f>'NUHM Metro Abst'!M76</f>
        <v>0</v>
      </c>
      <c r="M271" s="10">
        <f>'NUHM Metro Abst'!N76</f>
        <v>0</v>
      </c>
      <c r="N271" s="8">
        <f>'NUHM Metro Abst'!Q76</f>
        <v>0</v>
      </c>
      <c r="O271" s="8">
        <f>'NUHM Metro Abst'!R76</f>
        <v>0</v>
      </c>
      <c r="P271" s="8">
        <f>'NUHM Metro Abst'!S76</f>
        <v>0</v>
      </c>
    </row>
    <row r="272" spans="1:16" x14ac:dyDescent="0.2">
      <c r="A272" s="10" t="str">
        <f>'NUHM Metro Abst'!A77</f>
        <v>U.5</v>
      </c>
      <c r="B272" s="10">
        <f>'NUHM Metro Abst'!B77</f>
        <v>0</v>
      </c>
      <c r="C272" s="4" t="str">
        <f>'NUHM Metro Abst'!C77</f>
        <v>Infrastructure</v>
      </c>
      <c r="D272" s="10">
        <f>'NUHM Metro Abst'!E77</f>
        <v>0</v>
      </c>
      <c r="E272" s="10">
        <f>'NUHM Metro Abst'!F77</f>
        <v>0</v>
      </c>
      <c r="F272" s="10">
        <f>'NUHM Metro Abst'!G77</f>
        <v>0</v>
      </c>
      <c r="G272" s="10">
        <f>'NUHM Metro Abst'!H77</f>
        <v>0</v>
      </c>
      <c r="H272" s="10">
        <f>'NUHM Metro Abst'!I77</f>
        <v>0</v>
      </c>
      <c r="I272" s="10">
        <f>'NUHM Metro Abst'!J77</f>
        <v>0</v>
      </c>
      <c r="J272" s="10">
        <f>'NUHM Metro Abst'!K77</f>
        <v>0</v>
      </c>
      <c r="K272" s="10">
        <f>'NUHM Metro Abst'!L77</f>
        <v>0</v>
      </c>
      <c r="L272" s="10">
        <f>'NUHM Metro Abst'!M77</f>
        <v>0</v>
      </c>
      <c r="M272" s="10">
        <f>'NUHM Metro Abst'!N77</f>
        <v>0</v>
      </c>
      <c r="N272" s="8">
        <f>'NUHM Metro Abst'!Q77</f>
        <v>0</v>
      </c>
      <c r="O272" s="8">
        <f>'NUHM Metro Abst'!R77</f>
        <v>0</v>
      </c>
      <c r="P272" s="8">
        <f>'NUHM Metro Abst'!S77</f>
        <v>0</v>
      </c>
    </row>
    <row r="273" spans="1:16" x14ac:dyDescent="0.2">
      <c r="A273" s="32" t="str">
        <f>'NUHM Metro Abst'!A78</f>
        <v>U.5.1</v>
      </c>
      <c r="B273" s="32">
        <f>'NUHM Metro Abst'!B78</f>
        <v>0</v>
      </c>
      <c r="C273" s="32" t="str">
        <f>'NUHM Metro Abst'!C78</f>
        <v>Upgradation of existing facilities</v>
      </c>
      <c r="D273" s="39"/>
      <c r="E273" s="39"/>
      <c r="F273" s="39">
        <f>SUM(F274:F276)</f>
        <v>0</v>
      </c>
      <c r="G273" s="39">
        <f>SUM(G274:G276)</f>
        <v>0</v>
      </c>
      <c r="H273" s="39">
        <f>SUM(H274:H276)</f>
        <v>0</v>
      </c>
      <c r="I273" s="39"/>
      <c r="J273" s="39"/>
      <c r="K273" s="39"/>
      <c r="L273" s="39"/>
      <c r="M273" s="39">
        <f>SUM(M274:M276)</f>
        <v>0</v>
      </c>
      <c r="N273" s="39"/>
      <c r="O273" s="39"/>
      <c r="P273" s="39">
        <f>SUM(P274:P276)</f>
        <v>0</v>
      </c>
    </row>
    <row r="274" spans="1:16" x14ac:dyDescent="0.2">
      <c r="A274" s="4" t="str">
        <f>'NUHM Metro Abst'!A79</f>
        <v>U.5.1.1</v>
      </c>
      <c r="B274" s="4" t="str">
        <f>'NUHM Metro Abst'!B79</f>
        <v>P.4.2.2.1</v>
      </c>
      <c r="C274" s="4" t="str">
        <f>'NUHM Metro Abst'!C79</f>
        <v>UPHC</v>
      </c>
      <c r="D274" s="4">
        <f>'NUHM Metro Abst'!E79</f>
        <v>0</v>
      </c>
      <c r="E274" s="4">
        <f>'NUHM Metro Abst'!F79</f>
        <v>0</v>
      </c>
      <c r="F274" s="4">
        <f>'NUHM Metro Abst'!G79</f>
        <v>0</v>
      </c>
      <c r="G274" s="4">
        <f>'NUHM Metro Abst'!H79</f>
        <v>0</v>
      </c>
      <c r="H274" s="4">
        <f>'NUHM Metro Abst'!I79</f>
        <v>0</v>
      </c>
      <c r="I274" s="4">
        <f>'NUHM Metro Abst'!J79</f>
        <v>0</v>
      </c>
      <c r="J274" s="4">
        <f>'NUHM Metro Abst'!K79</f>
        <v>0</v>
      </c>
      <c r="K274" s="4">
        <f>'NUHM Metro Abst'!L79</f>
        <v>0</v>
      </c>
      <c r="L274" s="4">
        <f>'NUHM Metro Abst'!M79</f>
        <v>0</v>
      </c>
      <c r="M274" s="4">
        <f>'NUHM Metro Abst'!N79</f>
        <v>0</v>
      </c>
      <c r="N274" s="4">
        <f>'NUHM Metro Abst'!O79</f>
        <v>0</v>
      </c>
      <c r="O274" s="4">
        <f>'NUHM Metro Abst'!P79</f>
        <v>0</v>
      </c>
      <c r="P274" s="4">
        <f>'NUHM Metro Abst'!Q79</f>
        <v>0</v>
      </c>
    </row>
    <row r="275" spans="1:16" x14ac:dyDescent="0.2">
      <c r="A275" s="4" t="str">
        <f>'NUHM Metro Abst'!A80</f>
        <v>U.5.1.2</v>
      </c>
      <c r="B275" s="4" t="str">
        <f>'NUHM Metro Abst'!B80</f>
        <v>P.4.2.2.2</v>
      </c>
      <c r="C275" s="4" t="str">
        <f>'NUHM Metro Abst'!C80</f>
        <v>UCHC</v>
      </c>
      <c r="D275" s="4">
        <f>'NUHM Metro Abst'!E80</f>
        <v>0</v>
      </c>
      <c r="E275" s="4">
        <f>'NUHM Metro Abst'!F80</f>
        <v>0</v>
      </c>
      <c r="F275" s="4">
        <f>'NUHM Metro Abst'!G80</f>
        <v>0</v>
      </c>
      <c r="G275" s="4">
        <f>'NUHM Metro Abst'!H80</f>
        <v>0</v>
      </c>
      <c r="H275" s="4">
        <f>'NUHM Metro Abst'!I80</f>
        <v>0</v>
      </c>
      <c r="I275" s="4">
        <f>'NUHM Metro Abst'!J80</f>
        <v>0</v>
      </c>
      <c r="J275" s="4">
        <f>'NUHM Metro Abst'!K80</f>
        <v>0</v>
      </c>
      <c r="K275" s="4">
        <f>'NUHM Metro Abst'!L80</f>
        <v>0</v>
      </c>
      <c r="L275" s="4">
        <f>'NUHM Metro Abst'!M80</f>
        <v>0</v>
      </c>
      <c r="M275" s="4">
        <f>'NUHM Metro Abst'!N80</f>
        <v>0</v>
      </c>
      <c r="N275" s="4">
        <f>'NUHM Metro Abst'!O80</f>
        <v>0</v>
      </c>
      <c r="O275" s="4">
        <f>'NUHM Metro Abst'!P80</f>
        <v>0</v>
      </c>
      <c r="P275" s="4">
        <f>'NUHM Metro Abst'!Q80</f>
        <v>0</v>
      </c>
    </row>
    <row r="276" spans="1:16" x14ac:dyDescent="0.2">
      <c r="A276" s="4" t="str">
        <f>'NUHM Metro Abst'!A81</f>
        <v>U.5.1.3</v>
      </c>
      <c r="B276" s="4" t="str">
        <f>'NUHM Metro Abst'!B81</f>
        <v>P.4.2.2.2</v>
      </c>
      <c r="C276" s="4" t="str">
        <f>'NUHM Metro Abst'!C81</f>
        <v>Maternity Homes</v>
      </c>
      <c r="D276" s="4">
        <f>'NUHM Metro Abst'!E81</f>
        <v>0</v>
      </c>
      <c r="E276" s="4">
        <f>'NUHM Metro Abst'!F81</f>
        <v>0</v>
      </c>
      <c r="F276" s="4">
        <f>'NUHM Metro Abst'!G81</f>
        <v>0</v>
      </c>
      <c r="G276" s="4">
        <f>'NUHM Metro Abst'!H81</f>
        <v>0</v>
      </c>
      <c r="H276" s="4">
        <f>'NUHM Metro Abst'!I81</f>
        <v>0</v>
      </c>
      <c r="I276" s="4">
        <f>'NUHM Metro Abst'!J81</f>
        <v>0</v>
      </c>
      <c r="J276" s="4">
        <f>'NUHM Metro Abst'!K81</f>
        <v>0</v>
      </c>
      <c r="K276" s="4">
        <f>'NUHM Metro Abst'!L81</f>
        <v>0</v>
      </c>
      <c r="L276" s="4">
        <f>'NUHM Metro Abst'!M81</f>
        <v>0</v>
      </c>
      <c r="M276" s="4">
        <f>'NUHM Metro Abst'!N81</f>
        <v>0</v>
      </c>
      <c r="N276" s="4">
        <f>'NUHM Metro Abst'!O81</f>
        <v>0</v>
      </c>
      <c r="O276" s="4">
        <f>'NUHM Metro Abst'!P81</f>
        <v>0</v>
      </c>
      <c r="P276" s="4">
        <f>'NUHM Metro Abst'!Q81</f>
        <v>0</v>
      </c>
    </row>
    <row r="277" spans="1:16" x14ac:dyDescent="0.2">
      <c r="A277" s="32" t="str">
        <f>'NUHM Metro Abst'!A82</f>
        <v>U.5.1.4</v>
      </c>
      <c r="B277" s="32" t="str">
        <f>'NUHM Metro Abst'!B82</f>
        <v>P.4.2.3.1</v>
      </c>
      <c r="C277" s="32" t="str">
        <f>'NUHM Metro Abst'!C82</f>
        <v>Rent for UPHC</v>
      </c>
      <c r="D277" s="39"/>
      <c r="E277" s="39"/>
      <c r="F277" s="39">
        <f>SUM(F278:F279)</f>
        <v>0</v>
      </c>
      <c r="G277" s="39">
        <f>SUM(G278:G279)</f>
        <v>0</v>
      </c>
      <c r="H277" s="39">
        <f>SUM(H278:H279)</f>
        <v>0</v>
      </c>
      <c r="I277" s="39"/>
      <c r="J277" s="39"/>
      <c r="K277" s="39"/>
      <c r="L277" s="39"/>
      <c r="M277" s="39">
        <f>SUM(M278:M279)</f>
        <v>0</v>
      </c>
      <c r="N277" s="39"/>
      <c r="O277" s="39"/>
      <c r="P277" s="39">
        <f>SUM(P278:P279)</f>
        <v>0</v>
      </c>
    </row>
    <row r="278" spans="1:16" x14ac:dyDescent="0.2">
      <c r="A278" s="4" t="str">
        <f>'NUHM Metro Abst'!A83</f>
        <v>U.5.1.5</v>
      </c>
      <c r="B278" s="4">
        <f>'NUHM Metro Abst'!B83</f>
        <v>0</v>
      </c>
      <c r="C278" s="4" t="str">
        <f>'NUHM Metro Abst'!C83</f>
        <v>Any other (please specify)</v>
      </c>
      <c r="D278" s="4">
        <f>'NUHM Metro Abst'!E83</f>
        <v>0</v>
      </c>
      <c r="E278" s="4">
        <f>'NUHM Metro Abst'!F83</f>
        <v>0</v>
      </c>
      <c r="F278" s="4">
        <f>'NUHM Metro Abst'!G83</f>
        <v>0</v>
      </c>
      <c r="G278" s="4">
        <f>'NUHM Metro Abst'!H83</f>
        <v>0</v>
      </c>
      <c r="H278" s="4">
        <f>'NUHM Metro Abst'!I83</f>
        <v>0</v>
      </c>
      <c r="I278" s="4">
        <f>'NUHM Metro Abst'!J83</f>
        <v>0</v>
      </c>
      <c r="J278" s="4">
        <f>'NUHM Metro Abst'!K83</f>
        <v>0</v>
      </c>
      <c r="K278" s="4">
        <f>'NUHM Metro Abst'!L83</f>
        <v>0</v>
      </c>
      <c r="L278" s="4">
        <f>'NUHM Metro Abst'!M83</f>
        <v>0</v>
      </c>
      <c r="M278" s="4">
        <f>'NUHM Metro Abst'!N83</f>
        <v>0</v>
      </c>
      <c r="N278" s="4">
        <f>'NUHM Metro Abst'!O83</f>
        <v>0</v>
      </c>
      <c r="O278" s="4">
        <f>'NUHM Metro Abst'!P83</f>
        <v>0</v>
      </c>
      <c r="P278" s="4">
        <f>'NUHM Metro Abst'!Q83</f>
        <v>0</v>
      </c>
    </row>
    <row r="279" spans="1:16" x14ac:dyDescent="0.2">
      <c r="A279" s="4" t="str">
        <f>'NUHM Metro Abst'!A84</f>
        <v>U.5.2</v>
      </c>
      <c r="B279" s="4">
        <f>'NUHM Metro Abst'!B84</f>
        <v>0</v>
      </c>
      <c r="C279" s="4" t="str">
        <f>'NUHM Metro Abst'!C84</f>
        <v xml:space="preserve">New Constructions </v>
      </c>
      <c r="D279" s="4">
        <f>'NUHM Metro Abst'!E84</f>
        <v>0</v>
      </c>
      <c r="E279" s="4">
        <f>'NUHM Metro Abst'!F84</f>
        <v>0</v>
      </c>
      <c r="F279" s="4">
        <f>'NUHM Metro Abst'!G84</f>
        <v>0</v>
      </c>
      <c r="G279" s="4">
        <f>'NUHM Metro Abst'!H84</f>
        <v>0</v>
      </c>
      <c r="H279" s="4">
        <f>'NUHM Metro Abst'!I84</f>
        <v>0</v>
      </c>
      <c r="I279" s="4">
        <f>'NUHM Metro Abst'!J84</f>
        <v>0</v>
      </c>
      <c r="J279" s="4">
        <f>'NUHM Metro Abst'!K84</f>
        <v>0</v>
      </c>
      <c r="K279" s="4">
        <f>'NUHM Metro Abst'!L84</f>
        <v>0</v>
      </c>
      <c r="L279" s="4">
        <f>'NUHM Metro Abst'!M84</f>
        <v>0</v>
      </c>
      <c r="M279" s="4">
        <f>'NUHM Metro Abst'!N84</f>
        <v>0</v>
      </c>
      <c r="N279" s="4">
        <f>'NUHM Metro Abst'!O84</f>
        <v>0</v>
      </c>
      <c r="O279" s="4">
        <f>'NUHM Metro Abst'!P84</f>
        <v>0</v>
      </c>
      <c r="P279" s="4">
        <f>'NUHM Metro Abst'!Q84</f>
        <v>0</v>
      </c>
    </row>
    <row r="280" spans="1:16" x14ac:dyDescent="0.2">
      <c r="A280" s="31" t="str">
        <f>'NUHM Metro Abst'!A85</f>
        <v>U.5.2.1</v>
      </c>
      <c r="B280" s="31" t="str">
        <f>'NUHM Metro Abst'!B85</f>
        <v>P.4.2.1.1</v>
      </c>
      <c r="C280" s="31" t="str">
        <f>'NUHM Metro Abst'!C85</f>
        <v>UPHC</v>
      </c>
      <c r="D280" s="38"/>
      <c r="E280" s="38"/>
      <c r="F280" s="38">
        <f>F281+F286</f>
        <v>280</v>
      </c>
      <c r="G280" s="38">
        <f>G281+G286</f>
        <v>0</v>
      </c>
      <c r="H280" s="38">
        <f>H281+H286</f>
        <v>0</v>
      </c>
      <c r="I280" s="38"/>
      <c r="J280" s="38"/>
      <c r="K280" s="38"/>
      <c r="L280" s="38"/>
      <c r="M280" s="38">
        <f>M281+M286</f>
        <v>0</v>
      </c>
      <c r="N280" s="38"/>
      <c r="O280" s="38"/>
      <c r="P280" s="38">
        <f>P281+P286</f>
        <v>0</v>
      </c>
    </row>
    <row r="281" spans="1:16" x14ac:dyDescent="0.2">
      <c r="A281" s="32" t="str">
        <f>'NUHM Metro Abst'!A86</f>
        <v>U.5.2.2</v>
      </c>
      <c r="B281" s="32" t="str">
        <f>'NUHM Metro Abst'!B86</f>
        <v>P.4.2.1.2</v>
      </c>
      <c r="C281" s="32" t="str">
        <f>'NUHM Metro Abst'!C86</f>
        <v>UCHC</v>
      </c>
      <c r="D281" s="39"/>
      <c r="E281" s="39"/>
      <c r="F281" s="39">
        <f>SUM(F282:F285)</f>
        <v>280</v>
      </c>
      <c r="G281" s="39">
        <f>SUM(G282:G285)</f>
        <v>0</v>
      </c>
      <c r="H281" s="39">
        <f>SUM(H282:H285)</f>
        <v>0</v>
      </c>
      <c r="I281" s="39"/>
      <c r="J281" s="39"/>
      <c r="K281" s="39"/>
      <c r="L281" s="39"/>
      <c r="M281" s="39">
        <f>SUM(M282:M285)</f>
        <v>0</v>
      </c>
      <c r="N281" s="39"/>
      <c r="O281" s="39"/>
      <c r="P281" s="39">
        <f>SUM(P282:P285)</f>
        <v>0</v>
      </c>
    </row>
    <row r="282" spans="1:16" x14ac:dyDescent="0.2">
      <c r="A282" s="46" t="str">
        <f>'NUHM Metro Abst'!A87</f>
        <v>U.5.2.3</v>
      </c>
      <c r="B282" s="46" t="str">
        <f>'NUHM Metro Abst'!B87</f>
        <v>P.4.2.1.3</v>
      </c>
      <c r="C282" s="46" t="str">
        <f>'NUHM Metro Abst'!C87</f>
        <v>Health Kiosk (for establishment)</v>
      </c>
      <c r="D282" s="46">
        <f>'NUHM Metro Abst'!E87</f>
        <v>0</v>
      </c>
      <c r="E282" s="46">
        <f>'NUHM Metro Abst'!F87</f>
        <v>0</v>
      </c>
      <c r="F282" s="46">
        <f>'NUHM Metro Abst'!G87</f>
        <v>0</v>
      </c>
      <c r="G282" s="46">
        <f>'NUHM Metro Abst'!H87</f>
        <v>0</v>
      </c>
      <c r="H282" s="46">
        <f>'NUHM Metro Abst'!I87</f>
        <v>0</v>
      </c>
      <c r="I282" s="46">
        <f>'NUHM Metro Abst'!J87</f>
        <v>0</v>
      </c>
      <c r="J282" s="46">
        <f>'NUHM Metro Abst'!K87</f>
        <v>0</v>
      </c>
      <c r="K282" s="46">
        <f>'NUHM Metro Abst'!L87</f>
        <v>0</v>
      </c>
      <c r="L282" s="46">
        <f>'NUHM Metro Abst'!M87</f>
        <v>0</v>
      </c>
      <c r="M282" s="46">
        <f>'NUHM Metro Abst'!N87</f>
        <v>0</v>
      </c>
      <c r="N282" s="46">
        <f>'NUHM Metro Abst'!O87</f>
        <v>0</v>
      </c>
      <c r="O282" s="46">
        <f>'NUHM Metro Abst'!P87</f>
        <v>0</v>
      </c>
      <c r="P282" s="46">
        <f>'NUHM Metro Abst'!Q87</f>
        <v>0</v>
      </c>
    </row>
    <row r="283" spans="1:16" x14ac:dyDescent="0.2">
      <c r="A283" s="46" t="str">
        <f>'NUHM Metro Abst'!A88</f>
        <v>U.5.3</v>
      </c>
      <c r="B283" s="46">
        <f>'NUHM Metro Abst'!B88</f>
        <v>0</v>
      </c>
      <c r="C283" s="46" t="str">
        <f>'NUHM Metro Abst'!C88</f>
        <v>Other construction/ Civil works</v>
      </c>
      <c r="D283" s="46">
        <f>'NUHM Metro Abst'!E88</f>
        <v>0</v>
      </c>
      <c r="E283" s="46">
        <f>'NUHM Metro Abst'!F88</f>
        <v>0</v>
      </c>
      <c r="F283" s="46">
        <f>'NUHM Metro Abst'!G88</f>
        <v>140</v>
      </c>
      <c r="G283" s="46">
        <f>'NUHM Metro Abst'!H88</f>
        <v>0</v>
      </c>
      <c r="H283" s="46">
        <f>'NUHM Metro Abst'!I88</f>
        <v>0</v>
      </c>
      <c r="I283" s="46">
        <f>'NUHM Metro Abst'!J88</f>
        <v>0</v>
      </c>
      <c r="J283" s="46">
        <f>'NUHM Metro Abst'!K88</f>
        <v>0</v>
      </c>
      <c r="K283" s="46">
        <f>'NUHM Metro Abst'!L88</f>
        <v>0</v>
      </c>
      <c r="L283" s="46">
        <f>'NUHM Metro Abst'!M88</f>
        <v>0</v>
      </c>
      <c r="M283" s="46">
        <f>'NUHM Metro Abst'!N88</f>
        <v>0</v>
      </c>
      <c r="N283" s="46">
        <f>'NUHM Metro Abst'!O88</f>
        <v>0</v>
      </c>
      <c r="O283" s="46">
        <f>'NUHM Metro Abst'!P88</f>
        <v>0</v>
      </c>
      <c r="P283" s="46">
        <f>'NUHM Metro Abst'!Q88</f>
        <v>0</v>
      </c>
    </row>
    <row r="284" spans="1:16" ht="25.5" x14ac:dyDescent="0.2">
      <c r="A284" s="46" t="str">
        <f>'NUHM Metro Abst'!A89</f>
        <v>U.5.3.1</v>
      </c>
      <c r="B284" s="46">
        <f>'NUHM Metro Abst'!B89</f>
        <v>0</v>
      </c>
      <c r="C284" s="46" t="str">
        <f>'NUHM Metro Abst'!C89</f>
        <v>Infrastructure strengthening of UPHC to H&amp;WC</v>
      </c>
      <c r="D284" s="46">
        <f>'NUHM Metro Abst'!E89</f>
        <v>140</v>
      </c>
      <c r="E284" s="46">
        <f>'NUHM Metro Abst'!F89</f>
        <v>140</v>
      </c>
      <c r="F284" s="46">
        <f>'NUHM Metro Abst'!G89</f>
        <v>140</v>
      </c>
      <c r="G284" s="46">
        <f>'NUHM Metro Abst'!H89</f>
        <v>0</v>
      </c>
      <c r="H284" s="46">
        <f>'NUHM Metro Abst'!I89</f>
        <v>0</v>
      </c>
      <c r="I284" s="46">
        <f>'NUHM Metro Abst'!J89</f>
        <v>0</v>
      </c>
      <c r="J284" s="46">
        <f>'NUHM Metro Abst'!K89</f>
        <v>0</v>
      </c>
      <c r="K284" s="46">
        <f>'NUHM Metro Abst'!L89</f>
        <v>0</v>
      </c>
      <c r="L284" s="46">
        <f>'NUHM Metro Abst'!M89</f>
        <v>0</v>
      </c>
      <c r="M284" s="46">
        <f>'NUHM Metro Abst'!N89</f>
        <v>0</v>
      </c>
      <c r="N284" s="46">
        <f>'NUHM Metro Abst'!O89</f>
        <v>0</v>
      </c>
      <c r="O284" s="46">
        <f>'NUHM Metro Abst'!P89</f>
        <v>0</v>
      </c>
      <c r="P284" s="46">
        <f>'NUHM Metro Abst'!Q89</f>
        <v>0</v>
      </c>
    </row>
    <row r="285" spans="1:16" x14ac:dyDescent="0.2">
      <c r="A285" s="46" t="str">
        <f>'NUHM Metro Abst'!A90</f>
        <v>U.5.3.2</v>
      </c>
      <c r="B285" s="46">
        <f>'NUHM Metro Abst'!B90</f>
        <v>0</v>
      </c>
      <c r="C285" s="46" t="str">
        <f>'NUHM Metro Abst'!C90</f>
        <v>Any Other (please specify)</v>
      </c>
      <c r="D285" s="46">
        <f>'NUHM Metro Abst'!E90</f>
        <v>0</v>
      </c>
      <c r="E285" s="46">
        <f>'NUHM Metro Abst'!F90</f>
        <v>0</v>
      </c>
      <c r="F285" s="46">
        <f>'NUHM Metro Abst'!G90</f>
        <v>0</v>
      </c>
      <c r="G285" s="46">
        <f>'NUHM Metro Abst'!H90</f>
        <v>0</v>
      </c>
      <c r="H285" s="46">
        <f>'NUHM Metro Abst'!I90</f>
        <v>0</v>
      </c>
      <c r="I285" s="46">
        <f>'NUHM Metro Abst'!J90</f>
        <v>0</v>
      </c>
      <c r="J285" s="46">
        <f>'NUHM Metro Abst'!K90</f>
        <v>0</v>
      </c>
      <c r="K285" s="46">
        <f>'NUHM Metro Abst'!L90</f>
        <v>0</v>
      </c>
      <c r="L285" s="46">
        <f>'NUHM Metro Abst'!M90</f>
        <v>0</v>
      </c>
      <c r="M285" s="46">
        <f>'NUHM Metro Abst'!N90</f>
        <v>0</v>
      </c>
      <c r="N285" s="46">
        <f>'NUHM Metro Abst'!O90</f>
        <v>0</v>
      </c>
      <c r="O285" s="46">
        <f>'NUHM Metro Abst'!P90</f>
        <v>0</v>
      </c>
      <c r="P285" s="46">
        <f>'NUHM Metro Abst'!Q90</f>
        <v>0</v>
      </c>
    </row>
    <row r="286" spans="1:16" ht="25.5" x14ac:dyDescent="0.2">
      <c r="A286" s="32" t="str">
        <f>'NUHM Metro Abst'!A110</f>
        <v>U.6.2.2.2</v>
      </c>
      <c r="B286" s="32" t="str">
        <f>'NUHM Metro Abst'!B110</f>
        <v>P.6.1.4</v>
      </c>
      <c r="C286" s="32" t="str">
        <f>'NUHM Metro Abst'!C110</f>
        <v>HBNC Kits and HBYC-ECD kit</v>
      </c>
      <c r="D286" s="39"/>
      <c r="E286" s="39"/>
      <c r="F286" s="39">
        <f>F287</f>
        <v>0</v>
      </c>
      <c r="G286" s="39">
        <f>G287</f>
        <v>0</v>
      </c>
      <c r="H286" s="39">
        <f>H287</f>
        <v>0</v>
      </c>
      <c r="I286" s="39"/>
      <c r="J286" s="39"/>
      <c r="K286" s="39"/>
      <c r="L286" s="39"/>
      <c r="M286" s="39">
        <f>M287</f>
        <v>0</v>
      </c>
      <c r="N286" s="39"/>
      <c r="O286" s="39"/>
      <c r="P286" s="39">
        <f>P287</f>
        <v>0</v>
      </c>
    </row>
    <row r="287" spans="1:16" ht="25.5" x14ac:dyDescent="0.2">
      <c r="A287" s="4" t="str">
        <f>'NUHM Metro Abst'!A111</f>
        <v>U.6.2.3</v>
      </c>
      <c r="B287" s="4" t="str">
        <f>'NUHM Metro Abst'!B111</f>
        <v>P.4.4.1.4</v>
      </c>
      <c r="C287" s="4" t="str">
        <f>'NUHM Metro Abst'!C111</f>
        <v>Any other drugs &amp; supplies (please specify)</v>
      </c>
      <c r="D287" s="4">
        <f>'NUHM Metro Abst'!E111</f>
        <v>0</v>
      </c>
      <c r="E287" s="4">
        <f>'NUHM Metro Abst'!F111</f>
        <v>0</v>
      </c>
      <c r="F287" s="4">
        <f>'NUHM Metro Abst'!G111</f>
        <v>0</v>
      </c>
      <c r="G287" s="4">
        <f>'NUHM Metro Abst'!H111</f>
        <v>0</v>
      </c>
      <c r="H287" s="4">
        <f>'NUHM Metro Abst'!I111</f>
        <v>0</v>
      </c>
      <c r="I287" s="4">
        <f>'NUHM Metro Abst'!J111</f>
        <v>0</v>
      </c>
      <c r="J287" s="4">
        <f>'NUHM Metro Abst'!K111</f>
        <v>0</v>
      </c>
      <c r="K287" s="4">
        <f>'NUHM Metro Abst'!L111</f>
        <v>0</v>
      </c>
      <c r="L287" s="4">
        <f>'NUHM Metro Abst'!M111</f>
        <v>0</v>
      </c>
      <c r="M287" s="4">
        <f>'NUHM Metro Abst'!N111</f>
        <v>0</v>
      </c>
      <c r="N287" s="4">
        <f>'NUHM Metro Abst'!O111</f>
        <v>0</v>
      </c>
      <c r="O287" s="4">
        <f>'NUHM Metro Abst'!P111</f>
        <v>0</v>
      </c>
      <c r="P287" s="4">
        <f>'NUHM Metro Abst'!Q111</f>
        <v>0</v>
      </c>
    </row>
    <row r="288" spans="1:16" ht="25.5" x14ac:dyDescent="0.2">
      <c r="A288" s="31" t="str">
        <f>'NUHM Metro Abst'!A236</f>
        <v>U.16.1.2.2.1</v>
      </c>
      <c r="B288" s="31">
        <f>'NUHM Metro Abst'!B236</f>
        <v>0</v>
      </c>
      <c r="C288" s="31" t="str">
        <f>'NUHM Metro Abst'!C236</f>
        <v>Review meetings</v>
      </c>
      <c r="D288" s="38"/>
      <c r="E288" s="38"/>
      <c r="F288" s="38">
        <f>F289</f>
        <v>0</v>
      </c>
      <c r="G288" s="38">
        <f>G289</f>
        <v>0</v>
      </c>
      <c r="H288" s="38">
        <f>H289</f>
        <v>0</v>
      </c>
      <c r="I288" s="38"/>
      <c r="J288" s="38"/>
      <c r="K288" s="38"/>
      <c r="L288" s="38"/>
      <c r="M288" s="38">
        <f>M289</f>
        <v>0</v>
      </c>
      <c r="N288" s="38"/>
      <c r="O288" s="38"/>
      <c r="P288" s="38">
        <f>P289</f>
        <v>0</v>
      </c>
    </row>
    <row r="289" spans="1:16" x14ac:dyDescent="0.2">
      <c r="A289" s="47" t="str">
        <f>'NUHM Metro Abst'!A256</f>
        <v>U.16.3</v>
      </c>
      <c r="B289" s="46">
        <f>'NUHM Metro Abst'!B256</f>
        <v>0</v>
      </c>
      <c r="C289" s="46" t="str">
        <f>'NUHM Metro Abst'!C256</f>
        <v>HMIS &amp; MCTS</v>
      </c>
      <c r="D289" s="47">
        <f>'NUHM Metro Abst'!E256</f>
        <v>0</v>
      </c>
      <c r="E289" s="47">
        <f>'NUHM Metro Abst'!F256</f>
        <v>0</v>
      </c>
      <c r="F289" s="47">
        <f>'NUHM Metro Abst'!G256</f>
        <v>0</v>
      </c>
      <c r="G289" s="47">
        <f>'NUHM Metro Abst'!H256</f>
        <v>0</v>
      </c>
      <c r="H289" s="47">
        <f>'NUHM Metro Abst'!I256</f>
        <v>0</v>
      </c>
      <c r="I289" s="47">
        <f>'NUHM Metro Abst'!J256</f>
        <v>0</v>
      </c>
      <c r="J289" s="47">
        <f>'NUHM Metro Abst'!K256</f>
        <v>0</v>
      </c>
      <c r="K289" s="47">
        <f>'NUHM Metro Abst'!L256</f>
        <v>0</v>
      </c>
      <c r="L289" s="47">
        <f>'NUHM Metro Abst'!M256</f>
        <v>0</v>
      </c>
      <c r="M289" s="47">
        <f>'NUHM Metro Abst'!N256</f>
        <v>0</v>
      </c>
      <c r="N289" s="47">
        <f>'NUHM Metro Abst'!O256</f>
        <v>0</v>
      </c>
      <c r="O289" s="47" t="str">
        <f>'NUHM Metro Abst'!P256</f>
        <v>Not Applicable</v>
      </c>
      <c r="P289" s="47">
        <f>'NUHM Metro Abst'!Q256</f>
        <v>0</v>
      </c>
    </row>
    <row r="290" spans="1:16" x14ac:dyDescent="0.2">
      <c r="A290" s="47" t="str">
        <f>'NUHM Metro Abst'!A257</f>
        <v>U.16.4</v>
      </c>
      <c r="B290" s="46">
        <f>'NUHM Metro Abst'!B257</f>
        <v>0</v>
      </c>
      <c r="C290" s="46" t="str">
        <f>'NUHM Metro Abst'!C257</f>
        <v>Human Resources</v>
      </c>
      <c r="D290" s="47">
        <f>'NUHM Metro Abst'!E257</f>
        <v>0</v>
      </c>
      <c r="E290" s="47">
        <f>'NUHM Metro Abst'!F257</f>
        <v>0</v>
      </c>
      <c r="F290" s="47">
        <f>'NUHM Metro Abst'!G257</f>
        <v>0</v>
      </c>
      <c r="G290" s="47">
        <f>'NUHM Metro Abst'!H257</f>
        <v>0</v>
      </c>
      <c r="H290" s="47">
        <f>'NUHM Metro Abst'!I257</f>
        <v>0</v>
      </c>
      <c r="I290" s="47">
        <f>'NUHM Metro Abst'!J257</f>
        <v>0</v>
      </c>
      <c r="J290" s="47">
        <f>'NUHM Metro Abst'!K257</f>
        <v>0</v>
      </c>
      <c r="K290" s="47">
        <f>'NUHM Metro Abst'!L257</f>
        <v>0</v>
      </c>
      <c r="L290" s="47">
        <f>'NUHM Metro Abst'!M257</f>
        <v>0</v>
      </c>
      <c r="M290" s="47">
        <f>'NUHM Metro Abst'!N257</f>
        <v>0</v>
      </c>
      <c r="N290" s="47">
        <f>'NUHM Metro Abst'!O257</f>
        <v>0</v>
      </c>
      <c r="O290" s="47">
        <f>'NUHM Metro Abst'!P257</f>
        <v>0</v>
      </c>
      <c r="P290" s="47">
        <f>'NUHM Metro Abst'!Q257</f>
        <v>0</v>
      </c>
    </row>
    <row r="291" spans="1:16" ht="25.5" x14ac:dyDescent="0.2">
      <c r="A291" s="47" t="str">
        <f>'NUHM Metro Abst'!A258</f>
        <v>U.16.4.1</v>
      </c>
      <c r="B291" s="46" t="str">
        <f>'NUHM Metro Abst'!B258</f>
        <v>P.2.1</v>
      </c>
      <c r="C291" s="46" t="str">
        <f>'NUHM Metro Abst'!C258</f>
        <v>State PMU</v>
      </c>
      <c r="D291" s="47">
        <f>'NUHM Metro Abst'!E258</f>
        <v>0</v>
      </c>
      <c r="E291" s="47">
        <f>'NUHM Metro Abst'!F258</f>
        <v>0</v>
      </c>
      <c r="F291" s="47">
        <f>'NUHM Metro Abst'!G258</f>
        <v>0</v>
      </c>
      <c r="G291" s="47">
        <f>'NUHM Metro Abst'!H258</f>
        <v>0</v>
      </c>
      <c r="H291" s="47">
        <f>'NUHM Metro Abst'!I258</f>
        <v>0</v>
      </c>
      <c r="I291" s="47">
        <f>'NUHM Metro Abst'!J258</f>
        <v>0</v>
      </c>
      <c r="J291" s="47">
        <f>'NUHM Metro Abst'!K258</f>
        <v>0</v>
      </c>
      <c r="K291" s="47">
        <f>'NUHM Metro Abst'!L258</f>
        <v>0</v>
      </c>
      <c r="L291" s="47">
        <f>'NUHM Metro Abst'!M258</f>
        <v>0</v>
      </c>
      <c r="M291" s="47">
        <f>'NUHM Metro Abst'!N258</f>
        <v>0</v>
      </c>
      <c r="N291" s="47">
        <f>'NUHM Metro Abst'!O258</f>
        <v>0</v>
      </c>
      <c r="O291" s="47" t="str">
        <f>'NUHM Metro Abst'!P258</f>
        <v>Not Applicable</v>
      </c>
      <c r="P291" s="47">
        <f>'NUHM Metro Abst'!Q258</f>
        <v>0</v>
      </c>
    </row>
    <row r="292" spans="1:16" x14ac:dyDescent="0.2">
      <c r="A292" s="6"/>
    </row>
    <row r="293" spans="1:16" x14ac:dyDescent="0.2">
      <c r="A293" s="6"/>
    </row>
    <row r="294" spans="1:16" x14ac:dyDescent="0.2">
      <c r="A294" s="6"/>
    </row>
    <row r="295" spans="1:16" x14ac:dyDescent="0.2">
      <c r="A295" s="6"/>
    </row>
    <row r="296" spans="1:16" x14ac:dyDescent="0.2">
      <c r="A296" s="6"/>
    </row>
    <row r="297" spans="1:16" x14ac:dyDescent="0.2">
      <c r="A297" s="6"/>
    </row>
    <row r="298" spans="1:16" x14ac:dyDescent="0.2">
      <c r="A298" s="6"/>
    </row>
    <row r="299" spans="1:16" x14ac:dyDescent="0.2">
      <c r="A299" s="6"/>
    </row>
    <row r="300" spans="1:16" x14ac:dyDescent="0.2">
      <c r="A300" s="6"/>
    </row>
    <row r="301" spans="1:16" x14ac:dyDescent="0.2">
      <c r="A301" s="6"/>
    </row>
    <row r="302" spans="1:16" x14ac:dyDescent="0.2">
      <c r="A302" s="6"/>
    </row>
    <row r="303" spans="1:16" x14ac:dyDescent="0.2">
      <c r="A303" s="6"/>
    </row>
    <row r="304" spans="1:16" x14ac:dyDescent="0.2">
      <c r="A304" s="6"/>
    </row>
    <row r="305" spans="1:1" x14ac:dyDescent="0.2">
      <c r="A305" s="6"/>
    </row>
    <row r="306" spans="1:1" x14ac:dyDescent="0.2">
      <c r="A306" s="6"/>
    </row>
    <row r="307" spans="1:1" x14ac:dyDescent="0.2">
      <c r="A307" s="6"/>
    </row>
    <row r="308" spans="1:1" x14ac:dyDescent="0.2">
      <c r="A308" s="6"/>
    </row>
    <row r="309" spans="1:1" x14ac:dyDescent="0.2">
      <c r="A309" s="6"/>
    </row>
    <row r="310" spans="1:1" x14ac:dyDescent="0.2">
      <c r="A310" s="6"/>
    </row>
    <row r="311" spans="1:1" x14ac:dyDescent="0.2">
      <c r="A311" s="6"/>
    </row>
    <row r="312" spans="1:1" x14ac:dyDescent="0.2">
      <c r="A312" s="6"/>
    </row>
    <row r="313" spans="1:1" x14ac:dyDescent="0.2">
      <c r="A313" s="6"/>
    </row>
    <row r="314" spans="1:1" x14ac:dyDescent="0.2">
      <c r="A314" s="6"/>
    </row>
    <row r="315" spans="1:1" x14ac:dyDescent="0.2">
      <c r="A315" s="6"/>
    </row>
    <row r="316" spans="1:1" x14ac:dyDescent="0.2">
      <c r="A316" s="6"/>
    </row>
    <row r="317" spans="1:1" x14ac:dyDescent="0.2">
      <c r="A317" s="6"/>
    </row>
    <row r="318" spans="1:1" x14ac:dyDescent="0.2">
      <c r="A318" s="6"/>
    </row>
    <row r="319" spans="1:1" x14ac:dyDescent="0.2">
      <c r="A319" s="6"/>
    </row>
    <row r="320" spans="1:1" x14ac:dyDescent="0.2">
      <c r="A320" s="6"/>
    </row>
    <row r="321" spans="1:1" x14ac:dyDescent="0.2">
      <c r="A321" s="6"/>
    </row>
    <row r="322" spans="1:1" x14ac:dyDescent="0.2">
      <c r="A322" s="6"/>
    </row>
    <row r="323" spans="1:1" x14ac:dyDescent="0.2">
      <c r="A323" s="6"/>
    </row>
    <row r="324" spans="1:1" x14ac:dyDescent="0.2">
      <c r="A324" s="6"/>
    </row>
    <row r="325" spans="1:1" x14ac:dyDescent="0.2">
      <c r="A325" s="6"/>
    </row>
    <row r="326" spans="1:1" x14ac:dyDescent="0.2">
      <c r="A326" s="6"/>
    </row>
    <row r="327" spans="1:1" x14ac:dyDescent="0.2">
      <c r="A327" s="6"/>
    </row>
    <row r="328" spans="1:1" x14ac:dyDescent="0.2">
      <c r="A328" s="6"/>
    </row>
    <row r="329" spans="1:1" x14ac:dyDescent="0.2">
      <c r="A329" s="6"/>
    </row>
    <row r="330" spans="1:1" x14ac:dyDescent="0.2">
      <c r="A330" s="6"/>
    </row>
    <row r="331" spans="1:1" x14ac:dyDescent="0.2">
      <c r="A331" s="6"/>
    </row>
    <row r="332" spans="1:1" x14ac:dyDescent="0.2">
      <c r="A332" s="6"/>
    </row>
    <row r="333" spans="1:1" x14ac:dyDescent="0.2">
      <c r="A333" s="6"/>
    </row>
    <row r="334" spans="1:1" x14ac:dyDescent="0.2">
      <c r="A334" s="6"/>
    </row>
    <row r="335" spans="1:1" x14ac:dyDescent="0.2">
      <c r="A335" s="6"/>
    </row>
    <row r="336" spans="1:1" x14ac:dyDescent="0.2">
      <c r="A336" s="6"/>
    </row>
    <row r="337" spans="1:1" x14ac:dyDescent="0.2">
      <c r="A337" s="6"/>
    </row>
    <row r="338" spans="1:1" x14ac:dyDescent="0.2">
      <c r="A338" s="6"/>
    </row>
    <row r="339" spans="1:1" x14ac:dyDescent="0.2">
      <c r="A339" s="6"/>
    </row>
    <row r="340" spans="1:1" x14ac:dyDescent="0.2">
      <c r="A340" s="6"/>
    </row>
    <row r="341" spans="1:1" x14ac:dyDescent="0.2">
      <c r="A341" s="6"/>
    </row>
    <row r="342" spans="1:1" x14ac:dyDescent="0.2">
      <c r="A342" s="6"/>
    </row>
    <row r="343" spans="1:1" x14ac:dyDescent="0.2">
      <c r="A343" s="6"/>
    </row>
    <row r="344" spans="1:1" x14ac:dyDescent="0.2">
      <c r="A344" s="6"/>
    </row>
    <row r="345" spans="1:1" x14ac:dyDescent="0.2">
      <c r="A345" s="6"/>
    </row>
    <row r="346" spans="1:1" x14ac:dyDescent="0.2">
      <c r="A346" s="6"/>
    </row>
    <row r="347" spans="1:1" x14ac:dyDescent="0.2">
      <c r="A347" s="6"/>
    </row>
    <row r="348" spans="1:1" x14ac:dyDescent="0.2">
      <c r="A348" s="6"/>
    </row>
    <row r="349" spans="1:1" x14ac:dyDescent="0.2">
      <c r="A349" s="6"/>
    </row>
    <row r="350" spans="1:1" x14ac:dyDescent="0.2">
      <c r="A350" s="6"/>
    </row>
    <row r="351" spans="1:1" x14ac:dyDescent="0.2">
      <c r="A351" s="6"/>
    </row>
    <row r="352" spans="1:1" x14ac:dyDescent="0.2">
      <c r="A352" s="6"/>
    </row>
    <row r="353" spans="1:1" x14ac:dyDescent="0.2">
      <c r="A353" s="6"/>
    </row>
    <row r="354" spans="1:1" x14ac:dyDescent="0.2">
      <c r="A354" s="6"/>
    </row>
    <row r="355" spans="1:1" x14ac:dyDescent="0.2">
      <c r="A355" s="6"/>
    </row>
    <row r="356" spans="1:1" x14ac:dyDescent="0.2">
      <c r="A356" s="6"/>
    </row>
    <row r="357" spans="1:1" x14ac:dyDescent="0.2">
      <c r="A357" s="6"/>
    </row>
    <row r="358" spans="1:1" x14ac:dyDescent="0.2">
      <c r="A358" s="6"/>
    </row>
    <row r="359" spans="1:1" x14ac:dyDescent="0.2">
      <c r="A359" s="6"/>
    </row>
    <row r="360" spans="1:1" x14ac:dyDescent="0.2">
      <c r="A360" s="6"/>
    </row>
    <row r="361" spans="1:1" x14ac:dyDescent="0.2">
      <c r="A361" s="6"/>
    </row>
    <row r="362" spans="1:1" x14ac:dyDescent="0.2">
      <c r="A362" s="6"/>
    </row>
    <row r="363" spans="1:1" x14ac:dyDescent="0.2">
      <c r="A363" s="6"/>
    </row>
    <row r="364" spans="1:1" x14ac:dyDescent="0.2">
      <c r="A364" s="6"/>
    </row>
    <row r="365" spans="1:1" x14ac:dyDescent="0.2">
      <c r="A365" s="6"/>
    </row>
    <row r="366" spans="1:1" x14ac:dyDescent="0.2">
      <c r="A366" s="6"/>
    </row>
    <row r="367" spans="1:1" x14ac:dyDescent="0.2">
      <c r="A367" s="6"/>
    </row>
    <row r="368" spans="1:1" x14ac:dyDescent="0.2">
      <c r="A368" s="6"/>
    </row>
    <row r="369" spans="1:1" x14ac:dyDescent="0.2">
      <c r="A369" s="6"/>
    </row>
    <row r="370" spans="1:1" x14ac:dyDescent="0.2">
      <c r="A370" s="6"/>
    </row>
    <row r="371" spans="1:1" x14ac:dyDescent="0.2">
      <c r="A371" s="6"/>
    </row>
    <row r="372" spans="1:1" x14ac:dyDescent="0.2">
      <c r="A372" s="6"/>
    </row>
    <row r="373" spans="1:1" x14ac:dyDescent="0.2">
      <c r="A373" s="6"/>
    </row>
    <row r="374" spans="1:1" x14ac:dyDescent="0.2">
      <c r="A374" s="6"/>
    </row>
    <row r="375" spans="1:1" x14ac:dyDescent="0.2">
      <c r="A375" s="6"/>
    </row>
    <row r="376" spans="1:1" x14ac:dyDescent="0.2">
      <c r="A376" s="6"/>
    </row>
    <row r="377" spans="1:1" x14ac:dyDescent="0.2">
      <c r="A377" s="6"/>
    </row>
    <row r="378" spans="1:1" x14ac:dyDescent="0.2">
      <c r="A378" s="6"/>
    </row>
    <row r="379" spans="1:1" x14ac:dyDescent="0.2">
      <c r="A379" s="6"/>
    </row>
    <row r="380" spans="1:1" x14ac:dyDescent="0.2">
      <c r="A380" s="6"/>
    </row>
    <row r="381" spans="1:1" x14ac:dyDescent="0.2">
      <c r="A381" s="6"/>
    </row>
    <row r="382" spans="1:1" x14ac:dyDescent="0.2">
      <c r="A382" s="6"/>
    </row>
    <row r="383" spans="1:1" x14ac:dyDescent="0.2">
      <c r="A383" s="6"/>
    </row>
    <row r="384" spans="1:1" x14ac:dyDescent="0.2">
      <c r="A384" s="6"/>
    </row>
    <row r="385" spans="1:1" x14ac:dyDescent="0.2">
      <c r="A385" s="6"/>
    </row>
    <row r="386" spans="1:1" x14ac:dyDescent="0.2">
      <c r="A386" s="6"/>
    </row>
    <row r="387" spans="1:1" x14ac:dyDescent="0.2">
      <c r="A387" s="6"/>
    </row>
    <row r="388" spans="1:1" x14ac:dyDescent="0.2">
      <c r="A388" s="6"/>
    </row>
    <row r="389" spans="1:1" x14ac:dyDescent="0.2">
      <c r="A389" s="6"/>
    </row>
    <row r="390" spans="1:1" x14ac:dyDescent="0.2">
      <c r="A390" s="6"/>
    </row>
    <row r="391" spans="1:1" x14ac:dyDescent="0.2">
      <c r="A391" s="6"/>
    </row>
    <row r="392" spans="1:1" x14ac:dyDescent="0.2">
      <c r="A392" s="6"/>
    </row>
    <row r="393" spans="1:1" x14ac:dyDescent="0.2">
      <c r="A393" s="6"/>
    </row>
    <row r="394" spans="1:1" x14ac:dyDescent="0.2">
      <c r="A394" s="6"/>
    </row>
    <row r="395" spans="1:1" x14ac:dyDescent="0.2">
      <c r="A395" s="6"/>
    </row>
    <row r="396" spans="1:1" x14ac:dyDescent="0.2">
      <c r="A396" s="6"/>
    </row>
    <row r="397" spans="1:1" x14ac:dyDescent="0.2">
      <c r="A397" s="6"/>
    </row>
    <row r="398" spans="1:1" x14ac:dyDescent="0.2">
      <c r="A398" s="6"/>
    </row>
    <row r="399" spans="1:1" x14ac:dyDescent="0.2">
      <c r="A399" s="6"/>
    </row>
    <row r="400" spans="1:1" x14ac:dyDescent="0.2">
      <c r="A400" s="6"/>
    </row>
    <row r="401" spans="1:1" x14ac:dyDescent="0.2">
      <c r="A401" s="6"/>
    </row>
    <row r="402" spans="1:1" x14ac:dyDescent="0.2">
      <c r="A402" s="6"/>
    </row>
    <row r="403" spans="1:1" x14ac:dyDescent="0.2">
      <c r="A403" s="6"/>
    </row>
    <row r="404" spans="1:1" x14ac:dyDescent="0.2">
      <c r="A404" s="6"/>
    </row>
    <row r="405" spans="1:1" x14ac:dyDescent="0.2">
      <c r="A405" s="6"/>
    </row>
    <row r="406" spans="1:1" x14ac:dyDescent="0.2">
      <c r="A406" s="6"/>
    </row>
    <row r="407" spans="1:1" x14ac:dyDescent="0.2">
      <c r="A407" s="6"/>
    </row>
    <row r="408" spans="1:1" x14ac:dyDescent="0.2">
      <c r="A408" s="6"/>
    </row>
    <row r="409" spans="1:1" x14ac:dyDescent="0.2">
      <c r="A409" s="6"/>
    </row>
    <row r="410" spans="1:1" x14ac:dyDescent="0.2">
      <c r="A410" s="6"/>
    </row>
    <row r="411" spans="1:1" x14ac:dyDescent="0.2">
      <c r="A411" s="6"/>
    </row>
    <row r="412" spans="1:1" x14ac:dyDescent="0.2">
      <c r="A412" s="6"/>
    </row>
    <row r="413" spans="1:1" x14ac:dyDescent="0.2">
      <c r="A413" s="6"/>
    </row>
    <row r="414" spans="1:1" x14ac:dyDescent="0.2">
      <c r="A414" s="6"/>
    </row>
    <row r="415" spans="1:1" x14ac:dyDescent="0.2">
      <c r="A415" s="6"/>
    </row>
    <row r="416" spans="1:1" x14ac:dyDescent="0.2">
      <c r="A416" s="6"/>
    </row>
    <row r="417" spans="1:1" x14ac:dyDescent="0.2">
      <c r="A417" s="6"/>
    </row>
    <row r="418" spans="1:1" x14ac:dyDescent="0.2">
      <c r="A418" s="6"/>
    </row>
    <row r="419" spans="1:1" x14ac:dyDescent="0.2">
      <c r="A419" s="6"/>
    </row>
    <row r="420" spans="1:1" x14ac:dyDescent="0.2">
      <c r="A420" s="6"/>
    </row>
    <row r="421" spans="1:1" x14ac:dyDescent="0.2">
      <c r="A421" s="6"/>
    </row>
    <row r="422" spans="1:1" x14ac:dyDescent="0.2">
      <c r="A422" s="6"/>
    </row>
    <row r="423" spans="1:1" x14ac:dyDescent="0.2">
      <c r="A423" s="6"/>
    </row>
    <row r="424" spans="1:1" x14ac:dyDescent="0.2">
      <c r="A424" s="6"/>
    </row>
    <row r="425" spans="1:1" x14ac:dyDescent="0.2">
      <c r="A425" s="6"/>
    </row>
    <row r="426" spans="1:1" x14ac:dyDescent="0.2">
      <c r="A426" s="6"/>
    </row>
    <row r="427" spans="1:1" x14ac:dyDescent="0.2">
      <c r="A427" s="6"/>
    </row>
    <row r="428" spans="1:1" x14ac:dyDescent="0.2">
      <c r="A428" s="6"/>
    </row>
    <row r="429" spans="1:1" x14ac:dyDescent="0.2">
      <c r="A429" s="6"/>
    </row>
    <row r="430" spans="1:1" x14ac:dyDescent="0.2">
      <c r="A430" s="6"/>
    </row>
    <row r="431" spans="1:1" x14ac:dyDescent="0.2">
      <c r="A431" s="6"/>
    </row>
    <row r="432" spans="1:1" x14ac:dyDescent="0.2">
      <c r="A432" s="6"/>
    </row>
    <row r="433" spans="1:1" x14ac:dyDescent="0.2">
      <c r="A433" s="6"/>
    </row>
    <row r="434" spans="1:1" x14ac:dyDescent="0.2">
      <c r="A434" s="6"/>
    </row>
    <row r="435" spans="1:1" x14ac:dyDescent="0.2">
      <c r="A435" s="6"/>
    </row>
    <row r="436" spans="1:1" x14ac:dyDescent="0.2">
      <c r="A436" s="6"/>
    </row>
    <row r="437" spans="1:1" x14ac:dyDescent="0.2">
      <c r="A437" s="6"/>
    </row>
    <row r="438" spans="1:1" x14ac:dyDescent="0.2">
      <c r="A438" s="6"/>
    </row>
    <row r="439" spans="1:1" x14ac:dyDescent="0.2">
      <c r="A439" s="6"/>
    </row>
    <row r="440" spans="1:1" x14ac:dyDescent="0.2">
      <c r="A440" s="6"/>
    </row>
    <row r="441" spans="1:1" x14ac:dyDescent="0.2">
      <c r="A441" s="6"/>
    </row>
    <row r="442" spans="1:1" x14ac:dyDescent="0.2">
      <c r="A442" s="6"/>
    </row>
    <row r="443" spans="1:1" x14ac:dyDescent="0.2">
      <c r="A443" s="6"/>
    </row>
    <row r="444" spans="1:1" x14ac:dyDescent="0.2">
      <c r="A444" s="6"/>
    </row>
    <row r="445" spans="1:1" x14ac:dyDescent="0.2">
      <c r="A445" s="6"/>
    </row>
    <row r="446" spans="1:1" x14ac:dyDescent="0.2">
      <c r="A446" s="6"/>
    </row>
    <row r="447" spans="1:1" x14ac:dyDescent="0.2">
      <c r="A447" s="6"/>
    </row>
    <row r="448" spans="1:1" x14ac:dyDescent="0.2">
      <c r="A448" s="6"/>
    </row>
    <row r="449" spans="1:1" x14ac:dyDescent="0.2">
      <c r="A449" s="6"/>
    </row>
    <row r="450" spans="1:1" x14ac:dyDescent="0.2">
      <c r="A450" s="6"/>
    </row>
    <row r="451" spans="1:1" x14ac:dyDescent="0.2">
      <c r="A451" s="6"/>
    </row>
    <row r="452" spans="1:1" x14ac:dyDescent="0.2">
      <c r="A452" s="6"/>
    </row>
    <row r="453" spans="1:1" x14ac:dyDescent="0.2">
      <c r="A453" s="6"/>
    </row>
    <row r="454" spans="1:1" x14ac:dyDescent="0.2">
      <c r="A454" s="6"/>
    </row>
    <row r="455" spans="1:1" x14ac:dyDescent="0.2">
      <c r="A455" s="6"/>
    </row>
    <row r="456" spans="1:1" x14ac:dyDescent="0.2">
      <c r="A456" s="6"/>
    </row>
    <row r="457" spans="1:1" x14ac:dyDescent="0.2">
      <c r="A457" s="6"/>
    </row>
    <row r="458" spans="1:1" x14ac:dyDescent="0.2">
      <c r="A458" s="6"/>
    </row>
    <row r="459" spans="1:1" x14ac:dyDescent="0.2">
      <c r="A459" s="6"/>
    </row>
    <row r="460" spans="1:1" x14ac:dyDescent="0.2">
      <c r="A460" s="6"/>
    </row>
    <row r="461" spans="1:1" x14ac:dyDescent="0.2">
      <c r="A461" s="6"/>
    </row>
    <row r="462" spans="1:1" x14ac:dyDescent="0.2">
      <c r="A462" s="6"/>
    </row>
    <row r="463" spans="1:1" x14ac:dyDescent="0.2">
      <c r="A463" s="6"/>
    </row>
    <row r="464" spans="1:1" x14ac:dyDescent="0.2">
      <c r="A464" s="6"/>
    </row>
    <row r="465" spans="1:1" x14ac:dyDescent="0.2">
      <c r="A465" s="6"/>
    </row>
    <row r="466" spans="1:1" x14ac:dyDescent="0.2">
      <c r="A466" s="6"/>
    </row>
    <row r="467" spans="1:1" x14ac:dyDescent="0.2">
      <c r="A467" s="6"/>
    </row>
    <row r="468" spans="1:1" x14ac:dyDescent="0.2">
      <c r="A468" s="6"/>
    </row>
    <row r="469" spans="1:1" x14ac:dyDescent="0.2">
      <c r="A469" s="6"/>
    </row>
    <row r="470" spans="1:1" x14ac:dyDescent="0.2">
      <c r="A470" s="6"/>
    </row>
    <row r="471" spans="1:1" x14ac:dyDescent="0.2">
      <c r="A471" s="6"/>
    </row>
    <row r="472" spans="1:1" x14ac:dyDescent="0.2">
      <c r="A472" s="6"/>
    </row>
  </sheetData>
  <sheetProtection formatCells="0" formatColumns="0" autoFilter="0"/>
  <autoFilter ref="A4:R291"/>
  <mergeCells count="7">
    <mergeCell ref="A1:P1"/>
    <mergeCell ref="D3:H3"/>
    <mergeCell ref="A3:A4"/>
    <mergeCell ref="B3:B4"/>
    <mergeCell ref="C3:C4"/>
    <mergeCell ref="I3:N3"/>
    <mergeCell ref="O3:P3"/>
  </mergeCell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2"/>
  <sheetViews>
    <sheetView workbookViewId="0">
      <pane xSplit="2" ySplit="3" topLeftCell="J4" activePane="bottomRight" state="frozen"/>
      <selection pane="topRight" activeCell="C1" sqref="C1"/>
      <selection pane="bottomLeft" activeCell="A4" sqref="A4"/>
      <selection pane="bottomRight" activeCell="AF22" sqref="AF22"/>
    </sheetView>
  </sheetViews>
  <sheetFormatPr defaultRowHeight="12.75" x14ac:dyDescent="0.2"/>
  <cols>
    <col min="1" max="1" width="5.28515625" style="3646" bestFit="1" customWidth="1"/>
    <col min="2" max="2" width="29.42578125" style="3647" customWidth="1"/>
    <col min="3" max="3" width="10.140625" style="3648" bestFit="1" customWidth="1"/>
    <col min="4" max="7" width="9.5703125" style="3648" bestFit="1" customWidth="1"/>
    <col min="8" max="8" width="7" style="3648" bestFit="1" customWidth="1"/>
    <col min="9" max="9" width="9.5703125" style="3648" bestFit="1" customWidth="1"/>
    <col min="10" max="10" width="9.140625" style="3648" bestFit="1" customWidth="1"/>
    <col min="11" max="11" width="11" style="3646" bestFit="1" customWidth="1"/>
    <col min="12" max="12" width="9.42578125" bestFit="1" customWidth="1"/>
    <col min="13" max="14" width="9.5703125" bestFit="1" customWidth="1"/>
    <col min="15" max="15" width="9" bestFit="1" customWidth="1"/>
    <col min="16" max="16" width="8.85546875" bestFit="1" customWidth="1"/>
    <col min="17" max="17" width="8.140625" bestFit="1" customWidth="1"/>
    <col min="18" max="18" width="9.5703125" bestFit="1" customWidth="1"/>
    <col min="19" max="19" width="9.5703125" customWidth="1"/>
    <col min="20" max="20" width="8" bestFit="1" customWidth="1"/>
    <col min="21" max="21" width="7.7109375" bestFit="1" customWidth="1"/>
    <col min="22" max="23" width="8.28515625" bestFit="1" customWidth="1"/>
    <col min="24" max="24" width="10.140625" bestFit="1" customWidth="1"/>
    <col min="25" max="25" width="8.28515625" bestFit="1" customWidth="1"/>
    <col min="26" max="26" width="9.5703125" bestFit="1" customWidth="1"/>
    <col min="27" max="27" width="8.28515625" bestFit="1" customWidth="1"/>
    <col min="28" max="28" width="9.5703125" bestFit="1" customWidth="1"/>
    <col min="29" max="31" width="9.5703125" customWidth="1"/>
    <col min="32" max="33" width="9.5703125" bestFit="1" customWidth="1"/>
    <col min="34" max="34" width="8.28515625" bestFit="1" customWidth="1"/>
    <col min="35" max="35" width="7.7109375" bestFit="1" customWidth="1"/>
    <col min="36" max="36" width="9.28515625" customWidth="1"/>
    <col min="37" max="38" width="12.140625" bestFit="1" customWidth="1"/>
    <col min="39" max="39" width="10.28515625" bestFit="1" customWidth="1"/>
    <col min="41" max="41" width="10.140625" bestFit="1" customWidth="1"/>
    <col min="42" max="42" width="11.28515625" bestFit="1" customWidth="1"/>
  </cols>
  <sheetData>
    <row r="1" spans="1:43" x14ac:dyDescent="0.2">
      <c r="A1" s="4109" t="s">
        <v>5921</v>
      </c>
      <c r="B1" s="4109"/>
      <c r="C1" s="4109"/>
      <c r="D1" s="4109"/>
      <c r="E1" s="4109"/>
      <c r="F1" s="4109"/>
      <c r="G1" s="4109"/>
      <c r="H1" s="4109"/>
      <c r="I1" s="4109"/>
      <c r="J1" s="4109"/>
      <c r="K1" s="4109"/>
      <c r="L1" s="4109"/>
      <c r="M1" s="4109"/>
    </row>
    <row r="2" spans="1:43" x14ac:dyDescent="0.2">
      <c r="A2" s="3630"/>
      <c r="B2" s="3631" t="s">
        <v>5931</v>
      </c>
      <c r="C2" s="4105" t="s">
        <v>5922</v>
      </c>
      <c r="D2" s="4105"/>
      <c r="E2" s="4105"/>
      <c r="F2" s="4105"/>
      <c r="G2" s="4105"/>
      <c r="H2" s="4105"/>
      <c r="I2" s="4105"/>
      <c r="J2" s="4105"/>
      <c r="K2" s="4105"/>
      <c r="L2" s="4105" t="s">
        <v>5923</v>
      </c>
      <c r="M2" s="4105"/>
      <c r="N2" s="4105"/>
      <c r="O2" s="4105"/>
      <c r="P2" s="4105"/>
      <c r="Q2" s="4105"/>
      <c r="R2" s="4105"/>
      <c r="S2" s="4105"/>
      <c r="T2" s="4105"/>
      <c r="U2" s="4105"/>
      <c r="V2" s="4105"/>
      <c r="W2" s="4105"/>
      <c r="X2" s="4105"/>
      <c r="Y2" s="4110" t="s">
        <v>5924</v>
      </c>
      <c r="Z2" s="4111"/>
      <c r="AA2" s="4111"/>
      <c r="AB2" s="4111"/>
      <c r="AC2" s="4111"/>
      <c r="AD2" s="4111"/>
      <c r="AE2" s="4111"/>
      <c r="AF2" s="4111"/>
      <c r="AG2" s="4111"/>
      <c r="AH2" s="4111"/>
      <c r="AI2" s="4111"/>
      <c r="AJ2" s="4111"/>
      <c r="AK2" s="4111"/>
      <c r="AL2" s="4112"/>
      <c r="AM2" s="4106" t="s">
        <v>5924</v>
      </c>
      <c r="AN2" s="4107"/>
      <c r="AO2" s="4107"/>
      <c r="AP2" s="4108"/>
    </row>
    <row r="3" spans="1:43" s="3636" customFormat="1" ht="25.5" x14ac:dyDescent="0.2">
      <c r="A3" s="3633" t="s">
        <v>3315</v>
      </c>
      <c r="B3" s="3634" t="s">
        <v>1</v>
      </c>
      <c r="C3" s="3634" t="s">
        <v>118</v>
      </c>
      <c r="D3" s="3634" t="s">
        <v>131</v>
      </c>
      <c r="E3" s="3634" t="s">
        <v>91</v>
      </c>
      <c r="F3" s="3634" t="s">
        <v>5925</v>
      </c>
      <c r="G3" s="3634" t="s">
        <v>96</v>
      </c>
      <c r="H3" s="3634" t="s">
        <v>4071</v>
      </c>
      <c r="I3" s="3634" t="s">
        <v>5926</v>
      </c>
      <c r="J3" s="3634" t="s">
        <v>5927</v>
      </c>
      <c r="K3" s="3634" t="s">
        <v>4719</v>
      </c>
      <c r="L3" s="3635" t="s">
        <v>2091</v>
      </c>
      <c r="M3" s="3635" t="s">
        <v>4607</v>
      </c>
      <c r="N3" s="3635" t="s">
        <v>5928</v>
      </c>
      <c r="O3" s="3635" t="s">
        <v>208</v>
      </c>
      <c r="P3" s="3635" t="s">
        <v>3855</v>
      </c>
      <c r="Q3" s="3635" t="s">
        <v>3854</v>
      </c>
      <c r="R3" s="3635" t="s">
        <v>2942</v>
      </c>
      <c r="S3" s="3635" t="s">
        <v>4132</v>
      </c>
      <c r="T3" s="3635" t="s">
        <v>1020</v>
      </c>
      <c r="U3" s="3635" t="s">
        <v>1034</v>
      </c>
      <c r="V3" s="3635" t="s">
        <v>312</v>
      </c>
      <c r="W3" s="3635" t="s">
        <v>5929</v>
      </c>
      <c r="X3" s="3635" t="s">
        <v>5932</v>
      </c>
      <c r="Y3" s="3635" t="s">
        <v>293</v>
      </c>
      <c r="Z3" s="3635" t="s">
        <v>114</v>
      </c>
      <c r="AA3" s="3635" t="s">
        <v>146</v>
      </c>
      <c r="AB3" s="3635" t="s">
        <v>4683</v>
      </c>
      <c r="AC3" s="3635" t="s">
        <v>3323</v>
      </c>
      <c r="AD3" s="3635" t="s">
        <v>3993</v>
      </c>
      <c r="AE3" s="3635" t="s">
        <v>4553</v>
      </c>
      <c r="AF3" s="3635" t="s">
        <v>86</v>
      </c>
      <c r="AG3" s="3635" t="s">
        <v>150</v>
      </c>
      <c r="AH3" s="3635" t="s">
        <v>399</v>
      </c>
      <c r="AI3" s="3635" t="s">
        <v>152</v>
      </c>
      <c r="AJ3" s="3635" t="s">
        <v>415</v>
      </c>
      <c r="AK3" s="3635" t="s">
        <v>5927</v>
      </c>
      <c r="AL3" s="3634" t="s">
        <v>5930</v>
      </c>
      <c r="AM3" s="3650" t="s">
        <v>5933</v>
      </c>
      <c r="AN3" s="3650" t="s">
        <v>5934</v>
      </c>
      <c r="AO3" s="3650" t="s">
        <v>5930</v>
      </c>
      <c r="AP3" s="3650" t="s">
        <v>5935</v>
      </c>
    </row>
    <row r="4" spans="1:43" ht="22.5" x14ac:dyDescent="0.2">
      <c r="A4" s="3637">
        <v>1</v>
      </c>
      <c r="B4" s="3638" t="s">
        <v>4</v>
      </c>
      <c r="C4" s="3639">
        <f>'Ab1. RMNCH+A'!R7</f>
        <v>0</v>
      </c>
      <c r="D4" s="3639">
        <f>'Ab1. RMNCH+A'!R102</f>
        <v>0</v>
      </c>
      <c r="E4" s="3639">
        <f>'Ab1. RMNCH+A'!R197</f>
        <v>0</v>
      </c>
      <c r="F4" s="3639">
        <f>'Ab1. RMNCH+A'!R289</f>
        <v>0</v>
      </c>
      <c r="G4" s="3639">
        <f>'Ab1. RMNCH+A'!R342</f>
        <v>0</v>
      </c>
      <c r="H4" s="3639"/>
      <c r="I4" s="3639">
        <f>'Ab1. RMNCH+A'!R395</f>
        <v>0</v>
      </c>
      <c r="J4" s="3639">
        <f>'Ab1. RMNCH+A'!R433</f>
        <v>0</v>
      </c>
      <c r="K4" s="2824">
        <f t="shared" ref="K4:K21" si="0">SUM(C4:J4)</f>
        <v>0</v>
      </c>
      <c r="L4" s="3639">
        <f>'Abs5. Blood services &amp; Disorder'!R6</f>
        <v>0</v>
      </c>
      <c r="M4" s="3639"/>
      <c r="N4" s="3639">
        <f>'Abs6. CPHC'!R6</f>
        <v>0</v>
      </c>
      <c r="O4" s="3639"/>
      <c r="P4" s="3639"/>
      <c r="Q4" s="3639"/>
      <c r="R4" s="3639"/>
      <c r="S4" s="3639"/>
      <c r="T4" s="3639"/>
      <c r="U4" s="3639">
        <f>'Abs23. NPPCF'!R6</f>
        <v>0</v>
      </c>
      <c r="V4" s="3639"/>
      <c r="W4" s="3639">
        <f>'Abs25. NPPC'!R6</f>
        <v>0</v>
      </c>
      <c r="X4" s="3639"/>
      <c r="Y4" s="3639"/>
      <c r="Z4" s="3639">
        <f>'Abs9. NVBDCP'!R6</f>
        <v>0</v>
      </c>
      <c r="AA4" s="3639">
        <f>'Abs10. NLEP'!R6</f>
        <v>0</v>
      </c>
      <c r="AB4" s="3639">
        <f>'Abs11. NTEP'!R6</f>
        <v>0</v>
      </c>
      <c r="AC4" s="3639">
        <f>'Abs12. NVHCP'!R6</f>
        <v>0</v>
      </c>
      <c r="AD4" s="3639"/>
      <c r="AE4" s="3639"/>
      <c r="AF4" s="3639"/>
      <c r="AG4" s="3639"/>
      <c r="AH4" s="3639"/>
      <c r="AI4" s="3639"/>
      <c r="AJ4" s="3639">
        <f>'Abs19. NPCDCS'!R6</f>
        <v>0</v>
      </c>
      <c r="AK4" s="3639">
        <v>3109.91</v>
      </c>
      <c r="AL4" s="2824">
        <f>SUM(K4:AK4)</f>
        <v>3109.91</v>
      </c>
      <c r="AM4" s="3649">
        <f>'NUHM Summary'!F8</f>
        <v>0</v>
      </c>
      <c r="AN4" s="3649">
        <f>'NUHM Summary'!H8</f>
        <v>0</v>
      </c>
      <c r="AO4" s="3649">
        <f>+AM4+AN4</f>
        <v>0</v>
      </c>
      <c r="AP4" s="3649">
        <f>+AO4+AL4</f>
        <v>3109.91</v>
      </c>
      <c r="AQ4" s="3640">
        <f>GABST!D5-ABST!AL4</f>
        <v>-3109.91</v>
      </c>
    </row>
    <row r="5" spans="1:43" ht="22.5" x14ac:dyDescent="0.2">
      <c r="A5" s="3637">
        <v>2</v>
      </c>
      <c r="B5" s="3638" t="s">
        <v>6</v>
      </c>
      <c r="C5" s="3639">
        <f>'Ab1. RMNCH+A'!R20</f>
        <v>0</v>
      </c>
      <c r="D5" s="3639">
        <f>'Ab1. RMNCH+A'!R111</f>
        <v>0</v>
      </c>
      <c r="E5" s="3639">
        <f>'Ab1. RMNCH+A'!R211</f>
        <v>0</v>
      </c>
      <c r="F5" s="3639">
        <f>'Ab1. RMNCH+A'!R294</f>
        <v>0</v>
      </c>
      <c r="G5" s="3639">
        <f>'Ab1. RMNCH+A'!R348</f>
        <v>0</v>
      </c>
      <c r="H5" s="3639"/>
      <c r="I5" s="3639">
        <f>'Ab1. RMNCH+A'!R397</f>
        <v>0</v>
      </c>
      <c r="J5" s="3639">
        <f>'Ab1. RMNCH+A'!R437</f>
        <v>0</v>
      </c>
      <c r="K5" s="2824">
        <f t="shared" si="0"/>
        <v>0</v>
      </c>
      <c r="L5" s="3639">
        <f>'Abs5. Blood services &amp; Disorder'!R9</f>
        <v>0</v>
      </c>
      <c r="M5" s="3639"/>
      <c r="N5" s="3639"/>
      <c r="O5" s="3639"/>
      <c r="P5" s="3639"/>
      <c r="Q5" s="3639"/>
      <c r="R5" s="3639"/>
      <c r="S5" s="3639"/>
      <c r="T5" s="3639"/>
      <c r="U5" s="3639"/>
      <c r="V5" s="3639"/>
      <c r="W5" s="3639"/>
      <c r="X5" s="3639"/>
      <c r="Y5" s="3639"/>
      <c r="Z5" s="3639"/>
      <c r="AA5" s="3639"/>
      <c r="AB5" s="3639">
        <f>'Abs11. NTEP'!R10</f>
        <v>0</v>
      </c>
      <c r="AC5" s="3639">
        <f>'Abs12. NVHCP'!R12</f>
        <v>0</v>
      </c>
      <c r="AD5" s="3639"/>
      <c r="AE5" s="3639"/>
      <c r="AF5" s="3639">
        <f>'Abs15. NPCB'!R6</f>
        <v>0</v>
      </c>
      <c r="AG5" s="3639">
        <f>'Abs16. NMHP'!R6</f>
        <v>0</v>
      </c>
      <c r="AH5" s="3639"/>
      <c r="AI5" s="3639">
        <f>'Abs18. NTCP'!R6</f>
        <v>0</v>
      </c>
      <c r="AJ5" s="3639"/>
      <c r="AK5" s="3639">
        <v>554.29999999999995</v>
      </c>
      <c r="AL5" s="2824">
        <f t="shared" ref="AL5:AL21" si="1">SUM(K5:AK5)</f>
        <v>554.29999999999995</v>
      </c>
      <c r="AM5" s="3649">
        <f>'NUHM Summary'!F38</f>
        <v>0</v>
      </c>
      <c r="AN5" s="3649">
        <f>'NUHM Summary'!H38</f>
        <v>0</v>
      </c>
      <c r="AO5" s="3649">
        <f t="shared" ref="AO5:AO21" si="2">+AM5+AN5</f>
        <v>0</v>
      </c>
      <c r="AP5" s="3649">
        <f t="shared" ref="AP5:AP21" si="3">+AO5+AL5</f>
        <v>554.29999999999995</v>
      </c>
      <c r="AQ5" s="3640">
        <f>GABST!D6-ABST!AL5</f>
        <v>-554.29999999999995</v>
      </c>
    </row>
    <row r="6" spans="1:43" x14ac:dyDescent="0.2">
      <c r="A6" s="3637">
        <v>3</v>
      </c>
      <c r="B6" s="3638" t="s">
        <v>10</v>
      </c>
      <c r="C6" s="3639">
        <f>'Ab1. RMNCH+A'!R26</f>
        <v>0</v>
      </c>
      <c r="D6" s="3639">
        <f>'Ab1. RMNCH+A'!R113</f>
        <v>0</v>
      </c>
      <c r="E6" s="3639">
        <f>'Ab1. RMNCH+A'!R213</f>
        <v>0</v>
      </c>
      <c r="F6" s="3639">
        <f>'Ab1. RMNCH+A'!R298</f>
        <v>0</v>
      </c>
      <c r="G6" s="3639"/>
      <c r="H6" s="3639"/>
      <c r="I6" s="3639">
        <f>'Ab1. RMNCH+A'!R404</f>
        <v>0</v>
      </c>
      <c r="J6" s="3639"/>
      <c r="K6" s="2824">
        <f t="shared" si="0"/>
        <v>0</v>
      </c>
      <c r="L6" s="3639"/>
      <c r="M6" s="3639"/>
      <c r="N6" s="3639"/>
      <c r="O6" s="3639">
        <f>'Ab2. NIDDCP'!R6</f>
        <v>0</v>
      </c>
      <c r="P6" s="3639">
        <f>'Ab3. ASHA'!R6-1342.14</f>
        <v>-1342.14</v>
      </c>
      <c r="Q6" s="3639"/>
      <c r="R6" s="3639"/>
      <c r="S6" s="3639">
        <f>'Abs21. NPCCHH'!R6</f>
        <v>0</v>
      </c>
      <c r="T6" s="3639"/>
      <c r="U6" s="3639"/>
      <c r="V6" s="3639"/>
      <c r="W6" s="3639"/>
      <c r="X6" s="3639"/>
      <c r="Y6" s="3639">
        <f>'Abs8. IDSP'!R6</f>
        <v>0</v>
      </c>
      <c r="Z6" s="3639">
        <f>'Abs9. NVBDCP'!R14</f>
        <v>0</v>
      </c>
      <c r="AA6" s="3639">
        <f>'Abs10. NLEP'!R13</f>
        <v>0</v>
      </c>
      <c r="AB6" s="3639">
        <f>'Abs11. NTEP'!R12</f>
        <v>0</v>
      </c>
      <c r="AC6" s="3639">
        <f>'Abs12. NVHCP'!R14</f>
        <v>0</v>
      </c>
      <c r="AD6" s="3639"/>
      <c r="AE6" s="3639"/>
      <c r="AF6" s="3639"/>
      <c r="AG6" s="3639"/>
      <c r="AH6" s="3639"/>
      <c r="AI6" s="3639">
        <f>'Abs18. NTCP'!R9</f>
        <v>0</v>
      </c>
      <c r="AJ6" s="3639"/>
      <c r="AK6" s="3639"/>
      <c r="AL6" s="2824">
        <f t="shared" si="1"/>
        <v>-1342.14</v>
      </c>
      <c r="AM6" s="3649">
        <f>'NUHM Summary'!F51</f>
        <v>0</v>
      </c>
      <c r="AN6" s="3649">
        <f>'NUHM Summary'!H51</f>
        <v>0</v>
      </c>
      <c r="AO6" s="3649">
        <f t="shared" si="2"/>
        <v>0</v>
      </c>
      <c r="AP6" s="3649">
        <f t="shared" si="3"/>
        <v>-1342.14</v>
      </c>
      <c r="AQ6" s="3640">
        <f>GABST!D7-ABST!AL6</f>
        <v>1342.14</v>
      </c>
    </row>
    <row r="7" spans="1:43" x14ac:dyDescent="0.2">
      <c r="A7" s="3641">
        <v>4</v>
      </c>
      <c r="B7" s="3642" t="s">
        <v>2729</v>
      </c>
      <c r="C7" s="3643"/>
      <c r="D7" s="3643"/>
      <c r="E7" s="3643"/>
      <c r="F7" s="3643"/>
      <c r="G7" s="3643"/>
      <c r="H7" s="3643"/>
      <c r="I7" s="3643"/>
      <c r="J7" s="3643"/>
      <c r="K7" s="2824">
        <f t="shared" si="0"/>
        <v>0</v>
      </c>
      <c r="L7" s="3643"/>
      <c r="M7" s="3643"/>
      <c r="N7" s="3643"/>
      <c r="O7" s="3643"/>
      <c r="P7" s="3643"/>
      <c r="Q7" s="3643"/>
      <c r="R7" s="3643"/>
      <c r="S7" s="3643"/>
      <c r="T7" s="3643"/>
      <c r="U7" s="3643"/>
      <c r="V7" s="3643"/>
      <c r="W7" s="3643"/>
      <c r="X7" s="3643"/>
      <c r="Y7" s="3643"/>
      <c r="Z7" s="3643"/>
      <c r="AA7" s="3643"/>
      <c r="AB7" s="3643"/>
      <c r="AC7" s="3643"/>
      <c r="AD7" s="3643"/>
      <c r="AE7" s="3643"/>
      <c r="AF7" s="3643"/>
      <c r="AG7" s="3643"/>
      <c r="AH7" s="3643"/>
      <c r="AI7" s="3643"/>
      <c r="AJ7" s="3643"/>
      <c r="AK7" s="3639">
        <f>'4.Untied grants Annex'!R7</f>
        <v>0</v>
      </c>
      <c r="AL7" s="2824">
        <f t="shared" si="1"/>
        <v>0</v>
      </c>
      <c r="AM7" s="3649">
        <f>'NUHM Summary'!F70</f>
        <v>0</v>
      </c>
      <c r="AN7" s="3649">
        <f>'NUHM Summary'!H70</f>
        <v>0</v>
      </c>
      <c r="AO7" s="3649">
        <f t="shared" si="2"/>
        <v>0</v>
      </c>
      <c r="AP7" s="3649">
        <f t="shared" si="3"/>
        <v>0</v>
      </c>
      <c r="AQ7" s="3640">
        <f>GABST!D8-ABST!AL7</f>
        <v>0</v>
      </c>
    </row>
    <row r="8" spans="1:43" x14ac:dyDescent="0.2">
      <c r="A8" s="3641">
        <v>5</v>
      </c>
      <c r="B8" s="3644" t="s">
        <v>14</v>
      </c>
      <c r="C8" s="3645">
        <f>'Ab1. RMNCH+A'!R31</f>
        <v>0</v>
      </c>
      <c r="D8" s="3645">
        <f>'Ab1. RMNCH+A'!R121</f>
        <v>0</v>
      </c>
      <c r="E8" s="3645"/>
      <c r="F8" s="3645"/>
      <c r="G8" s="3645">
        <f>'Ab1. RMNCH+A'!R351</f>
        <v>0</v>
      </c>
      <c r="H8" s="3645"/>
      <c r="I8" s="3645"/>
      <c r="J8" s="3645"/>
      <c r="K8" s="2824">
        <f t="shared" si="0"/>
        <v>0</v>
      </c>
      <c r="L8" s="3643">
        <f>'Abs5. Blood services &amp; Disorder'!R12</f>
        <v>0</v>
      </c>
      <c r="M8" s="3643"/>
      <c r="N8" s="3643">
        <f>'Abs6. CPHC'!R8</f>
        <v>0</v>
      </c>
      <c r="O8" s="3643">
        <f>'Ab2. NIDDCP'!R8</f>
        <v>0</v>
      </c>
      <c r="P8" s="3643"/>
      <c r="Q8" s="3643"/>
      <c r="R8" s="3643"/>
      <c r="S8" s="3643"/>
      <c r="T8" s="3643"/>
      <c r="U8" s="3643"/>
      <c r="V8" s="3643"/>
      <c r="W8" s="3643"/>
      <c r="X8" s="3643">
        <f>'Capex Expenditure'!P12-9894.6</f>
        <v>-9894.6</v>
      </c>
      <c r="Y8" s="3643"/>
      <c r="Z8" s="3643">
        <f>'Abs9. NVBDCP'!R32</f>
        <v>0</v>
      </c>
      <c r="AA8" s="3643"/>
      <c r="AB8" s="3643">
        <f>'Abs11. NTEP'!R18</f>
        <v>0</v>
      </c>
      <c r="AC8" s="3643"/>
      <c r="AD8" s="3643"/>
      <c r="AE8" s="3643"/>
      <c r="AF8" s="3643">
        <f>'Abs15. NPCB'!R11</f>
        <v>0</v>
      </c>
      <c r="AG8" s="3643"/>
      <c r="AH8" s="3643"/>
      <c r="AI8" s="3643"/>
      <c r="AJ8" s="3643"/>
      <c r="AK8" s="3639"/>
      <c r="AL8" s="2824">
        <f t="shared" si="1"/>
        <v>-9894.6</v>
      </c>
      <c r="AM8" s="3649">
        <f>'NUHM Summary'!F77</f>
        <v>0</v>
      </c>
      <c r="AN8" s="3649">
        <f>'NUHM Summary'!H77</f>
        <v>0</v>
      </c>
      <c r="AO8" s="3649">
        <f t="shared" si="2"/>
        <v>0</v>
      </c>
      <c r="AP8" s="3649">
        <f t="shared" si="3"/>
        <v>-9894.6</v>
      </c>
      <c r="AQ8" s="3640">
        <f>GABST!D9-ABST!AL8</f>
        <v>9894.6</v>
      </c>
    </row>
    <row r="9" spans="1:43" x14ac:dyDescent="0.2">
      <c r="A9" s="3641">
        <v>6</v>
      </c>
      <c r="B9" s="3644" t="s">
        <v>18</v>
      </c>
      <c r="C9" s="3645">
        <f>'Ab1. RMNCH+A'!R35</f>
        <v>0</v>
      </c>
      <c r="D9" s="3645">
        <f>'Ab1. RMNCH+A'!R126</f>
        <v>0</v>
      </c>
      <c r="E9" s="3645">
        <f>'Ab1. RMNCH+A'!R224</f>
        <v>0</v>
      </c>
      <c r="F9" s="3645">
        <f>'Ab1. RMNCH+A'!R304</f>
        <v>0</v>
      </c>
      <c r="G9" s="3645">
        <f>'Ab1. RMNCH+A'!R354</f>
        <v>0</v>
      </c>
      <c r="H9" s="3645"/>
      <c r="I9" s="3643">
        <f>'Ab1. RMNCH+A'!R409</f>
        <v>0</v>
      </c>
      <c r="J9" s="3645"/>
      <c r="K9" s="2824">
        <f t="shared" si="0"/>
        <v>0</v>
      </c>
      <c r="L9" s="3643">
        <f>'Abs5. Blood services &amp; Disorder'!R14</f>
        <v>0</v>
      </c>
      <c r="M9" s="3639">
        <f>'Abs20. PMNDP'!R10</f>
        <v>0</v>
      </c>
      <c r="N9" s="3643">
        <f>'Abs6. CPHC'!R13</f>
        <v>0</v>
      </c>
      <c r="O9" s="3643">
        <f>'Ab2. NIDDCP'!R10</f>
        <v>0</v>
      </c>
      <c r="P9" s="3643">
        <f>'Ab3. ASHA'!R82</f>
        <v>0</v>
      </c>
      <c r="Q9" s="3643">
        <f>'Abs7. AYUSH'!R6</f>
        <v>0</v>
      </c>
      <c r="R9" s="3643"/>
      <c r="S9" s="3643"/>
      <c r="T9" s="3643">
        <f>'Abs22. NPPCD'!R6</f>
        <v>0</v>
      </c>
      <c r="U9" s="3643"/>
      <c r="V9" s="3643">
        <f>'Abs24. NOHP'!R8</f>
        <v>0</v>
      </c>
      <c r="W9" s="3643"/>
      <c r="X9" s="3643">
        <f>'Capex Expenditure'!P103</f>
        <v>0</v>
      </c>
      <c r="Y9" s="3643">
        <f>'Abs8. IDSP'!R8</f>
        <v>0</v>
      </c>
      <c r="Z9" s="3643">
        <f>'Abs9. NVBDCP'!R36</f>
        <v>0</v>
      </c>
      <c r="AA9" s="3643">
        <f>'Abs10. NLEP'!R17</f>
        <v>0</v>
      </c>
      <c r="AB9" s="3643">
        <f>'Abs11. NTEP'!R20</f>
        <v>0</v>
      </c>
      <c r="AC9" s="3643">
        <f>'Abs12. NVHCP'!R17</f>
        <v>0</v>
      </c>
      <c r="AD9" s="3643">
        <f>'Abs13. NRCP'!R6</f>
        <v>0</v>
      </c>
      <c r="AE9" s="3643">
        <f>'Abs14. PPCL'!R6</f>
        <v>0</v>
      </c>
      <c r="AF9" s="3643"/>
      <c r="AG9" s="3643">
        <f>'Abs16. NMHP'!R12</f>
        <v>0</v>
      </c>
      <c r="AH9" s="3643">
        <f>'Abs17. NPHCE'!R10</f>
        <v>0</v>
      </c>
      <c r="AI9" s="3643">
        <f>'Abs18. NTCP'!R11</f>
        <v>0</v>
      </c>
      <c r="AJ9" s="3643">
        <f>'Abs19. NPCDCS'!R17</f>
        <v>0</v>
      </c>
      <c r="AK9" s="3639">
        <v>7163.36</v>
      </c>
      <c r="AL9" s="2824">
        <f t="shared" si="1"/>
        <v>7163.36</v>
      </c>
      <c r="AM9" s="3649">
        <f>'NUHM Summary'!F91</f>
        <v>0</v>
      </c>
      <c r="AN9" s="3649">
        <f>'NUHM Summary'!H91</f>
        <v>0</v>
      </c>
      <c r="AO9" s="3649">
        <f t="shared" si="2"/>
        <v>0</v>
      </c>
      <c r="AP9" s="3649">
        <f t="shared" si="3"/>
        <v>7163.36</v>
      </c>
      <c r="AQ9" s="3640">
        <f>GABST!D10-ABST!AL9</f>
        <v>-7163.36</v>
      </c>
    </row>
    <row r="10" spans="1:43" x14ac:dyDescent="0.2">
      <c r="A10" s="3641">
        <v>7</v>
      </c>
      <c r="B10" s="3644" t="s">
        <v>20</v>
      </c>
      <c r="C10" s="3645">
        <f>'Ab1. RMNCH+A'!R54</f>
        <v>0</v>
      </c>
      <c r="D10" s="3645">
        <f>'Ab1. RMNCH+A'!R144</f>
        <v>0</v>
      </c>
      <c r="E10" s="3645">
        <f>'Ab1. RMNCH+A'!R234</f>
        <v>0</v>
      </c>
      <c r="F10" s="3645"/>
      <c r="G10" s="3645"/>
      <c r="H10" s="3645"/>
      <c r="I10" s="3645"/>
      <c r="J10" s="3645"/>
      <c r="K10" s="2824">
        <f t="shared" si="0"/>
        <v>0</v>
      </c>
      <c r="L10" s="3643"/>
      <c r="M10" s="3643"/>
      <c r="N10" s="3643"/>
      <c r="O10" s="3643"/>
      <c r="P10" s="3643"/>
      <c r="Q10" s="3643"/>
      <c r="R10" s="3643"/>
      <c r="S10" s="3643"/>
      <c r="T10" s="3643"/>
      <c r="U10" s="3643"/>
      <c r="V10" s="3643"/>
      <c r="W10" s="3643"/>
      <c r="X10" s="3643"/>
      <c r="Y10" s="3643"/>
      <c r="Z10" s="3643"/>
      <c r="AA10" s="3643"/>
      <c r="AB10" s="3643">
        <f>'Abs11. NTEP'!R29</f>
        <v>0</v>
      </c>
      <c r="AC10" s="3643"/>
      <c r="AD10" s="3643"/>
      <c r="AE10" s="3643"/>
      <c r="AF10" s="3643"/>
      <c r="AG10" s="3643"/>
      <c r="AH10" s="3643"/>
      <c r="AI10" s="3643"/>
      <c r="AJ10" s="3643"/>
      <c r="AK10" s="3639">
        <v>5188</v>
      </c>
      <c r="AL10" s="2824">
        <f t="shared" si="1"/>
        <v>5188</v>
      </c>
      <c r="AM10" s="3649">
        <f>'NUHM Summary'!F118</f>
        <v>0</v>
      </c>
      <c r="AN10" s="3649">
        <f>'NUHM Summary'!H118</f>
        <v>0</v>
      </c>
      <c r="AO10" s="3649">
        <f t="shared" si="2"/>
        <v>0</v>
      </c>
      <c r="AP10" s="3649">
        <f t="shared" si="3"/>
        <v>5188</v>
      </c>
      <c r="AQ10" s="3640">
        <f>GABST!D11-ABST!AL10</f>
        <v>-5188</v>
      </c>
    </row>
    <row r="11" spans="1:43" ht="22.5" x14ac:dyDescent="0.2">
      <c r="A11" s="3641">
        <v>8</v>
      </c>
      <c r="B11" s="3644" t="s">
        <v>21</v>
      </c>
      <c r="C11" s="3645"/>
      <c r="D11" s="3645"/>
      <c r="E11" s="3645">
        <f>'Ab1. RMNCH+A'!R236</f>
        <v>0</v>
      </c>
      <c r="F11" s="3645"/>
      <c r="G11" s="3645"/>
      <c r="H11" s="3645"/>
      <c r="I11" s="3645"/>
      <c r="J11" s="3645"/>
      <c r="K11" s="2824">
        <f t="shared" si="0"/>
        <v>0</v>
      </c>
      <c r="L11" s="3643"/>
      <c r="M11" s="3643"/>
      <c r="N11" s="3643"/>
      <c r="O11" s="3643"/>
      <c r="P11" s="3643"/>
      <c r="Q11" s="3643"/>
      <c r="R11" s="3643"/>
      <c r="S11" s="3643"/>
      <c r="T11" s="3643"/>
      <c r="U11" s="3643"/>
      <c r="V11" s="3643"/>
      <c r="W11" s="3643"/>
      <c r="X11" s="3643"/>
      <c r="Y11" s="3643"/>
      <c r="Z11" s="3643"/>
      <c r="AA11" s="3643"/>
      <c r="AB11" s="3643"/>
      <c r="AC11" s="3643">
        <f>'Abs12. NVHCP'!R22</f>
        <v>0</v>
      </c>
      <c r="AD11" s="3643"/>
      <c r="AE11" s="3643"/>
      <c r="AF11" s="3643"/>
      <c r="AG11" s="3643"/>
      <c r="AH11" s="3643"/>
      <c r="AI11" s="3643"/>
      <c r="AJ11" s="3643"/>
      <c r="AK11" s="3639">
        <v>70977.649999999994</v>
      </c>
      <c r="AL11" s="2824">
        <f t="shared" si="1"/>
        <v>70977.649999999994</v>
      </c>
      <c r="AM11" s="3649">
        <f>'NUHM Summary'!F120</f>
        <v>0</v>
      </c>
      <c r="AN11" s="3649">
        <f>'NUHM Summary'!H120</f>
        <v>0</v>
      </c>
      <c r="AO11" s="3649">
        <f t="shared" si="2"/>
        <v>0</v>
      </c>
      <c r="AP11" s="3649">
        <f t="shared" si="3"/>
        <v>70977.649999999994</v>
      </c>
      <c r="AQ11" s="3640">
        <f>GABST!D12-ABST!AL11</f>
        <v>-70977.649999999994</v>
      </c>
    </row>
    <row r="12" spans="1:43" x14ac:dyDescent="0.2">
      <c r="A12" s="3641">
        <v>9</v>
      </c>
      <c r="B12" s="3644" t="s">
        <v>52</v>
      </c>
      <c r="C12" s="3645">
        <f>'Ab1. RMNCH+A'!R56</f>
        <v>0</v>
      </c>
      <c r="D12" s="3645">
        <f>'Ab1. RMNCH+A'!R146</f>
        <v>0</v>
      </c>
      <c r="E12" s="3645">
        <f>'Ab1. RMNCH+A'!R241</f>
        <v>0</v>
      </c>
      <c r="F12" s="3645">
        <f>'Ab1. RMNCH+A'!R313</f>
        <v>0</v>
      </c>
      <c r="G12" s="3645">
        <f>'Ab1. RMNCH+A'!R364</f>
        <v>0</v>
      </c>
      <c r="H12" s="3645">
        <f>'Ab1. RMNCH+A'!R378</f>
        <v>0</v>
      </c>
      <c r="I12" s="3645">
        <f>'Ab1. RMNCH+A'!R414</f>
        <v>0</v>
      </c>
      <c r="J12" s="3645">
        <f>'Ab1. RMNCH+A'!R440</f>
        <v>0</v>
      </c>
      <c r="K12" s="2824">
        <f t="shared" si="0"/>
        <v>0</v>
      </c>
      <c r="L12" s="3643"/>
      <c r="M12" s="3643"/>
      <c r="N12" s="3643">
        <f>'Abs6. CPHC'!R22</f>
        <v>0</v>
      </c>
      <c r="O12" s="3643"/>
      <c r="P12" s="3643">
        <f>'Ab3. ASHA'!R88</f>
        <v>0</v>
      </c>
      <c r="Q12" s="3643">
        <f>'Abs7. AYUSH'!R11</f>
        <v>0</v>
      </c>
      <c r="R12" s="3643">
        <f>'Ab4. HMIS-MCTS'!R8</f>
        <v>0</v>
      </c>
      <c r="S12" s="3643">
        <f>'Abs21. NPCCHH'!R10</f>
        <v>0</v>
      </c>
      <c r="T12" s="3643">
        <f>'Abs22. NPPCD'!R9</f>
        <v>0</v>
      </c>
      <c r="U12" s="3643"/>
      <c r="V12" s="3643"/>
      <c r="W12" s="3643">
        <f>'Abs25. NPPC'!R13</f>
        <v>0</v>
      </c>
      <c r="X12" s="3643">
        <f>'Capex Expenditure'!P217</f>
        <v>0</v>
      </c>
      <c r="Y12" s="3643">
        <f>'Abs8. IDSP'!R12</f>
        <v>0</v>
      </c>
      <c r="Z12" s="3643">
        <f>'Abs9. NVBDCP'!R61</f>
        <v>0</v>
      </c>
      <c r="AA12" s="3643">
        <f>'Abs10. NLEP'!R24</f>
        <v>0</v>
      </c>
      <c r="AB12" s="3643">
        <f>'Abs11. NTEP'!R32</f>
        <v>0</v>
      </c>
      <c r="AC12" s="3643">
        <f>'Abs12. NVHCP'!R24</f>
        <v>0</v>
      </c>
      <c r="AD12" s="3643">
        <f>'Abs13. NRCP'!R9</f>
        <v>0</v>
      </c>
      <c r="AE12" s="3643">
        <f>'Abs14. PPCL'!R9</f>
        <v>0</v>
      </c>
      <c r="AF12" s="3643">
        <f>'Abs15. NPCB'!R22</f>
        <v>0</v>
      </c>
      <c r="AG12" s="3643">
        <f>'Abs16. NMHP'!R18</f>
        <v>0</v>
      </c>
      <c r="AH12" s="3643">
        <f>'Abs17. NPHCE'!R20</f>
        <v>0</v>
      </c>
      <c r="AI12" s="3643">
        <f>'Abs18. NTCP'!R17</f>
        <v>0</v>
      </c>
      <c r="AJ12" s="3643">
        <f>'Abs19. NPCDCS'!R35</f>
        <v>0</v>
      </c>
      <c r="AK12" s="3639">
        <v>1899.29</v>
      </c>
      <c r="AL12" s="2824">
        <f t="shared" si="1"/>
        <v>1899.29</v>
      </c>
      <c r="AM12" s="3649">
        <f>'NUHM Summary'!F174</f>
        <v>0</v>
      </c>
      <c r="AN12" s="3649">
        <f>'NUHM Summary'!H174</f>
        <v>0</v>
      </c>
      <c r="AO12" s="3649">
        <f t="shared" si="2"/>
        <v>0</v>
      </c>
      <c r="AP12" s="3649">
        <f t="shared" si="3"/>
        <v>1899.29</v>
      </c>
      <c r="AQ12" s="3640">
        <f>GABST!D13-ABST!AL12</f>
        <v>-1899.29</v>
      </c>
    </row>
    <row r="13" spans="1:43" ht="22.5" x14ac:dyDescent="0.2">
      <c r="A13" s="3641">
        <v>10</v>
      </c>
      <c r="B13" s="3644" t="s">
        <v>23</v>
      </c>
      <c r="C13" s="3645">
        <f>'Ab1. RMNCH+A'!R90</f>
        <v>0</v>
      </c>
      <c r="D13" s="3645">
        <f>'Ab1. RMNCH+A'!R173</f>
        <v>0</v>
      </c>
      <c r="E13" s="3645"/>
      <c r="F13" s="3645"/>
      <c r="G13" s="3645"/>
      <c r="H13" s="3645"/>
      <c r="I13" s="3645"/>
      <c r="J13" s="3645"/>
      <c r="K13" s="2824">
        <f t="shared" si="0"/>
        <v>0</v>
      </c>
      <c r="L13" s="3643"/>
      <c r="M13" s="3643"/>
      <c r="N13" s="3643"/>
      <c r="O13" s="3643">
        <f>'Ab2. NIDDCP'!R15</f>
        <v>0</v>
      </c>
      <c r="P13" s="3643"/>
      <c r="Q13" s="3643"/>
      <c r="R13" s="3643"/>
      <c r="S13" s="3643"/>
      <c r="T13" s="3643"/>
      <c r="U13" s="3643"/>
      <c r="V13" s="3643"/>
      <c r="W13" s="3643"/>
      <c r="X13" s="3643"/>
      <c r="Y13" s="3643">
        <f>'Abs8. IDSP'!R22</f>
        <v>0</v>
      </c>
      <c r="Z13" s="3643">
        <f>'Abs9. NVBDCP'!R70</f>
        <v>0</v>
      </c>
      <c r="AA13" s="3643"/>
      <c r="AB13" s="3643">
        <f>'Abs11. NTEP'!R36</f>
        <v>0</v>
      </c>
      <c r="AC13" s="3643"/>
      <c r="AD13" s="3643"/>
      <c r="AE13" s="3643"/>
      <c r="AF13" s="3643"/>
      <c r="AG13" s="3643"/>
      <c r="AH13" s="3643"/>
      <c r="AI13" s="3643"/>
      <c r="AJ13" s="3643"/>
      <c r="AK13" s="3639">
        <v>341.66</v>
      </c>
      <c r="AL13" s="2824">
        <f t="shared" si="1"/>
        <v>341.66</v>
      </c>
      <c r="AM13" s="3649">
        <f>'NUHM Summary'!F195</f>
        <v>0</v>
      </c>
      <c r="AN13" s="3649">
        <f>'NUHM Summary'!H195</f>
        <v>0</v>
      </c>
      <c r="AO13" s="3649">
        <f t="shared" si="2"/>
        <v>0</v>
      </c>
      <c r="AP13" s="3649">
        <f t="shared" si="3"/>
        <v>341.66</v>
      </c>
      <c r="AQ13" s="3640">
        <f>GABST!D14-ABST!AL13</f>
        <v>-341.66</v>
      </c>
    </row>
    <row r="14" spans="1:43" x14ac:dyDescent="0.2">
      <c r="A14" s="3641">
        <v>11</v>
      </c>
      <c r="B14" s="3638" t="s">
        <v>1342</v>
      </c>
      <c r="C14" s="3639">
        <f>'Ab1. RMNCH+A'!R92</f>
        <v>0</v>
      </c>
      <c r="D14" s="3639">
        <f>'Ab1. RMNCH+A'!R175</f>
        <v>0</v>
      </c>
      <c r="E14" s="3639">
        <f>'Ab1. RMNCH+A'!R270</f>
        <v>0</v>
      </c>
      <c r="F14" s="3639"/>
      <c r="G14" s="3639"/>
      <c r="H14" s="3639"/>
      <c r="I14" s="3639"/>
      <c r="J14" s="3639"/>
      <c r="K14" s="2824">
        <f t="shared" si="0"/>
        <v>0</v>
      </c>
      <c r="L14" s="3643">
        <f>'Abs5. Blood services &amp; Disorder'!R23</f>
        <v>0</v>
      </c>
      <c r="M14" s="3643"/>
      <c r="N14" s="3643">
        <f>'Abs6. CPHC'!R28</f>
        <v>0</v>
      </c>
      <c r="O14" s="3643">
        <f>'Ab2. NIDDCP'!R18</f>
        <v>0</v>
      </c>
      <c r="P14" s="3643"/>
      <c r="Q14" s="3643"/>
      <c r="R14" s="3643"/>
      <c r="S14" s="3643">
        <f>'Abs21. NPCCHH'!R15</f>
        <v>0</v>
      </c>
      <c r="T14" s="3643">
        <f>'Abs22. NPPCD'!R14</f>
        <v>0</v>
      </c>
      <c r="U14" s="3643">
        <f>'Abs23. NPPCF'!R14</f>
        <v>0</v>
      </c>
      <c r="V14" s="3643">
        <f>'Abs24. NOHP'!R12</f>
        <v>0</v>
      </c>
      <c r="W14" s="3643"/>
      <c r="X14" s="3643"/>
      <c r="Y14" s="3643"/>
      <c r="Z14" s="3643">
        <f>'Abs9. NVBDCP'!R89</f>
        <v>0</v>
      </c>
      <c r="AA14" s="3643">
        <f>'Abs10. NLEP'!R29</f>
        <v>0</v>
      </c>
      <c r="AB14" s="3643">
        <f>'Abs11. NTEP'!R40</f>
        <v>0</v>
      </c>
      <c r="AC14" s="3643">
        <f>'Abs12. NVHCP'!R32</f>
        <v>0</v>
      </c>
      <c r="AD14" s="3643">
        <f>'Abs13. NRCP'!R11</f>
        <v>0</v>
      </c>
      <c r="AE14" s="3643">
        <f>'Abs14. PPCL'!R11</f>
        <v>0</v>
      </c>
      <c r="AF14" s="3643">
        <f>'Abs15. NPCB'!R27</f>
        <v>0</v>
      </c>
      <c r="AG14" s="3643">
        <f>'Abs16. NMHP'!R21</f>
        <v>0</v>
      </c>
      <c r="AH14" s="3643">
        <f>'Abs17. NPHCE'!R27</f>
        <v>0</v>
      </c>
      <c r="AI14" s="3643">
        <f>'Abs18. NTCP'!R23</f>
        <v>0</v>
      </c>
      <c r="AJ14" s="3643">
        <f>'Abs19. NPCDCS'!R46</f>
        <v>0</v>
      </c>
      <c r="AK14" s="3639">
        <v>576.66</v>
      </c>
      <c r="AL14" s="2824">
        <f t="shared" si="1"/>
        <v>576.66</v>
      </c>
      <c r="AM14" s="3649">
        <f>'NUHM Summary'!F204</f>
        <v>0</v>
      </c>
      <c r="AN14" s="3649">
        <f>'NUHM Summary'!H204</f>
        <v>0</v>
      </c>
      <c r="AO14" s="3649">
        <f t="shared" si="2"/>
        <v>0</v>
      </c>
      <c r="AP14" s="3649">
        <f t="shared" si="3"/>
        <v>576.66</v>
      </c>
      <c r="AQ14" s="3640">
        <f>GABST!D15-ABST!AL14</f>
        <v>-576.66</v>
      </c>
    </row>
    <row r="15" spans="1:43" x14ac:dyDescent="0.2">
      <c r="A15" s="3641">
        <v>12</v>
      </c>
      <c r="B15" s="3644" t="s">
        <v>29</v>
      </c>
      <c r="C15" s="3645">
        <f>'Ab1. RMNCH+A'!R96</f>
        <v>0</v>
      </c>
      <c r="D15" s="3645">
        <f>'Ab1. RMNCH+A'!R180</f>
        <v>0</v>
      </c>
      <c r="E15" s="3645">
        <f>'Ab1. RMNCH+A'!R277</f>
        <v>0</v>
      </c>
      <c r="F15" s="3645">
        <f>'Ab1. RMNCH+A'!R334</f>
        <v>0</v>
      </c>
      <c r="G15" s="3645">
        <f>'Ab1. RMNCH+A'!R370</f>
        <v>0</v>
      </c>
      <c r="H15" s="3645"/>
      <c r="I15" s="3645">
        <f>'Ab1. RMNCH+A'!R420</f>
        <v>0</v>
      </c>
      <c r="J15" s="3645"/>
      <c r="K15" s="2824">
        <f t="shared" si="0"/>
        <v>0</v>
      </c>
      <c r="L15" s="3643">
        <f>'Abs5. Blood services &amp; Disorder'!R26</f>
        <v>0</v>
      </c>
      <c r="M15" s="3643"/>
      <c r="N15" s="3643">
        <f>'Abs6. CPHC'!R30</f>
        <v>0</v>
      </c>
      <c r="O15" s="3643"/>
      <c r="P15" s="3643">
        <f>'Ab3. ASHA'!R97</f>
        <v>0</v>
      </c>
      <c r="Q15" s="3643"/>
      <c r="R15" s="3643">
        <f>'Ab4. HMIS-MCTS'!R13</f>
        <v>0</v>
      </c>
      <c r="S15" s="3643">
        <f>'Abs21. NPCCHH'!R17</f>
        <v>0</v>
      </c>
      <c r="T15" s="3643"/>
      <c r="U15" s="3643"/>
      <c r="V15" s="3643"/>
      <c r="W15" s="3643"/>
      <c r="X15" s="3643"/>
      <c r="Y15" s="3643">
        <f>'Abs8. IDSP'!R27</f>
        <v>0</v>
      </c>
      <c r="Z15" s="3643"/>
      <c r="AA15" s="3643">
        <f>'Abs10. NLEP'!R32</f>
        <v>0</v>
      </c>
      <c r="AB15" s="3643">
        <f>'Abs11. NTEP'!R44</f>
        <v>0</v>
      </c>
      <c r="AC15" s="3643">
        <f>'Abs12. NVHCP'!R34</f>
        <v>0</v>
      </c>
      <c r="AD15" s="3643">
        <f>'Abs13. NRCP'!R13</f>
        <v>0</v>
      </c>
      <c r="AE15" s="3643"/>
      <c r="AF15" s="3643"/>
      <c r="AG15" s="3643"/>
      <c r="AH15" s="3643"/>
      <c r="AI15" s="3643"/>
      <c r="AJ15" s="3643">
        <f>'Abs19. NPCDCS'!R51</f>
        <v>0</v>
      </c>
      <c r="AK15" s="3639">
        <v>224.99</v>
      </c>
      <c r="AL15" s="2824">
        <f t="shared" si="1"/>
        <v>224.99</v>
      </c>
      <c r="AM15" s="3649">
        <f>'NUHM Summary'!F207</f>
        <v>0</v>
      </c>
      <c r="AN15" s="3649">
        <f>'NUHM Summary'!H207</f>
        <v>0</v>
      </c>
      <c r="AO15" s="3649">
        <f t="shared" si="2"/>
        <v>0</v>
      </c>
      <c r="AP15" s="3649">
        <f t="shared" si="3"/>
        <v>224.99</v>
      </c>
      <c r="AQ15" s="3640">
        <f>GABST!D16-ABST!AL15</f>
        <v>-224.99</v>
      </c>
    </row>
    <row r="16" spans="1:43" x14ac:dyDescent="0.2">
      <c r="A16" s="3641">
        <v>13</v>
      </c>
      <c r="B16" s="3638" t="s">
        <v>30</v>
      </c>
      <c r="C16" s="3639"/>
      <c r="D16" s="3639"/>
      <c r="E16" s="3639"/>
      <c r="F16" s="3639"/>
      <c r="G16" s="3639"/>
      <c r="H16" s="3639"/>
      <c r="I16" s="3639"/>
      <c r="J16" s="3639"/>
      <c r="K16" s="2824">
        <f t="shared" si="0"/>
        <v>0</v>
      </c>
      <c r="L16" s="3643"/>
      <c r="M16" s="3643"/>
      <c r="N16" s="3643"/>
      <c r="O16" s="3643"/>
      <c r="P16" s="3643"/>
      <c r="Q16" s="3643"/>
      <c r="R16" s="3643"/>
      <c r="S16" s="3643"/>
      <c r="T16" s="3643"/>
      <c r="U16" s="3643"/>
      <c r="V16" s="3643"/>
      <c r="W16" s="3643"/>
      <c r="X16" s="3643"/>
      <c r="Y16" s="3643"/>
      <c r="Z16" s="3643"/>
      <c r="AA16" s="3643"/>
      <c r="AB16" s="3643"/>
      <c r="AC16" s="3643"/>
      <c r="AD16" s="3643"/>
      <c r="AE16" s="3643"/>
      <c r="AF16" s="3643"/>
      <c r="AG16" s="3643"/>
      <c r="AH16" s="3643"/>
      <c r="AI16" s="3643"/>
      <c r="AJ16" s="3643"/>
      <c r="AK16" s="3639">
        <v>3508.97</v>
      </c>
      <c r="AL16" s="2824">
        <f t="shared" si="1"/>
        <v>3508.97</v>
      </c>
      <c r="AM16" s="3649">
        <f>'NUHM Summary'!F210</f>
        <v>0</v>
      </c>
      <c r="AN16" s="3649">
        <f>'NUHM Summary'!H210</f>
        <v>0</v>
      </c>
      <c r="AO16" s="3649">
        <f t="shared" si="2"/>
        <v>0</v>
      </c>
      <c r="AP16" s="3649">
        <f t="shared" si="3"/>
        <v>3508.97</v>
      </c>
      <c r="AQ16" s="3640">
        <f>GABST!D17-ABST!AL16</f>
        <v>-3508.97</v>
      </c>
    </row>
    <row r="17" spans="1:43" ht="22.5" x14ac:dyDescent="0.2">
      <c r="A17" s="3641">
        <v>14</v>
      </c>
      <c r="B17" s="3644" t="s">
        <v>1264</v>
      </c>
      <c r="C17" s="3645"/>
      <c r="D17" s="3645"/>
      <c r="E17" s="3645"/>
      <c r="F17" s="3645"/>
      <c r="G17" s="3645"/>
      <c r="H17" s="3645"/>
      <c r="I17" s="3645">
        <f>'Ab1. RMNCH+A'!R425</f>
        <v>0</v>
      </c>
      <c r="J17" s="3645"/>
      <c r="K17" s="2824">
        <f t="shared" si="0"/>
        <v>0</v>
      </c>
      <c r="L17" s="3643"/>
      <c r="M17" s="3643"/>
      <c r="N17" s="3643"/>
      <c r="O17" s="3643"/>
      <c r="P17" s="3643"/>
      <c r="Q17" s="3643"/>
      <c r="R17" s="3643"/>
      <c r="S17" s="3643"/>
      <c r="T17" s="3643"/>
      <c r="U17" s="3643"/>
      <c r="V17" s="3643"/>
      <c r="W17" s="3643"/>
      <c r="X17" s="3643"/>
      <c r="Y17" s="3643"/>
      <c r="Z17" s="3643"/>
      <c r="AA17" s="3643"/>
      <c r="AB17" s="3643">
        <f>'Abs11. NTEP'!R47</f>
        <v>0</v>
      </c>
      <c r="AC17" s="3643">
        <f>'Abs12. NVHCP'!R36</f>
        <v>0</v>
      </c>
      <c r="AD17" s="3643"/>
      <c r="AE17" s="3643"/>
      <c r="AF17" s="3643"/>
      <c r="AG17" s="3643"/>
      <c r="AH17" s="3643"/>
      <c r="AI17" s="3643"/>
      <c r="AJ17" s="3643"/>
      <c r="AK17" s="3639">
        <v>0</v>
      </c>
      <c r="AL17" s="2824">
        <f t="shared" si="1"/>
        <v>0</v>
      </c>
      <c r="AM17" s="3649">
        <f>'NUHM Summary'!F223</f>
        <v>0</v>
      </c>
      <c r="AN17" s="3649">
        <f>'NUHM Summary'!H223</f>
        <v>0</v>
      </c>
      <c r="AO17" s="3649">
        <f t="shared" si="2"/>
        <v>0</v>
      </c>
      <c r="AP17" s="3649">
        <f t="shared" si="3"/>
        <v>0</v>
      </c>
      <c r="AQ17" s="3640">
        <f>GABST!D18-ABST!AL17</f>
        <v>0</v>
      </c>
    </row>
    <row r="18" spans="1:43" x14ac:dyDescent="0.2">
      <c r="A18" s="3641">
        <v>15</v>
      </c>
      <c r="B18" s="3644" t="s">
        <v>33</v>
      </c>
      <c r="C18" s="3645"/>
      <c r="D18" s="3645"/>
      <c r="E18" s="3645"/>
      <c r="F18" s="3645"/>
      <c r="G18" s="3645"/>
      <c r="H18" s="3645"/>
      <c r="I18" s="3645"/>
      <c r="J18" s="3645"/>
      <c r="K18" s="2824">
        <f t="shared" si="0"/>
        <v>0</v>
      </c>
      <c r="L18" s="3643"/>
      <c r="M18" s="3643"/>
      <c r="N18" s="3643">
        <f>'Abs6. CPHC'!R32</f>
        <v>0</v>
      </c>
      <c r="O18" s="3643"/>
      <c r="P18" s="3643"/>
      <c r="Q18" s="3643"/>
      <c r="R18" s="3643"/>
      <c r="S18" s="3643"/>
      <c r="T18" s="3643"/>
      <c r="U18" s="3643"/>
      <c r="V18" s="3643"/>
      <c r="W18" s="3643"/>
      <c r="X18" s="3643"/>
      <c r="Y18" s="3643"/>
      <c r="Z18" s="3643">
        <f>'Abs9. NVBDCP'!R105</f>
        <v>0</v>
      </c>
      <c r="AA18" s="3643"/>
      <c r="AB18" s="3643">
        <f>'Abs11. NTEP'!R51</f>
        <v>0</v>
      </c>
      <c r="AC18" s="3643"/>
      <c r="AD18" s="3643"/>
      <c r="AE18" s="3643"/>
      <c r="AF18" s="3643">
        <f>'Abs15. NPCB'!R32</f>
        <v>0</v>
      </c>
      <c r="AG18" s="3643">
        <f>'Abs16. NMHP'!R27</f>
        <v>0</v>
      </c>
      <c r="AH18" s="3643"/>
      <c r="AI18" s="3643"/>
      <c r="AJ18" s="3643"/>
      <c r="AK18" s="3639">
        <v>494.96</v>
      </c>
      <c r="AL18" s="2824">
        <f t="shared" si="1"/>
        <v>494.96</v>
      </c>
      <c r="AM18" s="3649">
        <f>'NUHM Summary'!F227</f>
        <v>0</v>
      </c>
      <c r="AN18" s="3649">
        <f>'NUHM Summary'!H227</f>
        <v>0</v>
      </c>
      <c r="AO18" s="3649">
        <f t="shared" si="2"/>
        <v>0</v>
      </c>
      <c r="AP18" s="3649">
        <f t="shared" si="3"/>
        <v>494.96</v>
      </c>
      <c r="AQ18" s="3640">
        <f>GABST!D19-ABST!AL18</f>
        <v>-494.96</v>
      </c>
    </row>
    <row r="19" spans="1:43" x14ac:dyDescent="0.2">
      <c r="A19" s="3641">
        <v>16</v>
      </c>
      <c r="B19" s="3644" t="s">
        <v>34</v>
      </c>
      <c r="C19" s="3645"/>
      <c r="D19" s="3645"/>
      <c r="E19" s="3645"/>
      <c r="F19" s="3645"/>
      <c r="G19" s="3645"/>
      <c r="H19" s="3645">
        <f>'Ab1. RMNCH+A'!R390</f>
        <v>0</v>
      </c>
      <c r="I19" s="3645"/>
      <c r="J19" s="3645">
        <f>'Ab1. RMNCH+A'!R446</f>
        <v>0</v>
      </c>
      <c r="K19" s="2824">
        <f t="shared" si="0"/>
        <v>0</v>
      </c>
      <c r="L19" s="3643"/>
      <c r="M19" s="3643"/>
      <c r="N19" s="3643"/>
      <c r="O19" s="3643"/>
      <c r="P19" s="3643"/>
      <c r="Q19" s="3643"/>
      <c r="R19" s="3643">
        <f>'Ab4. HMIS-MCTS'!R20</f>
        <v>0</v>
      </c>
      <c r="S19" s="3643">
        <f>'Abs21. NPCCHH'!R19</f>
        <v>0</v>
      </c>
      <c r="T19" s="3643"/>
      <c r="U19" s="3643">
        <f>'Abs23. NPPCF'!R19</f>
        <v>0</v>
      </c>
      <c r="V19" s="3643"/>
      <c r="W19" s="3643"/>
      <c r="X19" s="3643"/>
      <c r="Y19" s="3643">
        <f>'Abs8. IDSP'!R29</f>
        <v>0</v>
      </c>
      <c r="Z19" s="3643">
        <f>'Abs9. NVBDCP'!R108</f>
        <v>0</v>
      </c>
      <c r="AA19" s="3643">
        <f>'Abs10. NLEP'!R37</f>
        <v>0</v>
      </c>
      <c r="AB19" s="3643">
        <f>'Abs11. NTEP'!R56</f>
        <v>0</v>
      </c>
      <c r="AC19" s="3643">
        <f>'Abs12. NVHCP'!R40</f>
        <v>0</v>
      </c>
      <c r="AD19" s="3643">
        <f>'Abs13. NRCP'!R15</f>
        <v>0</v>
      </c>
      <c r="AE19" s="3643"/>
      <c r="AF19" s="3643">
        <f>'Abs15. NPCB'!R40</f>
        <v>0</v>
      </c>
      <c r="AG19" s="3643">
        <f>'Abs16. NMHP'!R29</f>
        <v>0</v>
      </c>
      <c r="AH19" s="3643"/>
      <c r="AI19" s="3643">
        <f>'Abs18. NTCP'!R28</f>
        <v>0</v>
      </c>
      <c r="AJ19" s="3643">
        <f>'Abs19. NPCDCS'!R61</f>
        <v>0</v>
      </c>
      <c r="AK19" s="3639">
        <v>10042.68</v>
      </c>
      <c r="AL19" s="2824">
        <f t="shared" si="1"/>
        <v>10042.68</v>
      </c>
      <c r="AM19" s="3649">
        <f>'NUHM Summary'!F230</f>
        <v>0</v>
      </c>
      <c r="AN19" s="3649">
        <f>'NUHM Summary'!H230</f>
        <v>0</v>
      </c>
      <c r="AO19" s="3649">
        <f t="shared" si="2"/>
        <v>0</v>
      </c>
      <c r="AP19" s="3649">
        <f t="shared" si="3"/>
        <v>10042.68</v>
      </c>
      <c r="AQ19" s="3640">
        <f>GABST!D20-ABST!AL19</f>
        <v>-10042.68</v>
      </c>
    </row>
    <row r="20" spans="1:43" ht="22.5" x14ac:dyDescent="0.2">
      <c r="A20" s="3641">
        <v>17</v>
      </c>
      <c r="B20" s="3642" t="s">
        <v>2791</v>
      </c>
      <c r="C20" s="3643"/>
      <c r="D20" s="3643"/>
      <c r="E20" s="3643"/>
      <c r="F20" s="3643"/>
      <c r="G20" s="3643"/>
      <c r="H20" s="3643"/>
      <c r="I20" s="3643"/>
      <c r="J20" s="3643"/>
      <c r="K20" s="2824">
        <f t="shared" si="0"/>
        <v>0</v>
      </c>
      <c r="L20" s="3643"/>
      <c r="M20" s="3643"/>
      <c r="N20" s="3643">
        <f>'Abs6. CPHC'!R34</f>
        <v>0</v>
      </c>
      <c r="O20" s="3643"/>
      <c r="P20" s="3643"/>
      <c r="Q20" s="3643"/>
      <c r="R20" s="3643">
        <f>'Ab4. HMIS-MCTS'!R26</f>
        <v>0</v>
      </c>
      <c r="S20" s="3643"/>
      <c r="T20" s="3643"/>
      <c r="U20" s="3643"/>
      <c r="V20" s="3643"/>
      <c r="W20" s="3643"/>
      <c r="X20" s="3643">
        <f>'Capex Expenditure'!P226-189.8</f>
        <v>-189.8</v>
      </c>
      <c r="Y20" s="3643"/>
      <c r="Z20" s="3643"/>
      <c r="AA20" s="3643"/>
      <c r="AB20" s="3643"/>
      <c r="AC20" s="3643"/>
      <c r="AD20" s="3643"/>
      <c r="AE20" s="3643"/>
      <c r="AF20" s="3643"/>
      <c r="AG20" s="3643"/>
      <c r="AH20" s="3643"/>
      <c r="AI20" s="3643"/>
      <c r="AJ20" s="3643"/>
      <c r="AK20" s="3639"/>
      <c r="AL20" s="2824">
        <f t="shared" si="1"/>
        <v>-189.8</v>
      </c>
      <c r="AM20" s="3649">
        <f>'NUHM Summary'!F270</f>
        <v>0</v>
      </c>
      <c r="AN20" s="3649">
        <f>'NUHM Summary'!H270</f>
        <v>0</v>
      </c>
      <c r="AO20" s="3649">
        <f t="shared" si="2"/>
        <v>0</v>
      </c>
      <c r="AP20" s="3649">
        <f t="shared" si="3"/>
        <v>-189.8</v>
      </c>
      <c r="AQ20" s="3640">
        <f>GABST!D21-ABST!AL20</f>
        <v>189.8</v>
      </c>
    </row>
    <row r="21" spans="1:43" x14ac:dyDescent="0.2">
      <c r="A21" s="3641">
        <v>18</v>
      </c>
      <c r="B21" s="3642" t="s">
        <v>2789</v>
      </c>
      <c r="C21" s="3643"/>
      <c r="D21" s="3643"/>
      <c r="E21" s="3643"/>
      <c r="F21" s="3643"/>
      <c r="G21" s="3643"/>
      <c r="H21" s="3643"/>
      <c r="I21" s="3643"/>
      <c r="J21" s="3643">
        <f>'Ab1. RMNCH+A'!R476</f>
        <v>0</v>
      </c>
      <c r="K21" s="2824">
        <f t="shared" si="0"/>
        <v>0</v>
      </c>
      <c r="L21" s="3643"/>
      <c r="M21" s="3643"/>
      <c r="N21" s="3643"/>
      <c r="O21" s="3643"/>
      <c r="P21" s="3643"/>
      <c r="Q21" s="3643"/>
      <c r="R21" s="3643"/>
      <c r="S21" s="3643"/>
      <c r="T21" s="3643"/>
      <c r="U21" s="3643"/>
      <c r="V21" s="3643"/>
      <c r="W21" s="3643"/>
      <c r="X21" s="3643"/>
      <c r="Y21" s="3643"/>
      <c r="Z21" s="3643"/>
      <c r="AA21" s="3643"/>
      <c r="AB21" s="3643"/>
      <c r="AC21" s="3643"/>
      <c r="AD21" s="3643"/>
      <c r="AE21" s="3643"/>
      <c r="AF21" s="3643"/>
      <c r="AG21" s="3643"/>
      <c r="AH21" s="3643"/>
      <c r="AI21" s="3643"/>
      <c r="AJ21" s="3643"/>
      <c r="AK21" s="3639">
        <v>1370</v>
      </c>
      <c r="AL21" s="2824">
        <f t="shared" si="1"/>
        <v>1370</v>
      </c>
      <c r="AM21" s="3649">
        <v>0</v>
      </c>
      <c r="AN21" s="3649">
        <v>0</v>
      </c>
      <c r="AO21" s="3649">
        <f t="shared" si="2"/>
        <v>0</v>
      </c>
      <c r="AP21" s="3649">
        <f t="shared" si="3"/>
        <v>1370</v>
      </c>
      <c r="AQ21" s="3640">
        <f>GABST!D22-ABST!AL21</f>
        <v>-1370</v>
      </c>
    </row>
    <row r="22" spans="1:43" x14ac:dyDescent="0.2">
      <c r="A22" s="4105" t="s">
        <v>40</v>
      </c>
      <c r="B22" s="4105"/>
      <c r="C22" s="2824">
        <f t="shared" ref="C22:J22" si="4">SUM(C4:C21)</f>
        <v>0</v>
      </c>
      <c r="D22" s="2824">
        <f t="shared" si="4"/>
        <v>0</v>
      </c>
      <c r="E22" s="2824">
        <f t="shared" si="4"/>
        <v>0</v>
      </c>
      <c r="F22" s="2824">
        <f t="shared" si="4"/>
        <v>0</v>
      </c>
      <c r="G22" s="2824">
        <f t="shared" si="4"/>
        <v>0</v>
      </c>
      <c r="H22" s="2824">
        <f t="shared" si="4"/>
        <v>0</v>
      </c>
      <c r="I22" s="2824">
        <f t="shared" si="4"/>
        <v>0</v>
      </c>
      <c r="J22" s="2824">
        <f t="shared" si="4"/>
        <v>0</v>
      </c>
      <c r="K22" s="2824">
        <f t="shared" ref="K22:AP22" si="5">SUM(K4:K21)</f>
        <v>0</v>
      </c>
      <c r="L22" s="2824">
        <f t="shared" si="5"/>
        <v>0</v>
      </c>
      <c r="M22" s="2824">
        <f t="shared" si="5"/>
        <v>0</v>
      </c>
      <c r="N22" s="2824">
        <f t="shared" si="5"/>
        <v>0</v>
      </c>
      <c r="O22" s="2824">
        <f t="shared" si="5"/>
        <v>0</v>
      </c>
      <c r="P22" s="2824">
        <f t="shared" si="5"/>
        <v>-1342.14</v>
      </c>
      <c r="Q22" s="2824">
        <f t="shared" si="5"/>
        <v>0</v>
      </c>
      <c r="R22" s="2824">
        <f t="shared" si="5"/>
        <v>0</v>
      </c>
      <c r="S22" s="2824">
        <f t="shared" si="5"/>
        <v>0</v>
      </c>
      <c r="T22" s="2824">
        <f t="shared" si="5"/>
        <v>0</v>
      </c>
      <c r="U22" s="2824">
        <f t="shared" si="5"/>
        <v>0</v>
      </c>
      <c r="V22" s="2824">
        <f t="shared" si="5"/>
        <v>0</v>
      </c>
      <c r="W22" s="2824">
        <f t="shared" si="5"/>
        <v>0</v>
      </c>
      <c r="X22" s="2824">
        <f t="shared" si="5"/>
        <v>-10084.4</v>
      </c>
      <c r="Y22" s="2824">
        <f t="shared" si="5"/>
        <v>0</v>
      </c>
      <c r="Z22" s="2824">
        <f t="shared" si="5"/>
        <v>0</v>
      </c>
      <c r="AA22" s="2824">
        <f t="shared" si="5"/>
        <v>0</v>
      </c>
      <c r="AB22" s="2824">
        <f t="shared" si="5"/>
        <v>0</v>
      </c>
      <c r="AC22" s="2824">
        <f t="shared" si="5"/>
        <v>0</v>
      </c>
      <c r="AD22" s="2824">
        <f t="shared" si="5"/>
        <v>0</v>
      </c>
      <c r="AE22" s="2824">
        <f t="shared" si="5"/>
        <v>0</v>
      </c>
      <c r="AF22" s="2824">
        <f t="shared" si="5"/>
        <v>0</v>
      </c>
      <c r="AG22" s="2824">
        <f t="shared" si="5"/>
        <v>0</v>
      </c>
      <c r="AH22" s="2824">
        <f t="shared" si="5"/>
        <v>0</v>
      </c>
      <c r="AI22" s="2824">
        <f t="shared" si="5"/>
        <v>0</v>
      </c>
      <c r="AJ22" s="2824">
        <f t="shared" si="5"/>
        <v>0</v>
      </c>
      <c r="AK22" s="2824">
        <f t="shared" si="5"/>
        <v>105452.43000000002</v>
      </c>
      <c r="AL22" s="2824">
        <f t="shared" si="5"/>
        <v>94025.89</v>
      </c>
      <c r="AM22" s="2824">
        <f t="shared" si="5"/>
        <v>0</v>
      </c>
      <c r="AN22" s="2824">
        <f t="shared" si="5"/>
        <v>0</v>
      </c>
      <c r="AO22" s="2824">
        <f t="shared" si="5"/>
        <v>0</v>
      </c>
      <c r="AP22" s="2824">
        <f t="shared" si="5"/>
        <v>94025.89</v>
      </c>
    </row>
  </sheetData>
  <mergeCells count="6">
    <mergeCell ref="A22:B22"/>
    <mergeCell ref="AM2:AP2"/>
    <mergeCell ref="A1:M1"/>
    <mergeCell ref="C2:K2"/>
    <mergeCell ref="L2:X2"/>
    <mergeCell ref="Y2:AL2"/>
  </mergeCells>
  <pageMargins left="0.7" right="0.7" top="0.75" bottom="0.75" header="0.3" footer="0.3"/>
  <pageSetup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workbookViewId="0">
      <selection activeCell="K19" sqref="K19"/>
    </sheetView>
  </sheetViews>
  <sheetFormatPr defaultRowHeight="12.75" x14ac:dyDescent="0.2"/>
  <cols>
    <col min="1" max="1" width="4.140625" style="3646" bestFit="1" customWidth="1"/>
    <col min="2" max="2" width="5.85546875" style="3646" bestFit="1" customWidth="1"/>
    <col min="3" max="3" width="35.5703125" style="3648" customWidth="1"/>
    <col min="4" max="4" width="14" style="3646" customWidth="1"/>
    <col min="5" max="5" width="13.5703125" customWidth="1"/>
    <col min="6" max="6" width="12.28515625" bestFit="1" customWidth="1"/>
    <col min="7" max="7" width="12.28515625" customWidth="1"/>
    <col min="8" max="8" width="11" customWidth="1"/>
    <col min="9" max="9" width="12.28515625" customWidth="1"/>
    <col min="10" max="10" width="11.85546875" customWidth="1"/>
    <col min="11" max="11" width="9.5703125" customWidth="1"/>
    <col min="12" max="12" width="10.85546875" customWidth="1"/>
  </cols>
  <sheetData>
    <row r="1" spans="1:15" x14ac:dyDescent="0.2">
      <c r="A1" s="4105" t="s">
        <v>5921</v>
      </c>
      <c r="B1" s="4105"/>
      <c r="C1" s="4105"/>
      <c r="D1" s="4119"/>
      <c r="E1" s="4119"/>
      <c r="F1" s="4119"/>
    </row>
    <row r="2" spans="1:15" x14ac:dyDescent="0.2">
      <c r="A2" s="4120"/>
      <c r="B2" s="4120"/>
      <c r="C2" s="3632" t="s">
        <v>5939</v>
      </c>
      <c r="D2" s="4105" t="s">
        <v>5923</v>
      </c>
      <c r="E2" s="4105"/>
      <c r="F2" s="4105"/>
      <c r="G2" s="4110" t="s">
        <v>5923</v>
      </c>
      <c r="H2" s="4111"/>
      <c r="I2" s="4111"/>
      <c r="J2" s="4110" t="s">
        <v>5923</v>
      </c>
      <c r="K2" s="4111"/>
      <c r="L2" s="4111"/>
      <c r="M2" s="4105" t="s">
        <v>5940</v>
      </c>
      <c r="N2" s="4105"/>
      <c r="O2" s="4105"/>
    </row>
    <row r="3" spans="1:15" x14ac:dyDescent="0.2">
      <c r="A3" s="4114" t="s">
        <v>3315</v>
      </c>
      <c r="B3" s="4115"/>
      <c r="C3" s="4118" t="s">
        <v>1</v>
      </c>
      <c r="D3" s="4118" t="s">
        <v>40</v>
      </c>
      <c r="E3" s="4118"/>
      <c r="F3" s="4118"/>
      <c r="G3" s="4118" t="s">
        <v>5936</v>
      </c>
      <c r="H3" s="4118"/>
      <c r="I3" s="4118"/>
      <c r="J3" s="4118" t="s">
        <v>5937</v>
      </c>
      <c r="K3" s="4118"/>
      <c r="L3" s="4118"/>
      <c r="M3" s="4118" t="s">
        <v>40</v>
      </c>
      <c r="N3" s="4118"/>
      <c r="O3" s="4118"/>
    </row>
    <row r="4" spans="1:15" x14ac:dyDescent="0.2">
      <c r="A4" s="4116"/>
      <c r="B4" s="4117"/>
      <c r="C4" s="4118"/>
      <c r="D4" s="3651" t="s">
        <v>5938</v>
      </c>
      <c r="E4" s="3651" t="s">
        <v>3303</v>
      </c>
      <c r="F4" s="3651" t="s">
        <v>5930</v>
      </c>
      <c r="G4" s="3651" t="s">
        <v>5938</v>
      </c>
      <c r="H4" s="3651" t="s">
        <v>3303</v>
      </c>
      <c r="I4" s="3651" t="s">
        <v>5930</v>
      </c>
      <c r="J4" s="3651" t="s">
        <v>5938</v>
      </c>
      <c r="K4" s="3651" t="s">
        <v>3303</v>
      </c>
      <c r="L4" s="3651" t="s">
        <v>5930</v>
      </c>
      <c r="M4" s="3651" t="s">
        <v>5938</v>
      </c>
      <c r="N4" s="3651" t="s">
        <v>3303</v>
      </c>
      <c r="O4" s="3651" t="s">
        <v>5930</v>
      </c>
    </row>
    <row r="5" spans="1:15" x14ac:dyDescent="0.2">
      <c r="A5" s="3652">
        <v>1</v>
      </c>
      <c r="B5" s="3652" t="s">
        <v>3129</v>
      </c>
      <c r="C5" s="3653" t="s">
        <v>4</v>
      </c>
      <c r="D5" s="3654">
        <f>'Budget Summary II'!L6</f>
        <v>0</v>
      </c>
      <c r="E5" s="3654">
        <f>'Budget Summary II'!M6</f>
        <v>0</v>
      </c>
      <c r="F5" s="2824">
        <f>+E5+D5</f>
        <v>0</v>
      </c>
      <c r="G5" s="3649">
        <f>D5-J5</f>
        <v>0</v>
      </c>
      <c r="H5" s="3649">
        <f>E5-K5</f>
        <v>0</v>
      </c>
      <c r="I5" s="2824">
        <f>+H5+G5</f>
        <v>0</v>
      </c>
      <c r="J5" s="3649">
        <f>'1.SD Facility Based Annex'!R118</f>
        <v>0</v>
      </c>
      <c r="K5" s="3649">
        <v>0</v>
      </c>
      <c r="L5" s="2824">
        <f>+K5+J5</f>
        <v>0</v>
      </c>
      <c r="M5" s="3654" t="e">
        <f t="shared" ref="M5:M22" si="0">+D5*100/D$23</f>
        <v>#DIV/0!</v>
      </c>
      <c r="N5" s="3654" t="e">
        <f t="shared" ref="N5:N22" si="1">+E5*100/$E$23</f>
        <v>#DIV/0!</v>
      </c>
      <c r="O5" s="2824" t="e">
        <f t="shared" ref="O5:O22" si="2">+F5*100/F$23</f>
        <v>#DIV/0!</v>
      </c>
    </row>
    <row r="6" spans="1:15" x14ac:dyDescent="0.2">
      <c r="A6" s="3652">
        <v>2</v>
      </c>
      <c r="B6" s="3652" t="s">
        <v>3141</v>
      </c>
      <c r="C6" s="3653" t="s">
        <v>6</v>
      </c>
      <c r="D6" s="3654">
        <f>'Budget Summary II'!L10</f>
        <v>0</v>
      </c>
      <c r="E6" s="3654">
        <f>'Budget Summary II'!M10</f>
        <v>0</v>
      </c>
      <c r="F6" s="2824">
        <f t="shared" ref="F6:F22" si="3">+E6+D6</f>
        <v>0</v>
      </c>
      <c r="G6" s="3649">
        <f t="shared" ref="G6:H22" si="4">D6-J6</f>
        <v>0</v>
      </c>
      <c r="H6" s="3649">
        <f t="shared" si="4"/>
        <v>0</v>
      </c>
      <c r="I6" s="2824">
        <f t="shared" ref="I6:I22" si="5">+H6+G6</f>
        <v>0</v>
      </c>
      <c r="J6" s="3661">
        <f>'2.SD Community Based Annex'!R68</f>
        <v>0</v>
      </c>
      <c r="K6" s="3649">
        <v>0</v>
      </c>
      <c r="L6" s="2824">
        <f t="shared" ref="L6:L22" si="6">+K6+J6</f>
        <v>0</v>
      </c>
      <c r="M6" s="3654" t="e">
        <f t="shared" si="0"/>
        <v>#DIV/0!</v>
      </c>
      <c r="N6" s="3654" t="e">
        <f t="shared" si="1"/>
        <v>#DIV/0!</v>
      </c>
      <c r="O6" s="2824" t="e">
        <f t="shared" si="2"/>
        <v>#DIV/0!</v>
      </c>
    </row>
    <row r="7" spans="1:15" x14ac:dyDescent="0.2">
      <c r="A7" s="3652">
        <v>3</v>
      </c>
      <c r="B7" s="3652" t="s">
        <v>3152</v>
      </c>
      <c r="C7" s="3653" t="s">
        <v>10</v>
      </c>
      <c r="D7" s="3654">
        <f>'Budget Summary II'!L14</f>
        <v>0</v>
      </c>
      <c r="E7" s="3654">
        <f>'Budget Summary II'!M14</f>
        <v>0</v>
      </c>
      <c r="F7" s="2824">
        <f t="shared" si="3"/>
        <v>0</v>
      </c>
      <c r="G7" s="3649">
        <f t="shared" si="4"/>
        <v>0</v>
      </c>
      <c r="H7" s="3649">
        <f t="shared" si="4"/>
        <v>0</v>
      </c>
      <c r="I7" s="2824">
        <f t="shared" si="5"/>
        <v>0</v>
      </c>
      <c r="J7" s="3649">
        <f>'3.Community Intervention Annexn'!R60</f>
        <v>0</v>
      </c>
      <c r="K7" s="3649">
        <v>0</v>
      </c>
      <c r="L7" s="2824">
        <f t="shared" si="6"/>
        <v>0</v>
      </c>
      <c r="M7" s="3654" t="e">
        <f t="shared" si="0"/>
        <v>#DIV/0!</v>
      </c>
      <c r="N7" s="3654" t="e">
        <f t="shared" si="1"/>
        <v>#DIV/0!</v>
      </c>
      <c r="O7" s="2824" t="e">
        <f t="shared" si="2"/>
        <v>#DIV/0!</v>
      </c>
    </row>
    <row r="8" spans="1:15" x14ac:dyDescent="0.2">
      <c r="A8" s="3655">
        <v>4</v>
      </c>
      <c r="B8" s="3655" t="s">
        <v>3166</v>
      </c>
      <c r="C8" s="3656" t="s">
        <v>2729</v>
      </c>
      <c r="D8" s="3657">
        <f>'Budget Summary II'!L18</f>
        <v>0</v>
      </c>
      <c r="E8" s="3657">
        <f>'Budget Summary II'!M18</f>
        <v>0</v>
      </c>
      <c r="F8" s="2824">
        <f t="shared" si="3"/>
        <v>0</v>
      </c>
      <c r="G8" s="3649">
        <f t="shared" si="4"/>
        <v>0</v>
      </c>
      <c r="H8" s="3649">
        <f t="shared" si="4"/>
        <v>0</v>
      </c>
      <c r="I8" s="2824">
        <f t="shared" si="5"/>
        <v>0</v>
      </c>
      <c r="J8" s="182">
        <v>0</v>
      </c>
      <c r="K8" s="3649">
        <v>0</v>
      </c>
      <c r="L8" s="2824">
        <f t="shared" si="6"/>
        <v>0</v>
      </c>
      <c r="M8" s="3654" t="e">
        <f t="shared" si="0"/>
        <v>#DIV/0!</v>
      </c>
      <c r="N8" s="3654" t="e">
        <f t="shared" si="1"/>
        <v>#DIV/0!</v>
      </c>
      <c r="O8" s="2824" t="e">
        <f t="shared" si="2"/>
        <v>#DIV/0!</v>
      </c>
    </row>
    <row r="9" spans="1:15" x14ac:dyDescent="0.2">
      <c r="A9" s="3655">
        <v>5</v>
      </c>
      <c r="B9" s="3655" t="s">
        <v>3173</v>
      </c>
      <c r="C9" s="3658" t="s">
        <v>14</v>
      </c>
      <c r="D9" s="3657">
        <f>'Budget Summary II'!L19</f>
        <v>0</v>
      </c>
      <c r="E9" s="3657">
        <f>'Budget Summary II'!M19</f>
        <v>0</v>
      </c>
      <c r="F9" s="2824">
        <f t="shared" si="3"/>
        <v>0</v>
      </c>
      <c r="G9" s="3649">
        <f t="shared" si="4"/>
        <v>0</v>
      </c>
      <c r="H9" s="3649">
        <f t="shared" si="4"/>
        <v>0</v>
      </c>
      <c r="I9" s="2824">
        <f t="shared" si="5"/>
        <v>0</v>
      </c>
      <c r="J9" s="3649">
        <f>'5.Infrastructure Annex'!R102</f>
        <v>0</v>
      </c>
      <c r="K9" s="3649">
        <v>0</v>
      </c>
      <c r="L9" s="2824">
        <f t="shared" si="6"/>
        <v>0</v>
      </c>
      <c r="M9" s="3654" t="e">
        <f t="shared" si="0"/>
        <v>#DIV/0!</v>
      </c>
      <c r="N9" s="3654" t="e">
        <f t="shared" si="1"/>
        <v>#DIV/0!</v>
      </c>
      <c r="O9" s="2824" t="e">
        <f t="shared" si="2"/>
        <v>#DIV/0!</v>
      </c>
    </row>
    <row r="10" spans="1:15" x14ac:dyDescent="0.2">
      <c r="A10" s="3655">
        <v>6</v>
      </c>
      <c r="B10" s="3655" t="s">
        <v>3185</v>
      </c>
      <c r="C10" s="3658" t="s">
        <v>18</v>
      </c>
      <c r="D10" s="3657">
        <f>'Budget Summary II'!L23</f>
        <v>0</v>
      </c>
      <c r="E10" s="3657">
        <f>'Budget Summary II'!M23</f>
        <v>0</v>
      </c>
      <c r="F10" s="2824">
        <f t="shared" si="3"/>
        <v>0</v>
      </c>
      <c r="G10" s="3649">
        <f t="shared" si="4"/>
        <v>0</v>
      </c>
      <c r="H10" s="3649">
        <f t="shared" si="4"/>
        <v>0</v>
      </c>
      <c r="I10" s="2824">
        <f t="shared" si="5"/>
        <v>0</v>
      </c>
      <c r="J10" s="3649">
        <f>'6.Procurement Annex'!R90</f>
        <v>0</v>
      </c>
      <c r="K10" s="3649">
        <v>0</v>
      </c>
      <c r="L10" s="2824">
        <f t="shared" si="6"/>
        <v>0</v>
      </c>
      <c r="M10" s="3654" t="e">
        <f t="shared" si="0"/>
        <v>#DIV/0!</v>
      </c>
      <c r="N10" s="3654" t="e">
        <f t="shared" si="1"/>
        <v>#DIV/0!</v>
      </c>
      <c r="O10" s="2824" t="e">
        <f t="shared" si="2"/>
        <v>#DIV/0!</v>
      </c>
    </row>
    <row r="11" spans="1:15" x14ac:dyDescent="0.2">
      <c r="A11" s="3655">
        <v>7</v>
      </c>
      <c r="B11" s="3655" t="s">
        <v>3199</v>
      </c>
      <c r="C11" s="3658" t="s">
        <v>20</v>
      </c>
      <c r="D11" s="3657">
        <f>'Budget Summary II'!L27</f>
        <v>0</v>
      </c>
      <c r="E11" s="3657">
        <f>'Budget Summary II'!M27</f>
        <v>0</v>
      </c>
      <c r="F11" s="2824">
        <f t="shared" si="3"/>
        <v>0</v>
      </c>
      <c r="G11" s="3649">
        <f t="shared" si="4"/>
        <v>0</v>
      </c>
      <c r="H11" s="3649">
        <f t="shared" si="4"/>
        <v>0</v>
      </c>
      <c r="I11" s="2824">
        <f t="shared" si="5"/>
        <v>0</v>
      </c>
      <c r="J11" s="3649">
        <f>'7.Referral Transport Annex'!R33</f>
        <v>0</v>
      </c>
      <c r="K11" s="3649">
        <v>0</v>
      </c>
      <c r="L11" s="2824">
        <f t="shared" si="6"/>
        <v>0</v>
      </c>
      <c r="M11" s="3654" t="e">
        <f t="shared" si="0"/>
        <v>#DIV/0!</v>
      </c>
      <c r="N11" s="3654" t="e">
        <f t="shared" si="1"/>
        <v>#DIV/0!</v>
      </c>
      <c r="O11" s="2824" t="e">
        <f t="shared" si="2"/>
        <v>#DIV/0!</v>
      </c>
    </row>
    <row r="12" spans="1:15" x14ac:dyDescent="0.2">
      <c r="A12" s="3655">
        <v>8</v>
      </c>
      <c r="B12" s="3655" t="s">
        <v>3201</v>
      </c>
      <c r="C12" s="3658" t="s">
        <v>21</v>
      </c>
      <c r="D12" s="3657">
        <f>'Budget Summary II'!L28</f>
        <v>0</v>
      </c>
      <c r="E12" s="3657">
        <f>'Budget Summary II'!M28</f>
        <v>0</v>
      </c>
      <c r="F12" s="2824">
        <f t="shared" si="3"/>
        <v>0</v>
      </c>
      <c r="G12" s="3649">
        <f t="shared" si="4"/>
        <v>0</v>
      </c>
      <c r="H12" s="3649">
        <f t="shared" si="4"/>
        <v>0</v>
      </c>
      <c r="I12" s="2824">
        <f t="shared" si="5"/>
        <v>0</v>
      </c>
      <c r="J12" s="3649">
        <f>'8.Human Resources (SD) Annex'!S179</f>
        <v>0</v>
      </c>
      <c r="K12" s="3649">
        <v>0</v>
      </c>
      <c r="L12" s="2824">
        <f t="shared" si="6"/>
        <v>0</v>
      </c>
      <c r="M12" s="3654" t="e">
        <f t="shared" si="0"/>
        <v>#DIV/0!</v>
      </c>
      <c r="N12" s="3654" t="e">
        <f t="shared" si="1"/>
        <v>#DIV/0!</v>
      </c>
      <c r="O12" s="2824" t="e">
        <f t="shared" si="2"/>
        <v>#DIV/0!</v>
      </c>
    </row>
    <row r="13" spans="1:15" x14ac:dyDescent="0.2">
      <c r="A13" s="3655">
        <v>9</v>
      </c>
      <c r="B13" s="3655" t="s">
        <v>3254</v>
      </c>
      <c r="C13" s="3658" t="s">
        <v>52</v>
      </c>
      <c r="D13" s="3657">
        <f>'Budget Summary II'!L33</f>
        <v>0</v>
      </c>
      <c r="E13" s="3657">
        <f>'Budget Summary II'!M33</f>
        <v>0</v>
      </c>
      <c r="F13" s="2824">
        <f t="shared" si="3"/>
        <v>0</v>
      </c>
      <c r="G13" s="3649">
        <f t="shared" si="4"/>
        <v>0</v>
      </c>
      <c r="H13" s="3649">
        <f t="shared" si="4"/>
        <v>0</v>
      </c>
      <c r="I13" s="2824">
        <f t="shared" si="5"/>
        <v>0</v>
      </c>
      <c r="J13" s="3649">
        <f>'9.Training Annex'!R67</f>
        <v>0</v>
      </c>
      <c r="K13" s="3649">
        <v>0</v>
      </c>
      <c r="L13" s="2824">
        <f t="shared" si="6"/>
        <v>0</v>
      </c>
      <c r="M13" s="3654" t="e">
        <f t="shared" si="0"/>
        <v>#DIV/0!</v>
      </c>
      <c r="N13" s="3654" t="e">
        <f t="shared" si="1"/>
        <v>#DIV/0!</v>
      </c>
      <c r="O13" s="2824" t="e">
        <f t="shared" si="2"/>
        <v>#DIV/0!</v>
      </c>
    </row>
    <row r="14" spans="1:15" ht="22.5" x14ac:dyDescent="0.2">
      <c r="A14" s="3655">
        <v>10</v>
      </c>
      <c r="B14" s="3655" t="s">
        <v>3261</v>
      </c>
      <c r="C14" s="3658" t="s">
        <v>23</v>
      </c>
      <c r="D14" s="3657">
        <f>'Budget Summary II'!L36</f>
        <v>0</v>
      </c>
      <c r="E14" s="3657">
        <f>'Budget Summary II'!M36</f>
        <v>0</v>
      </c>
      <c r="F14" s="2824">
        <f t="shared" si="3"/>
        <v>0</v>
      </c>
      <c r="G14" s="3649">
        <f t="shared" si="4"/>
        <v>0</v>
      </c>
      <c r="H14" s="3649">
        <f t="shared" si="4"/>
        <v>0</v>
      </c>
      <c r="I14" s="2824">
        <f t="shared" si="5"/>
        <v>0</v>
      </c>
      <c r="J14" s="3649">
        <f>'10.Review Research &amp; Surveillen'!R65</f>
        <v>0</v>
      </c>
      <c r="K14" s="3649">
        <v>0</v>
      </c>
      <c r="L14" s="2824">
        <f t="shared" si="6"/>
        <v>0</v>
      </c>
      <c r="M14" s="3654" t="e">
        <f t="shared" si="0"/>
        <v>#DIV/0!</v>
      </c>
      <c r="N14" s="3654" t="e">
        <f t="shared" si="1"/>
        <v>#DIV/0!</v>
      </c>
      <c r="O14" s="2824" t="e">
        <f t="shared" si="2"/>
        <v>#DIV/0!</v>
      </c>
    </row>
    <row r="15" spans="1:15" x14ac:dyDescent="0.2">
      <c r="A15" s="3655">
        <v>11</v>
      </c>
      <c r="B15" s="3655" t="s">
        <v>3270</v>
      </c>
      <c r="C15" s="3653" t="s">
        <v>1342</v>
      </c>
      <c r="D15" s="3657">
        <f>'Budget Summary II'!L42</f>
        <v>0</v>
      </c>
      <c r="E15" s="3657">
        <f>'Budget Summary II'!M42</f>
        <v>0</v>
      </c>
      <c r="F15" s="2824">
        <f t="shared" si="3"/>
        <v>0</v>
      </c>
      <c r="G15" s="3649">
        <f t="shared" si="4"/>
        <v>0</v>
      </c>
      <c r="H15" s="3649">
        <f t="shared" si="4"/>
        <v>0</v>
      </c>
      <c r="I15" s="2824">
        <f t="shared" si="5"/>
        <v>0</v>
      </c>
      <c r="J15" s="3649">
        <f>'11.IEC-BCC Annex'!R46</f>
        <v>0</v>
      </c>
      <c r="K15" s="3649">
        <v>0</v>
      </c>
      <c r="L15" s="2824">
        <f t="shared" si="6"/>
        <v>0</v>
      </c>
      <c r="M15" s="3654" t="e">
        <f t="shared" si="0"/>
        <v>#DIV/0!</v>
      </c>
      <c r="N15" s="3654" t="e">
        <f t="shared" si="1"/>
        <v>#DIV/0!</v>
      </c>
      <c r="O15" s="2824" t="e">
        <f t="shared" si="2"/>
        <v>#DIV/0!</v>
      </c>
    </row>
    <row r="16" spans="1:15" x14ac:dyDescent="0.2">
      <c r="A16" s="3655">
        <v>12</v>
      </c>
      <c r="B16" s="3655" t="s">
        <v>3274</v>
      </c>
      <c r="C16" s="3658" t="s">
        <v>29</v>
      </c>
      <c r="D16" s="3657">
        <f>'Budget Summary II'!L43</f>
        <v>0</v>
      </c>
      <c r="E16" s="3657">
        <f>'Budget Summary II'!M43</f>
        <v>0</v>
      </c>
      <c r="F16" s="2824">
        <f t="shared" si="3"/>
        <v>0</v>
      </c>
      <c r="G16" s="3649">
        <f t="shared" si="4"/>
        <v>0</v>
      </c>
      <c r="H16" s="3649">
        <f t="shared" si="4"/>
        <v>0</v>
      </c>
      <c r="I16" s="2824">
        <f t="shared" si="5"/>
        <v>0</v>
      </c>
      <c r="J16" s="3649">
        <f>'12.Printing Annex'!R49</f>
        <v>0</v>
      </c>
      <c r="K16" s="3649">
        <v>0</v>
      </c>
      <c r="L16" s="2824">
        <f t="shared" si="6"/>
        <v>0</v>
      </c>
      <c r="M16" s="3654" t="e">
        <f t="shared" si="0"/>
        <v>#DIV/0!</v>
      </c>
      <c r="N16" s="3654" t="e">
        <f t="shared" si="1"/>
        <v>#DIV/0!</v>
      </c>
      <c r="O16" s="2824" t="e">
        <f t="shared" si="2"/>
        <v>#DIV/0!</v>
      </c>
    </row>
    <row r="17" spans="1:15" x14ac:dyDescent="0.2">
      <c r="A17" s="3655">
        <v>13</v>
      </c>
      <c r="B17" s="3655" t="s">
        <v>3276</v>
      </c>
      <c r="C17" s="3653" t="s">
        <v>30</v>
      </c>
      <c r="D17" s="3657">
        <f>'Budget Summary II'!L44</f>
        <v>0</v>
      </c>
      <c r="E17" s="3657">
        <f>'Budget Summary II'!M44</f>
        <v>0</v>
      </c>
      <c r="F17" s="2824">
        <f t="shared" si="3"/>
        <v>0</v>
      </c>
      <c r="G17" s="3649">
        <f t="shared" si="4"/>
        <v>0</v>
      </c>
      <c r="H17" s="3649">
        <f t="shared" si="4"/>
        <v>0</v>
      </c>
      <c r="I17" s="2824">
        <f t="shared" si="5"/>
        <v>0</v>
      </c>
      <c r="J17" s="3649"/>
      <c r="K17" s="3649">
        <v>0</v>
      </c>
      <c r="L17" s="2824">
        <f t="shared" si="6"/>
        <v>0</v>
      </c>
      <c r="M17" s="3654" t="e">
        <f t="shared" si="0"/>
        <v>#DIV/0!</v>
      </c>
      <c r="N17" s="3654" t="e">
        <f t="shared" si="1"/>
        <v>#DIV/0!</v>
      </c>
      <c r="O17" s="2824" t="e">
        <f t="shared" si="2"/>
        <v>#DIV/0!</v>
      </c>
    </row>
    <row r="18" spans="1:15" x14ac:dyDescent="0.2">
      <c r="A18" s="3655">
        <v>14</v>
      </c>
      <c r="B18" s="3655" t="s">
        <v>3283</v>
      </c>
      <c r="C18" s="3658" t="s">
        <v>1264</v>
      </c>
      <c r="D18" s="3657">
        <f>'Budget Summary II'!L48</f>
        <v>0</v>
      </c>
      <c r="E18" s="3657">
        <f>'Budget Summary II'!M48</f>
        <v>0</v>
      </c>
      <c r="F18" s="2824">
        <f t="shared" si="3"/>
        <v>0</v>
      </c>
      <c r="G18" s="3649">
        <f t="shared" si="4"/>
        <v>0</v>
      </c>
      <c r="H18" s="3649">
        <f t="shared" si="4"/>
        <v>0</v>
      </c>
      <c r="I18" s="2824">
        <f t="shared" si="5"/>
        <v>0</v>
      </c>
      <c r="J18" s="3661">
        <f>'14.Drug warehouse &amp;Logistic Anx'!R36</f>
        <v>0</v>
      </c>
      <c r="K18" s="3649">
        <v>0</v>
      </c>
      <c r="L18" s="2824">
        <f t="shared" si="6"/>
        <v>0</v>
      </c>
      <c r="M18" s="3654" t="e">
        <f t="shared" si="0"/>
        <v>#DIV/0!</v>
      </c>
      <c r="N18" s="3654" t="e">
        <f t="shared" si="1"/>
        <v>#DIV/0!</v>
      </c>
      <c r="O18" s="2824" t="e">
        <f t="shared" si="2"/>
        <v>#DIV/0!</v>
      </c>
    </row>
    <row r="19" spans="1:15" x14ac:dyDescent="0.2">
      <c r="A19" s="3655">
        <v>15</v>
      </c>
      <c r="B19" s="3655" t="s">
        <v>3287</v>
      </c>
      <c r="C19" s="3658" t="s">
        <v>33</v>
      </c>
      <c r="D19" s="3657">
        <f>'Budget Summary II'!L51</f>
        <v>0</v>
      </c>
      <c r="E19" s="3657">
        <f>'Budget Summary II'!M51</f>
        <v>0</v>
      </c>
      <c r="F19" s="2824">
        <f t="shared" si="3"/>
        <v>0</v>
      </c>
      <c r="G19" s="3649">
        <f t="shared" si="4"/>
        <v>0</v>
      </c>
      <c r="H19" s="3649">
        <f t="shared" si="4"/>
        <v>0</v>
      </c>
      <c r="I19" s="2824">
        <f t="shared" si="5"/>
        <v>0</v>
      </c>
      <c r="J19" s="3649">
        <f>'15.PPP Annex'!R57</f>
        <v>0</v>
      </c>
      <c r="K19" s="3649">
        <v>0</v>
      </c>
      <c r="L19" s="2824">
        <f t="shared" si="6"/>
        <v>0</v>
      </c>
      <c r="M19" s="3654" t="e">
        <f t="shared" si="0"/>
        <v>#DIV/0!</v>
      </c>
      <c r="N19" s="3654" t="e">
        <f t="shared" si="1"/>
        <v>#DIV/0!</v>
      </c>
      <c r="O19" s="2824" t="e">
        <f t="shared" si="2"/>
        <v>#DIV/0!</v>
      </c>
    </row>
    <row r="20" spans="1:15" x14ac:dyDescent="0.2">
      <c r="A20" s="3655">
        <v>16</v>
      </c>
      <c r="B20" s="3655" t="s">
        <v>3289</v>
      </c>
      <c r="C20" s="3658" t="s">
        <v>34</v>
      </c>
      <c r="D20" s="3657">
        <f>'Budget Summary II'!L52</f>
        <v>0</v>
      </c>
      <c r="E20" s="3657">
        <f>'Budget Summary II'!M52</f>
        <v>0</v>
      </c>
      <c r="F20" s="2824">
        <f t="shared" si="3"/>
        <v>0</v>
      </c>
      <c r="G20" s="3649">
        <f t="shared" si="4"/>
        <v>0</v>
      </c>
      <c r="H20" s="3649">
        <f t="shared" si="4"/>
        <v>0</v>
      </c>
      <c r="I20" s="2824">
        <f t="shared" si="5"/>
        <v>0</v>
      </c>
      <c r="J20" s="3649">
        <f>'16-A. PM sub Annex'!U182</f>
        <v>0</v>
      </c>
      <c r="K20" s="3649">
        <f>'NUHM Metro Abst'!Q297</f>
        <v>0</v>
      </c>
      <c r="L20" s="2824">
        <f t="shared" si="6"/>
        <v>0</v>
      </c>
      <c r="M20" s="3654" t="e">
        <f t="shared" si="0"/>
        <v>#DIV/0!</v>
      </c>
      <c r="N20" s="3654" t="e">
        <f t="shared" si="1"/>
        <v>#DIV/0!</v>
      </c>
      <c r="O20" s="2824" t="e">
        <f t="shared" si="2"/>
        <v>#DIV/0!</v>
      </c>
    </row>
    <row r="21" spans="1:15" ht="22.5" x14ac:dyDescent="0.2">
      <c r="A21" s="3655">
        <v>17</v>
      </c>
      <c r="B21" s="3655" t="s">
        <v>3296</v>
      </c>
      <c r="C21" s="3656" t="s">
        <v>2791</v>
      </c>
      <c r="D21" s="3657">
        <f>'Budget Summary II'!L57</f>
        <v>0</v>
      </c>
      <c r="E21" s="3657">
        <f>'Budget Summary II'!M57</f>
        <v>0</v>
      </c>
      <c r="F21" s="2824">
        <f t="shared" si="3"/>
        <v>0</v>
      </c>
      <c r="G21" s="3649">
        <f t="shared" si="4"/>
        <v>0</v>
      </c>
      <c r="H21" s="3649">
        <f t="shared" si="4"/>
        <v>0</v>
      </c>
      <c r="I21" s="2824">
        <f t="shared" si="5"/>
        <v>0</v>
      </c>
      <c r="J21" s="3661">
        <f>'17.IT Initiatives_SD'!R21</f>
        <v>0</v>
      </c>
      <c r="K21" s="3649">
        <f>'NUHM Metro Abst'!Q298</f>
        <v>0</v>
      </c>
      <c r="L21" s="2824">
        <f t="shared" si="6"/>
        <v>0</v>
      </c>
      <c r="M21" s="3654" t="e">
        <f t="shared" si="0"/>
        <v>#DIV/0!</v>
      </c>
      <c r="N21" s="3654" t="e">
        <f t="shared" si="1"/>
        <v>#DIV/0!</v>
      </c>
      <c r="O21" s="2824" t="e">
        <f t="shared" si="2"/>
        <v>#DIV/0!</v>
      </c>
    </row>
    <row r="22" spans="1:15" x14ac:dyDescent="0.2">
      <c r="A22" s="3655">
        <v>18</v>
      </c>
      <c r="B22" s="3655" t="s">
        <v>3298</v>
      </c>
      <c r="C22" s="3656" t="s">
        <v>2789</v>
      </c>
      <c r="D22" s="3657">
        <f>'Budget Summary II'!L58</f>
        <v>0</v>
      </c>
      <c r="E22" s="3657">
        <f>'Budget Summary II'!M58</f>
        <v>0</v>
      </c>
      <c r="F22" s="2824">
        <f t="shared" si="3"/>
        <v>0</v>
      </c>
      <c r="G22" s="3649">
        <f t="shared" si="4"/>
        <v>0</v>
      </c>
      <c r="H22" s="3649">
        <f t="shared" si="4"/>
        <v>0</v>
      </c>
      <c r="I22" s="2824">
        <f t="shared" si="5"/>
        <v>0</v>
      </c>
      <c r="J22" s="3649">
        <f>'18.Innovation'!R35</f>
        <v>0</v>
      </c>
      <c r="K22" s="3649">
        <f>'NUHM Metro Abst'!Q299</f>
        <v>0</v>
      </c>
      <c r="L22" s="2824">
        <f t="shared" si="6"/>
        <v>0</v>
      </c>
      <c r="M22" s="3654" t="e">
        <f t="shared" si="0"/>
        <v>#DIV/0!</v>
      </c>
      <c r="N22" s="3654" t="e">
        <f t="shared" si="1"/>
        <v>#DIV/0!</v>
      </c>
      <c r="O22" s="2824" t="e">
        <f t="shared" si="2"/>
        <v>#DIV/0!</v>
      </c>
    </row>
    <row r="23" spans="1:15" x14ac:dyDescent="0.2">
      <c r="A23" s="4113" t="s">
        <v>40</v>
      </c>
      <c r="B23" s="4113"/>
      <c r="C23" s="4113"/>
      <c r="D23" s="3659">
        <f t="shared" ref="D23:O23" si="7">SUM(D5:D22)</f>
        <v>0</v>
      </c>
      <c r="E23" s="3659">
        <f t="shared" si="7"/>
        <v>0</v>
      </c>
      <c r="F23" s="3659">
        <f t="shared" si="7"/>
        <v>0</v>
      </c>
      <c r="G23" s="3659">
        <f t="shared" si="7"/>
        <v>0</v>
      </c>
      <c r="H23" s="3659">
        <f t="shared" si="7"/>
        <v>0</v>
      </c>
      <c r="I23" s="3659">
        <f t="shared" si="7"/>
        <v>0</v>
      </c>
      <c r="J23" s="3659">
        <f t="shared" si="7"/>
        <v>0</v>
      </c>
      <c r="K23" s="3659">
        <f t="shared" si="7"/>
        <v>0</v>
      </c>
      <c r="L23" s="3659">
        <f t="shared" si="7"/>
        <v>0</v>
      </c>
      <c r="M23" s="3659" t="e">
        <f t="shared" si="7"/>
        <v>#DIV/0!</v>
      </c>
      <c r="N23" s="3659" t="e">
        <f t="shared" si="7"/>
        <v>#DIV/0!</v>
      </c>
      <c r="O23" s="3659" t="e">
        <f t="shared" si="7"/>
        <v>#DIV/0!</v>
      </c>
    </row>
    <row r="24" spans="1:15" x14ac:dyDescent="0.2">
      <c r="D24" s="3660"/>
      <c r="F24" s="3640"/>
    </row>
    <row r="25" spans="1:15" x14ac:dyDescent="0.2">
      <c r="D25" s="3660"/>
    </row>
    <row r="28" spans="1:15" x14ac:dyDescent="0.2">
      <c r="J28" s="3640"/>
    </row>
  </sheetData>
  <mergeCells count="13">
    <mergeCell ref="J3:L3"/>
    <mergeCell ref="M3:O3"/>
    <mergeCell ref="A1:F1"/>
    <mergeCell ref="A2:B2"/>
    <mergeCell ref="D2:F2"/>
    <mergeCell ref="G2:I2"/>
    <mergeCell ref="J2:L2"/>
    <mergeCell ref="M2:O2"/>
    <mergeCell ref="A23:C23"/>
    <mergeCell ref="A3:B4"/>
    <mergeCell ref="C3:C4"/>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63</vt:i4>
      </vt:variant>
      <vt:variant>
        <vt:lpstr>Named Ranges</vt:lpstr>
      </vt:variant>
      <vt:variant>
        <vt:i4>4</vt:i4>
      </vt:variant>
    </vt:vector>
  </HeadingPairs>
  <TitlesOfParts>
    <vt:vector size="67" baseType="lpstr">
      <vt:lpstr>Index</vt:lpstr>
      <vt:lpstr>Sources of Funding</vt:lpstr>
      <vt:lpstr>Dist Allocation and Sub Plan</vt:lpstr>
      <vt:lpstr>List of Key deliverables</vt:lpstr>
      <vt:lpstr>Summary Table</vt:lpstr>
      <vt:lpstr>Budget Summary I</vt:lpstr>
      <vt:lpstr>Budget Summary II</vt:lpstr>
      <vt:lpstr>NUHM Summary</vt:lpstr>
      <vt:lpstr>1.SD Facility Based Annex</vt:lpstr>
      <vt:lpstr>2.SD Community Based Annex</vt:lpstr>
      <vt:lpstr>3.Community Intervention Annexn</vt:lpstr>
      <vt:lpstr>3-A. CI Sub-Annex</vt:lpstr>
      <vt:lpstr>4.Untied grants Annex</vt:lpstr>
      <vt:lpstr>5.Infrastructure Annex</vt:lpstr>
      <vt:lpstr>6.Procurement Annex</vt:lpstr>
      <vt:lpstr>6-A. Proc. Sub-Annex</vt:lpstr>
      <vt:lpstr>7.Referral Transport Annex</vt:lpstr>
      <vt:lpstr>8.Human Resources (SD) Annex</vt:lpstr>
      <vt:lpstr>9.Training Annex</vt:lpstr>
      <vt:lpstr>9-A.Training Sub-Annex</vt:lpstr>
      <vt:lpstr>10.Review Research &amp; Surveillen</vt:lpstr>
      <vt:lpstr>11.IEC-BCC Annex</vt:lpstr>
      <vt:lpstr>11-A. IEC Sub-Annex</vt:lpstr>
      <vt:lpstr>12.Printing Annex</vt:lpstr>
      <vt:lpstr>12-A. Print Sub-Annex</vt:lpstr>
      <vt:lpstr>13.Quality Assurance Annex</vt:lpstr>
      <vt:lpstr>14.Drug warehouse &amp;Logistic Anx</vt:lpstr>
      <vt:lpstr>15.PPP Annex</vt:lpstr>
      <vt:lpstr>16.PM Annex</vt:lpstr>
      <vt:lpstr>16-A. PM sub Annex</vt:lpstr>
      <vt:lpstr>17.IT Initiatives_SD</vt:lpstr>
      <vt:lpstr>18.Innovation</vt:lpstr>
      <vt:lpstr>NUHM-Non Metro Abst</vt:lpstr>
      <vt:lpstr>NUHM Metro Abst</vt:lpstr>
      <vt:lpstr>Ab1. RMNCH+A</vt:lpstr>
      <vt:lpstr>Ab2. NIDDCP</vt:lpstr>
      <vt:lpstr>Ab3. ASHA</vt:lpstr>
      <vt:lpstr>Ab4. HMIS-MCTS</vt:lpstr>
      <vt:lpstr>Abs5. Blood services &amp; Disorder</vt:lpstr>
      <vt:lpstr>Abs6. CPHC</vt:lpstr>
      <vt:lpstr>Abs7. AYUSH</vt:lpstr>
      <vt:lpstr>Abs8. IDSP</vt:lpstr>
      <vt:lpstr>Abs9. NVBDCP</vt:lpstr>
      <vt:lpstr>Abs10. NLEP</vt:lpstr>
      <vt:lpstr>Abs11. NTEP</vt:lpstr>
      <vt:lpstr>Abs12. NVHCP</vt:lpstr>
      <vt:lpstr>Abs13. NRCP</vt:lpstr>
      <vt:lpstr>Abs14. PPCL</vt:lpstr>
      <vt:lpstr>Abs15. NPCB</vt:lpstr>
      <vt:lpstr>Abs16. NMHP</vt:lpstr>
      <vt:lpstr>Abs17. NPHCE</vt:lpstr>
      <vt:lpstr>Abs18. NTCP</vt:lpstr>
      <vt:lpstr>Abs19. NPCDCS</vt:lpstr>
      <vt:lpstr>Abs20. PMNDP</vt:lpstr>
      <vt:lpstr>Abs21. NPCCHH</vt:lpstr>
      <vt:lpstr>Abs22. NPPCD</vt:lpstr>
      <vt:lpstr>Abs23. NPPCF</vt:lpstr>
      <vt:lpstr>Abs24. NOHP</vt:lpstr>
      <vt:lpstr>Abs25. NPPC</vt:lpstr>
      <vt:lpstr>Abs26. Burns &amp; Injury</vt:lpstr>
      <vt:lpstr>Capex Expenditure</vt:lpstr>
      <vt:lpstr>ABST</vt:lpstr>
      <vt:lpstr>GABST</vt:lpstr>
      <vt:lpstr>Index!_Toc22639849</vt:lpstr>
      <vt:lpstr>Index!_Toc22639861</vt:lpstr>
      <vt:lpstr>Index!_Toc22639862</vt:lpstr>
      <vt:lpstr>A96\</vt:lpstr>
    </vt:vector>
  </TitlesOfParts>
  <Company>Deloitte Touche Tohmatsu Services,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NHM, MoHFW</dc:creator>
  <cp:lastModifiedBy>HP</cp:lastModifiedBy>
  <cp:lastPrinted>2020-12-04T14:46:40Z</cp:lastPrinted>
  <dcterms:created xsi:type="dcterms:W3CDTF">2017-11-03T10:05:11Z</dcterms:created>
  <dcterms:modified xsi:type="dcterms:W3CDTF">2021-11-02T12:23:12Z</dcterms:modified>
</cp:coreProperties>
</file>